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3.ZR" sheetId="1" r:id="rId1"/>
  </sheets>
  <definedNames>
    <definedName name="_xlnm.Print_Titles" localSheetId="0">'3.ZR'!$7:$8</definedName>
  </definedNames>
  <calcPr fullCalcOnLoad="1"/>
</workbook>
</file>

<file path=xl/sharedStrings.xml><?xml version="1.0" encoding="utf-8"?>
<sst xmlns="http://schemas.openxmlformats.org/spreadsheetml/2006/main" count="382" uniqueCount="234">
  <si>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</si>
  <si>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</si>
  <si>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</si>
  <si>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</si>
  <si>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</si>
  <si>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</si>
  <si>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</si>
  <si>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</si>
  <si>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</si>
  <si>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</si>
  <si>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</si>
  <si>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</si>
  <si>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</si>
  <si>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</si>
  <si>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</si>
  <si>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</si>
  <si>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</si>
  <si>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</si>
  <si>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</si>
  <si>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</si>
  <si>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</si>
  <si>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</si>
  <si>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</si>
  <si>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</si>
  <si>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</si>
  <si>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</si>
  <si>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</si>
  <si>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</si>
  <si>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</si>
  <si>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</si>
  <si>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</si>
  <si>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</si>
  <si>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</si>
  <si>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</si>
  <si>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</si>
  <si>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</si>
  <si>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</si>
  <si>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</si>
  <si>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</si>
  <si>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</si>
  <si>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</si>
  <si>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</si>
  <si>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</si>
  <si>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</si>
  <si>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</si>
  <si>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</si>
  <si>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</si>
  <si>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</si>
  <si>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</si>
  <si>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</si>
  <si>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</si>
  <si>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</si>
  <si>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</si>
  <si>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</si>
  <si>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</si>
  <si>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</si>
  <si>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</si>
  <si>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</si>
  <si>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</si>
  <si>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</si>
  <si>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</si>
  <si>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</si>
  <si>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</si>
  <si>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</si>
  <si>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</si>
  <si>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</si>
  <si>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</si>
  <si>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kap. 12 - správa majetku kraje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</si>
  <si>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</si>
  <si>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</si>
  <si>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</si>
  <si>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</si>
  <si>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</si>
  <si>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</si>
  <si>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</si>
  <si>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</si>
  <si>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</si>
  <si>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</si>
  <si>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</si>
  <si>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</si>
  <si>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>nájemné - SR</t>
  </si>
  <si>
    <t xml:space="preserve">             z toho: investiční půjčené prostředky</t>
  </si>
  <si>
    <t xml:space="preserve">   z toho: SÚS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</si>
  <si>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</si>
  <si>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</si>
  <si>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</si>
  <si>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</si>
  <si>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</si>
  <si>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</si>
  <si>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 xml:space="preserve">  odvětví školství</t>
  </si>
  <si>
    <t>preventivní programy - SR</t>
  </si>
  <si>
    <t>vzdělávání žáků - dětí azylantů a cizinců - SR</t>
  </si>
  <si>
    <t>podpora romských žáků SŠ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</si>
  <si>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</si>
  <si>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</si>
  <si>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</si>
  <si>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pozměňovací </t>
  </si>
  <si>
    <t>návrhy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</si>
  <si>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</si>
  <si>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</si>
  <si>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</si>
  <si>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</si>
  <si>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</si>
  <si>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</si>
  <si>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</si>
  <si>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>projekt PILOT 1 a PILOT Z - SR</t>
  </si>
  <si>
    <t>podpora dalšího vzdělávání pedagog.prac. - SR</t>
  </si>
  <si>
    <t>GS 1.1 podpora podnikání ve vybraných obl. - SR</t>
  </si>
  <si>
    <t>EPC - bud.regionál.partnerství - SR</t>
  </si>
  <si>
    <t>předfin.Koneč.uživatelů v rámci GS v opatř.OP RLZ 3.3 - SR</t>
  </si>
  <si>
    <t>GS 4.2.2-Moder.a rozš.ubytovacích kapacit KHK-SR</t>
  </si>
  <si>
    <t>GS 3.2-Integr.obtíž.zaměst.skupin obyv.-SR</t>
  </si>
  <si>
    <t>GS 4.1.2-Medializace turistické nabídky - SR</t>
  </si>
  <si>
    <t xml:space="preserve">  odvětví zdravotnictví</t>
  </si>
  <si>
    <t xml:space="preserve">  z SFDI</t>
  </si>
  <si>
    <t>silnice II/319 RK-Rokytnice v OH - SR</t>
  </si>
  <si>
    <t>podp.výuky méně vyuč.cizích jazyků - SR</t>
  </si>
  <si>
    <t>náhradní stravování - SR</t>
  </si>
  <si>
    <t>zařízení pro děti vyžadující okamžitou pomoc - SR</t>
  </si>
  <si>
    <t xml:space="preserve">  z SFA</t>
  </si>
  <si>
    <t>GRIP IT - SR</t>
  </si>
  <si>
    <t>GS 3.1 - SR</t>
  </si>
  <si>
    <t>projekt "Učíme děti z cizích zemí česky" - SR</t>
  </si>
  <si>
    <t>nákup kompenzačních pomůcek - SR</t>
  </si>
  <si>
    <t>splátka dodavatelského úvěru</t>
  </si>
  <si>
    <t>Schválený</t>
  </si>
  <si>
    <t>rozpočet</t>
  </si>
  <si>
    <t>1. změna</t>
  </si>
  <si>
    <t>po 1. změně</t>
  </si>
  <si>
    <t xml:space="preserve">  z toho: CEP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</si>
  <si>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</si>
  <si>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</si>
  <si>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</si>
  <si>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</si>
  <si>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</si>
  <si>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</si>
  <si>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</si>
  <si>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reginální rozvoj</t>
  </si>
  <si>
    <t>prům.zóna Solnice-Kvasiny-ost.kapitál.výdaje-úvěr</t>
  </si>
  <si>
    <t>prům.zóna Solnice-Kvasiny-ost.běž.výd.</t>
  </si>
  <si>
    <t>dosud nerozděleno</t>
  </si>
  <si>
    <t>rezerva (35 mil.Kč blokováno do 30.11.2007 pro kap.28)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</si>
  <si>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</si>
  <si>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</si>
  <si>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</si>
  <si>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</si>
  <si>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</si>
  <si>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</si>
  <si>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</si>
  <si>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</si>
  <si>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</si>
  <si>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</si>
  <si>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</si>
  <si>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GRIP IT - transfery ze zahraničí</t>
  </si>
  <si>
    <t>ICN - transfery ze zahraničí</t>
  </si>
  <si>
    <t>inv.transfer Regionální radě regionu soudržnosti SV</t>
  </si>
  <si>
    <t>investiční transfery obcím</t>
  </si>
  <si>
    <t xml:space="preserve">                        investiční transfery PO - CEP</t>
  </si>
  <si>
    <t>prům.zóna Solnice-Kvasiny-inv.transfery obcím-úvěr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</si>
  <si>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</si>
  <si>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</si>
  <si>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</si>
  <si>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</si>
  <si>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 xml:space="preserve">                  - neinvestiční příspěvky</t>
  </si>
  <si>
    <t>zapojení výsledku hospodaření</t>
  </si>
  <si>
    <t>konsolidace výdajů - příděl do soc.fondu</t>
  </si>
  <si>
    <t>Výdaje celkem po konsolidaci</t>
  </si>
  <si>
    <t>zapojení zůstatku sociálního fondu z min. let</t>
  </si>
  <si>
    <t>kap. 20 - použití sociálního fondu - běž.výdaje</t>
  </si>
  <si>
    <t xml:space="preserve">  ze SFŽP</t>
  </si>
  <si>
    <t>splátky půjčených prostředků</t>
  </si>
  <si>
    <t>nedaňové příjmy odv.život.prostř. a zemědělství</t>
  </si>
  <si>
    <t>AC  - vybavení nábytkem,služby a provozní vlivy</t>
  </si>
  <si>
    <t>zabránění vzniku, rozvoje a šíření TBC - SR</t>
  </si>
  <si>
    <t>Technická pomoc - SR</t>
  </si>
  <si>
    <t>OP RLZ 2.1 - SR</t>
  </si>
  <si>
    <t>OP RLZ 2.1 - z dotace SR z r.2006</t>
  </si>
  <si>
    <t>neinvestiční půjčené prostředky</t>
  </si>
  <si>
    <t>investiční transfery a.s.</t>
  </si>
  <si>
    <t>OP RLZ 3.3 Rozv.kapacit dalšího profes.vzd.-SR r.2006</t>
  </si>
  <si>
    <t>inv.půjčené prostř.RR regionu soudržnosti SV</t>
  </si>
  <si>
    <t>neinvestiční půjčené prostředky a. s.</t>
  </si>
  <si>
    <t>životní prostř.a zem. - inv.transfery a.s.</t>
  </si>
  <si>
    <t>NA ROK 2007</t>
  </si>
  <si>
    <t>kap. 09 - volnočasové aktivity</t>
  </si>
  <si>
    <t>neinvestiční půjčené prostředky a.s. SÚS</t>
  </si>
  <si>
    <t>průmyslová zóna Solnice-Kvasiny-ost.kapitál.výd.-úvěr</t>
  </si>
  <si>
    <t>prům.zóna Solnice-Kvasiny-ostat.kap.výd.-úvěr</t>
  </si>
  <si>
    <t>2. změna</t>
  </si>
  <si>
    <t>po 2. změně</t>
  </si>
  <si>
    <t>NÁVRH NA ZMĚNU ROZPOČTU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</si>
  <si>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</si>
  <si>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</si>
  <si>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</si>
  <si>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</si>
  <si>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nedaňové příjmy odv.zdravotnictví</t>
  </si>
  <si>
    <t xml:space="preserve">  odvětví dopravy</t>
  </si>
  <si>
    <t>z toho:</t>
  </si>
  <si>
    <t>daň z příjmů právnických osob za kraje</t>
  </si>
  <si>
    <t>splátky půjček (SFDI)</t>
  </si>
  <si>
    <t>dotace ze SR poskytnutá prostř.čerp.účtů</t>
  </si>
  <si>
    <t xml:space="preserve">             neinvestiční půjčené prostředky</t>
  </si>
  <si>
    <t>dot.ze SR poskytnuté prostř.čerpacích účtů</t>
  </si>
  <si>
    <t>úhrada daně z příjmů právnických osob za kraj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</si>
  <si>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</si>
  <si>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</si>
  <si>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</si>
  <si>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</si>
  <si>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</si>
  <si>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>splátka leasingu RC NP</t>
  </si>
  <si>
    <t>předfinancování RC NP</t>
  </si>
  <si>
    <t xml:space="preserve">                  - neinvestiční transfery</t>
  </si>
  <si>
    <t xml:space="preserve">  z MK</t>
  </si>
  <si>
    <t>kulturní aktivity - SR</t>
  </si>
  <si>
    <t>projekty v rámci VISK - SR</t>
  </si>
  <si>
    <t xml:space="preserve">            kapitálové výd.odv.-vybavení RC NP</t>
  </si>
  <si>
    <t>vklad pro založení a. s.</t>
  </si>
  <si>
    <t>investiční půjčené prostředky a. s.</t>
  </si>
  <si>
    <t xml:space="preserve">     - blokace rezervy  zrušena 2. změnou rozpočtu 21.6.</t>
  </si>
  <si>
    <t>výdaje z finančního vypořádání</t>
  </si>
  <si>
    <t>investiční transfery obcím - úvěr</t>
  </si>
  <si>
    <t>3. změna</t>
  </si>
  <si>
    <t>po 3. změně</t>
  </si>
  <si>
    <t xml:space="preserve">  z MZ</t>
  </si>
  <si>
    <t xml:space="preserve">  z Úřadu vlády</t>
  </si>
  <si>
    <t xml:space="preserve">  odvětví kultury</t>
  </si>
  <si>
    <t>nedaňové příjmy odvětví soc.věcí</t>
  </si>
  <si>
    <t>volby do zastupitelstev obcí - SR</t>
  </si>
  <si>
    <t>výd.na krajs.koordinátora romských poradců - SR</t>
  </si>
  <si>
    <t>náhr.škod způs.zvl.chráněnými živočichy - SR</t>
  </si>
  <si>
    <t>likvidace nepoužitelných léčiv - SR</t>
  </si>
  <si>
    <t>program protidrogové politiky - SR</t>
  </si>
  <si>
    <t>nedaňové příjmy odvětví činnost KÚ</t>
  </si>
  <si>
    <t>nedaňové příjmy odvětví dopravy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</si>
</sst>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3" fontId="0" fillId="0" borderId="7" xfId="0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3" fontId="0" fillId="0" borderId="5" xfId="0" applyFont="1" applyBorder="1" applyAlignment="1">
      <alignment/>
    </xf>
    <xf numFmtId="3" fontId="1" fillId="0" borderId="6" xfId="0" applyFont="1" applyBorder="1" applyAlignment="1">
      <alignment vertical="center"/>
    </xf>
    <xf numFmtId="3" fontId="7" fillId="0" borderId="6" xfId="0" applyFont="1" applyBorder="1" applyAlignment="1">
      <alignment vertical="center"/>
    </xf>
    <xf numFmtId="3" fontId="0" fillId="0" borderId="0" xfId="0" applyAlignment="1">
      <alignment horizontal="right"/>
    </xf>
    <xf numFmtId="3" fontId="0" fillId="0" borderId="5" xfId="0" applyBorder="1" applyAlignment="1">
      <alignment/>
    </xf>
    <xf numFmtId="3" fontId="9" fillId="0" borderId="5" xfId="0" applyFont="1" applyBorder="1" applyAlignment="1">
      <alignment/>
    </xf>
    <xf numFmtId="3" fontId="1" fillId="0" borderId="4" xfId="0" applyFont="1" applyBorder="1" applyAlignment="1">
      <alignment/>
    </xf>
    <xf numFmtId="171" fontId="1" fillId="0" borderId="2" xfId="18" applyNumberFormat="1" applyFont="1" applyBorder="1" applyAlignment="1">
      <alignment/>
    </xf>
    <xf numFmtId="171" fontId="0" fillId="0" borderId="2" xfId="18" applyNumberFormat="1" applyFont="1" applyBorder="1" applyAlignment="1">
      <alignment/>
    </xf>
    <xf numFmtId="171" fontId="1" fillId="0" borderId="2" xfId="18" applyNumberFormat="1" applyFont="1" applyBorder="1" applyAlignment="1">
      <alignment/>
    </xf>
    <xf numFmtId="171" fontId="0" fillId="0" borderId="2" xfId="18" applyNumberFormat="1" applyBorder="1" applyAlignment="1">
      <alignment/>
    </xf>
    <xf numFmtId="171" fontId="2" fillId="0" borderId="4" xfId="18" applyNumberFormat="1" applyFont="1" applyBorder="1" applyAlignment="1">
      <alignment vertical="center"/>
    </xf>
    <xf numFmtId="171" fontId="4" fillId="0" borderId="2" xfId="18" applyNumberFormat="1" applyFont="1" applyBorder="1" applyAlignment="1">
      <alignment/>
    </xf>
    <xf numFmtId="171" fontId="4" fillId="0" borderId="2" xfId="18" applyNumberFormat="1" applyFont="1" applyBorder="1" applyAlignment="1">
      <alignment/>
    </xf>
    <xf numFmtId="171" fontId="0" fillId="0" borderId="5" xfId="18" applyNumberFormat="1" applyBorder="1" applyAlignment="1">
      <alignment/>
    </xf>
    <xf numFmtId="171" fontId="0" fillId="0" borderId="3" xfId="18" applyNumberFormat="1" applyBorder="1" applyAlignment="1">
      <alignment/>
    </xf>
    <xf numFmtId="171" fontId="0" fillId="0" borderId="5" xfId="18" applyNumberFormat="1" applyFont="1" applyBorder="1" applyAlignment="1">
      <alignment/>
    </xf>
    <xf numFmtId="171" fontId="1" fillId="0" borderId="10" xfId="18" applyNumberFormat="1" applyFont="1" applyBorder="1" applyAlignment="1">
      <alignment/>
    </xf>
    <xf numFmtId="171" fontId="7" fillId="0" borderId="11" xfId="18" applyNumberFormat="1" applyFont="1" applyBorder="1" applyAlignment="1">
      <alignment vertical="center"/>
    </xf>
    <xf numFmtId="171" fontId="7" fillId="0" borderId="12" xfId="18" applyNumberFormat="1" applyFont="1" applyBorder="1" applyAlignment="1">
      <alignment vertical="center"/>
    </xf>
    <xf numFmtId="171" fontId="1" fillId="0" borderId="11" xfId="18" applyNumberFormat="1" applyFont="1" applyBorder="1" applyAlignment="1">
      <alignment vertical="center"/>
    </xf>
    <xf numFmtId="171" fontId="1" fillId="0" borderId="12" xfId="18" applyNumberFormat="1" applyFont="1" applyBorder="1" applyAlignment="1">
      <alignment vertical="center"/>
    </xf>
    <xf numFmtId="171" fontId="2" fillId="0" borderId="11" xfId="18" applyNumberFormat="1" applyFont="1" applyBorder="1" applyAlignment="1">
      <alignment vertical="center"/>
    </xf>
    <xf numFmtId="171" fontId="2" fillId="0" borderId="12" xfId="18" applyNumberFormat="1" applyFont="1" applyBorder="1" applyAlignment="1">
      <alignment vertical="center"/>
    </xf>
    <xf numFmtId="171" fontId="7" fillId="0" borderId="13" xfId="18" applyNumberFormat="1" applyFont="1" applyBorder="1" applyAlignment="1">
      <alignment vertical="center"/>
    </xf>
    <xf numFmtId="171" fontId="7" fillId="0" borderId="14" xfId="18" applyNumberFormat="1" applyFont="1" applyBorder="1" applyAlignment="1">
      <alignment vertical="center"/>
    </xf>
    <xf numFmtId="171" fontId="7" fillId="0" borderId="2" xfId="18" applyNumberFormat="1" applyFont="1" applyBorder="1" applyAlignment="1">
      <alignment vertical="center"/>
    </xf>
    <xf numFmtId="171" fontId="7" fillId="0" borderId="15" xfId="18" applyNumberFormat="1" applyFont="1" applyBorder="1" applyAlignment="1">
      <alignment vertical="center"/>
    </xf>
    <xf numFmtId="171" fontId="2" fillId="0" borderId="13" xfId="18" applyNumberFormat="1" applyFont="1" applyBorder="1" applyAlignment="1">
      <alignment vertical="center"/>
    </xf>
    <xf numFmtId="171" fontId="2" fillId="0" borderId="14" xfId="18" applyNumberFormat="1" applyFont="1" applyBorder="1" applyAlignment="1">
      <alignment vertical="center"/>
    </xf>
    <xf numFmtId="171" fontId="2" fillId="0" borderId="2" xfId="18" applyNumberFormat="1" applyFont="1" applyBorder="1" applyAlignment="1">
      <alignment vertical="center"/>
    </xf>
    <xf numFmtId="171" fontId="8" fillId="0" borderId="16" xfId="18" applyNumberFormat="1" applyFont="1" applyBorder="1" applyAlignment="1">
      <alignment vertical="center"/>
    </xf>
    <xf numFmtId="171" fontId="8" fillId="0" borderId="2" xfId="18" applyNumberFormat="1" applyFont="1" applyBorder="1" applyAlignment="1">
      <alignment vertical="center"/>
    </xf>
    <xf numFmtId="171" fontId="8" fillId="0" borderId="4" xfId="18" applyNumberFormat="1" applyFont="1" applyBorder="1" applyAlignment="1">
      <alignment vertical="center"/>
    </xf>
    <xf numFmtId="171" fontId="8" fillId="0" borderId="17" xfId="18" applyNumberFormat="1" applyFont="1" applyBorder="1" applyAlignment="1">
      <alignment vertical="center"/>
    </xf>
    <xf numFmtId="3" fontId="0" fillId="0" borderId="5" xfId="0" applyFont="1" applyBorder="1" applyAlignment="1">
      <alignment/>
    </xf>
    <xf numFmtId="171" fontId="0" fillId="0" borderId="18" xfId="18" applyNumberFormat="1" applyBorder="1" applyAlignment="1">
      <alignment/>
    </xf>
    <xf numFmtId="171" fontId="0" fillId="0" borderId="5" xfId="18" applyNumberFormat="1" applyFont="1" applyBorder="1" applyAlignment="1">
      <alignment/>
    </xf>
    <xf numFmtId="171" fontId="0" fillId="0" borderId="2" xfId="18" applyNumberFormat="1" applyFont="1" applyFill="1" applyBorder="1" applyAlignment="1">
      <alignment/>
    </xf>
    <xf numFmtId="3" fontId="1" fillId="0" borderId="1" xfId="0" applyFont="1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7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4"/>
  <sheetViews>
    <sheetView tabSelected="1" workbookViewId="0" topLeftCell="A1">
      <pane xSplit="2" ySplit="19" topLeftCell="H349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I351" sqref="I351"/>
    </sheetView>
  </sheetViews>
  <sheetFormatPr defaultColWidth="9.00390625" defaultRowHeight="12.75"/>
  <cols>
    <col min="1" max="1" width="43.75390625" style="0" customWidth="1"/>
    <col min="2" max="2" width="14.25390625" style="17" customWidth="1"/>
    <col min="3" max="3" width="14.25390625" style="17" hidden="1" customWidth="1"/>
    <col min="4" max="4" width="13.75390625" style="17" hidden="1" customWidth="1"/>
    <col min="5" max="5" width="14.25390625" style="17" hidden="1" customWidth="1"/>
    <col min="6" max="7" width="13.75390625" style="0" hidden="1" customWidth="1"/>
    <col min="8" max="9" width="13.75390625" style="0" customWidth="1"/>
    <col min="10" max="10" width="13.75390625" style="0" hidden="1" customWidth="1"/>
    <col min="11" max="11" width="13.75390625" style="0" customWidth="1"/>
  </cols>
  <sheetData>
    <row r="1" ht="12.75">
      <c r="E1" s="35"/>
    </row>
    <row r="2" spans="1:11" ht="19.5" customHeight="1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9.5" customHeight="1">
      <c r="A3" s="74" t="s">
        <v>183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9.5" customHeight="1">
      <c r="A4" s="75" t="s">
        <v>190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9.5" customHeight="1">
      <c r="A5" s="76" t="s">
        <v>191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5" ht="15" customHeight="1">
      <c r="A6" s="9"/>
      <c r="B6" s="16"/>
      <c r="C6" s="16"/>
      <c r="D6" s="16"/>
      <c r="E6" s="16"/>
    </row>
    <row r="7" spans="1:11" ht="12.75" customHeight="1">
      <c r="A7" s="71" t="s">
        <v>3</v>
      </c>
      <c r="B7" s="18" t="s">
        <v>125</v>
      </c>
      <c r="C7" s="18" t="s">
        <v>127</v>
      </c>
      <c r="D7" s="18" t="s">
        <v>96</v>
      </c>
      <c r="E7" s="18" t="s">
        <v>57</v>
      </c>
      <c r="F7" s="18" t="s">
        <v>188</v>
      </c>
      <c r="G7" s="18" t="s">
        <v>96</v>
      </c>
      <c r="H7" s="18" t="s">
        <v>57</v>
      </c>
      <c r="I7" s="18" t="s">
        <v>221</v>
      </c>
      <c r="J7" s="18" t="s">
        <v>96</v>
      </c>
      <c r="K7" s="18" t="s">
        <v>57</v>
      </c>
    </row>
    <row r="8" spans="1:11" ht="12.75" customHeight="1">
      <c r="A8" s="72"/>
      <c r="B8" s="19" t="s">
        <v>126</v>
      </c>
      <c r="C8" s="19" t="s">
        <v>58</v>
      </c>
      <c r="D8" s="19" t="s">
        <v>97</v>
      </c>
      <c r="E8" s="19" t="s">
        <v>128</v>
      </c>
      <c r="F8" s="19" t="s">
        <v>58</v>
      </c>
      <c r="G8" s="19" t="s">
        <v>97</v>
      </c>
      <c r="H8" s="19" t="s">
        <v>189</v>
      </c>
      <c r="I8" s="19" t="s">
        <v>58</v>
      </c>
      <c r="J8" s="19" t="s">
        <v>97</v>
      </c>
      <c r="K8" s="19" t="s">
        <v>222</v>
      </c>
    </row>
    <row r="9" spans="1:11" ht="15" customHeight="1">
      <c r="A9" s="1" t="s">
        <v>4</v>
      </c>
      <c r="B9" s="18"/>
      <c r="C9" s="20"/>
      <c r="D9" s="20"/>
      <c r="E9" s="18"/>
      <c r="F9" s="20"/>
      <c r="G9" s="20"/>
      <c r="H9" s="18"/>
      <c r="I9" s="20"/>
      <c r="J9" s="20"/>
      <c r="K9" s="18"/>
    </row>
    <row r="10" spans="1:11" ht="12.75">
      <c r="A10" s="2" t="s">
        <v>0</v>
      </c>
      <c r="B10" s="39">
        <v>2650000</v>
      </c>
      <c r="C10" s="39"/>
      <c r="D10" s="39"/>
      <c r="E10" s="39">
        <f>B10+C10+D10</f>
        <v>2650000</v>
      </c>
      <c r="F10" s="39">
        <v>16190</v>
      </c>
      <c r="G10" s="39"/>
      <c r="H10" s="39">
        <f>E10+F10+G10</f>
        <v>2666190</v>
      </c>
      <c r="I10" s="39"/>
      <c r="J10" s="39"/>
      <c r="K10" s="39">
        <f>H10+I10+J10</f>
        <v>2666190</v>
      </c>
    </row>
    <row r="11" spans="1:11" ht="12.75">
      <c r="A11" s="10" t="s">
        <v>197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2.75">
      <c r="A12" s="8" t="s">
        <v>198</v>
      </c>
      <c r="B12" s="39"/>
      <c r="C12" s="39"/>
      <c r="D12" s="39"/>
      <c r="E12" s="39"/>
      <c r="F12" s="40">
        <v>16190</v>
      </c>
      <c r="G12" s="39"/>
      <c r="H12" s="40">
        <f>E12+F12+G12</f>
        <v>16190</v>
      </c>
      <c r="I12" s="40"/>
      <c r="J12" s="39"/>
      <c r="K12" s="40">
        <f>H12+I12+J12</f>
        <v>16190</v>
      </c>
    </row>
    <row r="13" spans="1:11" ht="12.75">
      <c r="A13" s="2" t="s">
        <v>50</v>
      </c>
      <c r="B13" s="39">
        <f>SUM(B15:B24)</f>
        <v>182753</v>
      </c>
      <c r="C13" s="39">
        <f>SUM(C15:C24)</f>
        <v>58889</v>
      </c>
      <c r="D13" s="39">
        <f>SUM(D15:D24)</f>
        <v>2775.4</v>
      </c>
      <c r="E13" s="39">
        <f>B13+C13+D13</f>
        <v>244417.4</v>
      </c>
      <c r="F13" s="39">
        <f>SUM(F15:F24)</f>
        <v>23658.8</v>
      </c>
      <c r="G13" s="39">
        <f>SUM(G15:G24)</f>
        <v>11920</v>
      </c>
      <c r="H13" s="39">
        <f>E13+F13+G13</f>
        <v>279996.2</v>
      </c>
      <c r="I13" s="39">
        <f>SUM(I15:I24)</f>
        <v>-18360</v>
      </c>
      <c r="J13" s="39">
        <f>SUM(J15:J24)</f>
        <v>0</v>
      </c>
      <c r="K13" s="39">
        <f>H13+I13+J13</f>
        <v>261636.2</v>
      </c>
    </row>
    <row r="14" spans="1:11" ht="9.75" customHeight="1">
      <c r="A14" s="10" t="s">
        <v>65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2.75">
      <c r="A15" s="8" t="s">
        <v>69</v>
      </c>
      <c r="B15" s="40">
        <v>9000</v>
      </c>
      <c r="C15" s="40"/>
      <c r="D15" s="40"/>
      <c r="E15" s="40">
        <f>B15+C15</f>
        <v>9000</v>
      </c>
      <c r="F15" s="40"/>
      <c r="G15" s="40"/>
      <c r="H15" s="40">
        <f aca="true" t="shared" si="0" ref="H15:H30">E15+F15+G15</f>
        <v>9000</v>
      </c>
      <c r="I15" s="40"/>
      <c r="J15" s="40"/>
      <c r="K15" s="40">
        <f aca="true" t="shared" si="1" ref="K15:K30">H15+I15+J15</f>
        <v>9000</v>
      </c>
    </row>
    <row r="16" spans="1:11" ht="12.75">
      <c r="A16" s="8" t="s">
        <v>170</v>
      </c>
      <c r="B16" s="40"/>
      <c r="C16" s="40">
        <v>50000</v>
      </c>
      <c r="D16" s="40"/>
      <c r="E16" s="40">
        <f>B16+C16</f>
        <v>50000</v>
      </c>
      <c r="F16" s="40"/>
      <c r="G16" s="40"/>
      <c r="H16" s="40">
        <f t="shared" si="0"/>
        <v>50000</v>
      </c>
      <c r="I16" s="40"/>
      <c r="J16" s="40"/>
      <c r="K16" s="40">
        <f t="shared" si="1"/>
        <v>50000</v>
      </c>
    </row>
    <row r="17" spans="1:11" ht="12.75">
      <c r="A17" s="8" t="s">
        <v>70</v>
      </c>
      <c r="B17" s="40">
        <v>4187</v>
      </c>
      <c r="C17" s="40"/>
      <c r="D17" s="40"/>
      <c r="E17" s="40">
        <f>B17+C17</f>
        <v>4187</v>
      </c>
      <c r="F17" s="40">
        <v>1000</v>
      </c>
      <c r="G17" s="40"/>
      <c r="H17" s="40">
        <f t="shared" si="0"/>
        <v>5187</v>
      </c>
      <c r="I17" s="40"/>
      <c r="J17" s="40"/>
      <c r="K17" s="40">
        <f t="shared" si="1"/>
        <v>5187</v>
      </c>
    </row>
    <row r="18" spans="1:11" ht="12.75">
      <c r="A18" s="8" t="s">
        <v>60</v>
      </c>
      <c r="B18" s="40">
        <v>40000</v>
      </c>
      <c r="C18" s="40"/>
      <c r="D18" s="40"/>
      <c r="E18" s="40">
        <f>B18+C18</f>
        <v>40000</v>
      </c>
      <c r="F18" s="40"/>
      <c r="G18" s="40"/>
      <c r="H18" s="40">
        <f t="shared" si="0"/>
        <v>40000</v>
      </c>
      <c r="I18" s="40"/>
      <c r="J18" s="40"/>
      <c r="K18" s="40">
        <f t="shared" si="1"/>
        <v>40000</v>
      </c>
    </row>
    <row r="19" spans="1:11" ht="12.75">
      <c r="A19" s="8" t="s">
        <v>171</v>
      </c>
      <c r="B19" s="40"/>
      <c r="C19" s="40">
        <v>9253.2</v>
      </c>
      <c r="D19" s="40"/>
      <c r="E19" s="40">
        <f>B19+C19</f>
        <v>9253.2</v>
      </c>
      <c r="F19" s="40"/>
      <c r="G19" s="40"/>
      <c r="H19" s="40">
        <f t="shared" si="0"/>
        <v>9253.2</v>
      </c>
      <c r="I19" s="40"/>
      <c r="J19" s="40"/>
      <c r="K19" s="40">
        <f t="shared" si="1"/>
        <v>9253.2</v>
      </c>
    </row>
    <row r="20" spans="1:11" ht="12.75">
      <c r="A20" s="8" t="s">
        <v>233</v>
      </c>
      <c r="B20" s="40"/>
      <c r="C20" s="40"/>
      <c r="D20" s="40"/>
      <c r="E20" s="40"/>
      <c r="F20" s="40"/>
      <c r="G20" s="40"/>
      <c r="H20" s="40"/>
      <c r="I20" s="70">
        <v>11034</v>
      </c>
      <c r="J20" s="40"/>
      <c r="K20" s="40">
        <f t="shared" si="1"/>
        <v>11034</v>
      </c>
    </row>
    <row r="21" spans="1:11" ht="12.75">
      <c r="A21" s="8" t="s">
        <v>232</v>
      </c>
      <c r="B21" s="40"/>
      <c r="C21" s="40"/>
      <c r="D21" s="40"/>
      <c r="E21" s="40"/>
      <c r="F21" s="40"/>
      <c r="G21" s="40"/>
      <c r="H21" s="40"/>
      <c r="I21" s="40">
        <v>634</v>
      </c>
      <c r="J21" s="40"/>
      <c r="K21" s="40">
        <f t="shared" si="1"/>
        <v>634</v>
      </c>
    </row>
    <row r="22" spans="1:11" ht="12.75">
      <c r="A22" s="8" t="s">
        <v>226</v>
      </c>
      <c r="B22" s="40"/>
      <c r="C22" s="40"/>
      <c r="D22" s="40"/>
      <c r="E22" s="40"/>
      <c r="F22" s="40"/>
      <c r="G22" s="40"/>
      <c r="H22" s="40"/>
      <c r="I22" s="40">
        <v>7</v>
      </c>
      <c r="J22" s="40"/>
      <c r="K22" s="40">
        <f t="shared" si="1"/>
        <v>7</v>
      </c>
    </row>
    <row r="23" spans="1:11" ht="12.75">
      <c r="A23" s="8" t="s">
        <v>195</v>
      </c>
      <c r="B23" s="40"/>
      <c r="C23" s="40"/>
      <c r="D23" s="40"/>
      <c r="E23" s="40"/>
      <c r="F23" s="40">
        <v>22658.8</v>
      </c>
      <c r="G23" s="40">
        <v>11920</v>
      </c>
      <c r="H23" s="40">
        <f t="shared" si="0"/>
        <v>34578.8</v>
      </c>
      <c r="I23" s="40"/>
      <c r="J23" s="40"/>
      <c r="K23" s="40">
        <f t="shared" si="1"/>
        <v>34578.8</v>
      </c>
    </row>
    <row r="24" spans="1:11" ht="12.75">
      <c r="A24" s="8" t="s">
        <v>59</v>
      </c>
      <c r="B24" s="40">
        <f>SUM(B25:B29)</f>
        <v>129566</v>
      </c>
      <c r="C24" s="40">
        <f>SUM(C25:C29)</f>
        <v>-364.2</v>
      </c>
      <c r="D24" s="40">
        <f>SUM(D25:D29)</f>
        <v>2775.4</v>
      </c>
      <c r="E24" s="40">
        <f>B24+C24+D24</f>
        <v>131977.2</v>
      </c>
      <c r="F24" s="40"/>
      <c r="G24" s="40"/>
      <c r="H24" s="40">
        <f t="shared" si="0"/>
        <v>131977.2</v>
      </c>
      <c r="I24" s="40">
        <f>SUM(I25:I29)</f>
        <v>-30035</v>
      </c>
      <c r="J24" s="40">
        <f>SUM(J25:J29)</f>
        <v>0</v>
      </c>
      <c r="K24" s="40">
        <f t="shared" si="1"/>
        <v>101942.20000000001</v>
      </c>
    </row>
    <row r="25" spans="1:11" ht="12.75">
      <c r="A25" s="8" t="s">
        <v>71</v>
      </c>
      <c r="B25" s="40">
        <v>52000</v>
      </c>
      <c r="C25" s="40"/>
      <c r="D25" s="40"/>
      <c r="E25" s="40">
        <f>B25+C25</f>
        <v>52000</v>
      </c>
      <c r="F25" s="40"/>
      <c r="G25" s="40"/>
      <c r="H25" s="40">
        <f t="shared" si="0"/>
        <v>52000</v>
      </c>
      <c r="I25" s="40">
        <v>-30086</v>
      </c>
      <c r="J25" s="40"/>
      <c r="K25" s="40">
        <f t="shared" si="1"/>
        <v>21914</v>
      </c>
    </row>
    <row r="26" spans="1:11" ht="12.75">
      <c r="A26" s="8" t="s">
        <v>61</v>
      </c>
      <c r="B26" s="40">
        <v>26718</v>
      </c>
      <c r="C26" s="40"/>
      <c r="D26" s="40">
        <v>2775.4</v>
      </c>
      <c r="E26" s="40">
        <f>B26+C26+D26</f>
        <v>29493.4</v>
      </c>
      <c r="F26" s="40"/>
      <c r="G26" s="40"/>
      <c r="H26" s="40">
        <f t="shared" si="0"/>
        <v>29493.4</v>
      </c>
      <c r="I26" s="40"/>
      <c r="J26" s="40"/>
      <c r="K26" s="40">
        <f t="shared" si="1"/>
        <v>29493.4</v>
      </c>
    </row>
    <row r="27" spans="1:11" ht="12.75">
      <c r="A27" s="8" t="s">
        <v>62</v>
      </c>
      <c r="B27" s="40">
        <v>25574</v>
      </c>
      <c r="C27" s="40"/>
      <c r="D27" s="40"/>
      <c r="E27" s="40">
        <f>B27+C27+D27</f>
        <v>25574</v>
      </c>
      <c r="F27" s="40"/>
      <c r="G27" s="40"/>
      <c r="H27" s="40">
        <f t="shared" si="0"/>
        <v>25574</v>
      </c>
      <c r="I27" s="40"/>
      <c r="J27" s="40"/>
      <c r="K27" s="40">
        <f t="shared" si="1"/>
        <v>25574</v>
      </c>
    </row>
    <row r="28" spans="1:11" ht="12.75">
      <c r="A28" s="8" t="s">
        <v>63</v>
      </c>
      <c r="B28" s="40">
        <v>4720</v>
      </c>
      <c r="C28" s="40"/>
      <c r="D28" s="40"/>
      <c r="E28" s="40">
        <f>B28+C28</f>
        <v>4720</v>
      </c>
      <c r="F28" s="40"/>
      <c r="G28" s="40"/>
      <c r="H28" s="40">
        <f t="shared" si="0"/>
        <v>4720</v>
      </c>
      <c r="I28" s="40">
        <v>51</v>
      </c>
      <c r="J28" s="40"/>
      <c r="K28" s="40">
        <f t="shared" si="1"/>
        <v>4771</v>
      </c>
    </row>
    <row r="29" spans="1:11" ht="12.75">
      <c r="A29" s="8" t="s">
        <v>64</v>
      </c>
      <c r="B29" s="40">
        <v>20554</v>
      </c>
      <c r="C29" s="40">
        <v>-364.2</v>
      </c>
      <c r="D29" s="40"/>
      <c r="E29" s="40">
        <f>B29+C29</f>
        <v>20189.8</v>
      </c>
      <c r="F29" s="40"/>
      <c r="G29" s="40"/>
      <c r="H29" s="40">
        <f t="shared" si="0"/>
        <v>20189.8</v>
      </c>
      <c r="I29" s="40"/>
      <c r="J29" s="40"/>
      <c r="K29" s="40">
        <f t="shared" si="1"/>
        <v>20189.8</v>
      </c>
    </row>
    <row r="30" spans="1:11" ht="13.5" customHeight="1">
      <c r="A30" s="12" t="s">
        <v>88</v>
      </c>
      <c r="B30" s="41">
        <f>B32+B34</f>
        <v>0</v>
      </c>
      <c r="C30" s="41">
        <f>C32+C34</f>
        <v>6500</v>
      </c>
      <c r="D30" s="41">
        <f>D32+D34</f>
        <v>50</v>
      </c>
      <c r="E30" s="39">
        <f>B30+C30+D30</f>
        <v>6550</v>
      </c>
      <c r="F30" s="41">
        <f>SUM(F32:F34)</f>
        <v>9100</v>
      </c>
      <c r="G30" s="41">
        <f>G32+G34</f>
        <v>0</v>
      </c>
      <c r="H30" s="39">
        <f t="shared" si="0"/>
        <v>15650</v>
      </c>
      <c r="I30" s="41">
        <f>SUM(I32:I34)</f>
        <v>19052</v>
      </c>
      <c r="J30" s="41">
        <f>J32+J34</f>
        <v>0</v>
      </c>
      <c r="K30" s="39">
        <f t="shared" si="1"/>
        <v>34702</v>
      </c>
    </row>
    <row r="31" spans="1:11" ht="9.75" customHeight="1">
      <c r="A31" s="10" t="s">
        <v>65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2.75">
      <c r="A32" s="8" t="s">
        <v>89</v>
      </c>
      <c r="B32" s="40"/>
      <c r="C32" s="40"/>
      <c r="D32" s="40">
        <v>50</v>
      </c>
      <c r="E32" s="40">
        <f>B32+C32+D32</f>
        <v>50</v>
      </c>
      <c r="F32" s="40"/>
      <c r="G32" s="40"/>
      <c r="H32" s="40">
        <f>E32+F32+G32</f>
        <v>50</v>
      </c>
      <c r="I32" s="40"/>
      <c r="J32" s="40"/>
      <c r="K32" s="40">
        <f>H32+I32+J32</f>
        <v>50</v>
      </c>
    </row>
    <row r="33" spans="1:11" ht="12.75">
      <c r="A33" s="8" t="s">
        <v>196</v>
      </c>
      <c r="B33" s="40"/>
      <c r="C33" s="40"/>
      <c r="D33" s="40"/>
      <c r="E33" s="40"/>
      <c r="F33" s="40">
        <v>9100</v>
      </c>
      <c r="G33" s="40"/>
      <c r="H33" s="40">
        <f>E33+F33+G33</f>
        <v>9100</v>
      </c>
      <c r="I33" s="70">
        <v>19052</v>
      </c>
      <c r="J33" s="40"/>
      <c r="K33" s="40">
        <f>H33+I33+J33</f>
        <v>28152</v>
      </c>
    </row>
    <row r="34" spans="1:11" ht="12.75">
      <c r="A34" s="8" t="s">
        <v>113</v>
      </c>
      <c r="B34" s="40"/>
      <c r="C34" s="40">
        <v>6500</v>
      </c>
      <c r="D34" s="40"/>
      <c r="E34" s="40">
        <f>B34+C34+D34</f>
        <v>6500</v>
      </c>
      <c r="F34" s="40"/>
      <c r="G34" s="40"/>
      <c r="H34" s="40">
        <f>E34+F34+G34</f>
        <v>6500</v>
      </c>
      <c r="I34" s="40"/>
      <c r="J34" s="40"/>
      <c r="K34" s="40">
        <f>H34+I34+J34</f>
        <v>6500</v>
      </c>
    </row>
    <row r="35" spans="1:11" ht="12.75">
      <c r="A35" s="2" t="s">
        <v>143</v>
      </c>
      <c r="B35" s="39">
        <f>SUM(B37:B50)</f>
        <v>79147</v>
      </c>
      <c r="C35" s="39">
        <f>SUM(C37:C50)</f>
        <v>1048526.1</v>
      </c>
      <c r="D35" s="39">
        <f>SUM(D37:D50)</f>
        <v>0</v>
      </c>
      <c r="E35" s="39">
        <f>B35+C35+D35</f>
        <v>1127673.1</v>
      </c>
      <c r="F35" s="39">
        <f>SUM(F37:F50)</f>
        <v>1056587.3000000003</v>
      </c>
      <c r="G35" s="39">
        <f>SUM(G37:G50)</f>
        <v>0</v>
      </c>
      <c r="H35" s="39">
        <f>E35+F35+G35</f>
        <v>2184260.4000000004</v>
      </c>
      <c r="I35" s="39">
        <f>SUM(I37:I50)</f>
        <v>1052405.6</v>
      </c>
      <c r="J35" s="39">
        <f>SUM(J37:J50)</f>
        <v>0</v>
      </c>
      <c r="K35" s="39">
        <f>H35+I35+J35</f>
        <v>3236666.0000000005</v>
      </c>
    </row>
    <row r="36" spans="1:11" ht="9.75" customHeight="1">
      <c r="A36" s="3" t="s">
        <v>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4" t="s">
        <v>144</v>
      </c>
      <c r="B37" s="42">
        <v>78997</v>
      </c>
      <c r="C37" s="42"/>
      <c r="D37" s="42"/>
      <c r="E37" s="40">
        <f aca="true" t="shared" si="2" ref="E37:E48">B37+C37</f>
        <v>78997</v>
      </c>
      <c r="F37" s="42"/>
      <c r="G37" s="42"/>
      <c r="H37" s="40">
        <f aca="true" t="shared" si="3" ref="H37:H50">E37+F37+G37</f>
        <v>78997</v>
      </c>
      <c r="I37" s="42"/>
      <c r="J37" s="42"/>
      <c r="K37" s="40">
        <f aca="true" t="shared" si="4" ref="K37:K50">H37+I37+J37</f>
        <v>78997</v>
      </c>
    </row>
    <row r="38" spans="1:11" ht="12.75">
      <c r="A38" s="4" t="s">
        <v>24</v>
      </c>
      <c r="B38" s="42"/>
      <c r="C38" s="42">
        <f>3649+440.4</f>
        <v>4089.4</v>
      </c>
      <c r="D38" s="42"/>
      <c r="E38" s="40">
        <f t="shared" si="2"/>
        <v>4089.4</v>
      </c>
      <c r="F38" s="42"/>
      <c r="G38" s="42"/>
      <c r="H38" s="40">
        <f t="shared" si="3"/>
        <v>4089.4</v>
      </c>
      <c r="I38" s="42">
        <f>555.7+10+119.5+828.8+423+462.6</f>
        <v>2399.6</v>
      </c>
      <c r="J38" s="42"/>
      <c r="K38" s="40">
        <f t="shared" si="4"/>
        <v>6489</v>
      </c>
    </row>
    <row r="39" spans="1:11" ht="12.75" customHeight="1">
      <c r="A39" s="4" t="s">
        <v>43</v>
      </c>
      <c r="B39" s="42"/>
      <c r="C39" s="42">
        <f>1038328+1787.2+200+1371</f>
        <v>1041686.2</v>
      </c>
      <c r="D39" s="42"/>
      <c r="E39" s="40">
        <f t="shared" si="2"/>
        <v>1041686.2</v>
      </c>
      <c r="F39" s="42">
        <f>1040013+1086+3845.8+12+770</f>
        <v>1045726.8</v>
      </c>
      <c r="G39" s="42"/>
      <c r="H39" s="40">
        <f t="shared" si="3"/>
        <v>2087413</v>
      </c>
      <c r="I39" s="42">
        <f>767.3+1653.6+1011439+22390+2917+100.9+300+352.4+561</f>
        <v>1040481.2000000001</v>
      </c>
      <c r="J39" s="42"/>
      <c r="K39" s="40">
        <f t="shared" si="4"/>
        <v>3127894.2</v>
      </c>
    </row>
    <row r="40" spans="1:11" ht="12.75">
      <c r="A40" s="4" t="s">
        <v>52</v>
      </c>
      <c r="B40" s="42"/>
      <c r="C40" s="42">
        <f>1225.5+74.9</f>
        <v>1300.4</v>
      </c>
      <c r="D40" s="42"/>
      <c r="E40" s="40">
        <f t="shared" si="2"/>
        <v>1300.4</v>
      </c>
      <c r="F40" s="42">
        <f>2568.3+1141.2</f>
        <v>3709.5</v>
      </c>
      <c r="G40" s="42"/>
      <c r="H40" s="40">
        <f t="shared" si="3"/>
        <v>5009.9</v>
      </c>
      <c r="I40" s="42">
        <f>662</f>
        <v>662</v>
      </c>
      <c r="J40" s="42"/>
      <c r="K40" s="40">
        <f t="shared" si="4"/>
        <v>5671.9</v>
      </c>
    </row>
    <row r="41" spans="1:11" ht="12.75">
      <c r="A41" s="4" t="s">
        <v>83</v>
      </c>
      <c r="B41" s="42"/>
      <c r="C41" s="42">
        <v>13</v>
      </c>
      <c r="D41" s="42"/>
      <c r="E41" s="40">
        <f t="shared" si="2"/>
        <v>13</v>
      </c>
      <c r="F41" s="42">
        <f>6118+47.6</f>
        <v>6165.6</v>
      </c>
      <c r="G41" s="42"/>
      <c r="H41" s="40">
        <f t="shared" si="3"/>
        <v>6178.6</v>
      </c>
      <c r="I41" s="42">
        <f>3512.3+451.8+4537.1</f>
        <v>8501.2</v>
      </c>
      <c r="J41" s="42"/>
      <c r="K41" s="40">
        <f t="shared" si="4"/>
        <v>14679.800000000001</v>
      </c>
    </row>
    <row r="42" spans="1:11" ht="12.75">
      <c r="A42" s="4" t="s">
        <v>212</v>
      </c>
      <c r="B42" s="42"/>
      <c r="C42" s="42"/>
      <c r="D42" s="42"/>
      <c r="E42" s="40">
        <f t="shared" si="2"/>
        <v>0</v>
      </c>
      <c r="F42" s="42">
        <f>120+612</f>
        <v>732</v>
      </c>
      <c r="G42" s="42"/>
      <c r="H42" s="40">
        <f t="shared" si="3"/>
        <v>732</v>
      </c>
      <c r="I42" s="42">
        <f>40+20+34+61</f>
        <v>155</v>
      </c>
      <c r="J42" s="42"/>
      <c r="K42" s="40">
        <f t="shared" si="4"/>
        <v>887</v>
      </c>
    </row>
    <row r="43" spans="1:11" ht="12.75">
      <c r="A43" s="4" t="s">
        <v>223</v>
      </c>
      <c r="B43" s="42"/>
      <c r="C43" s="42"/>
      <c r="D43" s="42"/>
      <c r="E43" s="40"/>
      <c r="F43" s="42"/>
      <c r="G43" s="42"/>
      <c r="H43" s="40"/>
      <c r="I43" s="42">
        <v>50</v>
      </c>
      <c r="J43" s="42"/>
      <c r="K43" s="40">
        <f t="shared" si="4"/>
        <v>50</v>
      </c>
    </row>
    <row r="44" spans="1:11" ht="12.75">
      <c r="A44" s="4" t="s">
        <v>224</v>
      </c>
      <c r="B44" s="42"/>
      <c r="C44" s="42"/>
      <c r="D44" s="42"/>
      <c r="E44" s="40"/>
      <c r="F44" s="42"/>
      <c r="G44" s="42"/>
      <c r="H44" s="40"/>
      <c r="I44" s="42">
        <v>130</v>
      </c>
      <c r="J44" s="42"/>
      <c r="K44" s="40">
        <f t="shared" si="4"/>
        <v>130</v>
      </c>
    </row>
    <row r="45" spans="1:11" ht="12.75">
      <c r="A45" s="4" t="s">
        <v>192</v>
      </c>
      <c r="B45" s="42"/>
      <c r="C45" s="42"/>
      <c r="D45" s="42"/>
      <c r="E45" s="40">
        <f t="shared" si="2"/>
        <v>0</v>
      </c>
      <c r="F45" s="42">
        <v>3.1</v>
      </c>
      <c r="G45" s="42"/>
      <c r="H45" s="40">
        <f t="shared" si="3"/>
        <v>3.1</v>
      </c>
      <c r="I45" s="42"/>
      <c r="J45" s="42"/>
      <c r="K45" s="40">
        <f t="shared" si="4"/>
        <v>3.1</v>
      </c>
    </row>
    <row r="46" spans="1:11" ht="12.75">
      <c r="A46" s="4" t="s">
        <v>169</v>
      </c>
      <c r="B46" s="42"/>
      <c r="C46" s="42">
        <v>45.2</v>
      </c>
      <c r="D46" s="42"/>
      <c r="E46" s="40">
        <f t="shared" si="2"/>
        <v>45.2</v>
      </c>
      <c r="F46" s="42"/>
      <c r="G46" s="42"/>
      <c r="H46" s="40">
        <f t="shared" si="3"/>
        <v>45.2</v>
      </c>
      <c r="I46" s="42"/>
      <c r="J46" s="42"/>
      <c r="K46" s="40">
        <f t="shared" si="4"/>
        <v>45.2</v>
      </c>
    </row>
    <row r="47" spans="1:11" ht="12.75">
      <c r="A47" s="4" t="s">
        <v>25</v>
      </c>
      <c r="B47" s="42"/>
      <c r="C47" s="42">
        <f>14+31.3+8+16</f>
        <v>69.3</v>
      </c>
      <c r="D47" s="42"/>
      <c r="E47" s="40">
        <f t="shared" si="2"/>
        <v>69.3</v>
      </c>
      <c r="F47" s="42">
        <f>10.8+12+16+7</f>
        <v>45.8</v>
      </c>
      <c r="G47" s="42"/>
      <c r="H47" s="40">
        <f t="shared" si="3"/>
        <v>115.1</v>
      </c>
      <c r="I47" s="42">
        <f>24+2.6</f>
        <v>26.6</v>
      </c>
      <c r="J47" s="42"/>
      <c r="K47" s="40">
        <f t="shared" si="4"/>
        <v>141.7</v>
      </c>
    </row>
    <row r="48" spans="1:11" ht="12.75">
      <c r="A48" s="4" t="s">
        <v>104</v>
      </c>
      <c r="B48" s="42"/>
      <c r="C48" s="42">
        <f>1322.6</f>
        <v>1322.6</v>
      </c>
      <c r="D48" s="42"/>
      <c r="E48" s="40">
        <f t="shared" si="2"/>
        <v>1322.6</v>
      </c>
      <c r="F48" s="42">
        <v>204.5</v>
      </c>
      <c r="G48" s="42"/>
      <c r="H48" s="40">
        <f t="shared" si="3"/>
        <v>1527.1</v>
      </c>
      <c r="I48" s="42"/>
      <c r="J48" s="42"/>
      <c r="K48" s="40">
        <f t="shared" si="4"/>
        <v>1527.1</v>
      </c>
    </row>
    <row r="49" spans="1:11" ht="12.75" hidden="1">
      <c r="A49" s="4" t="s">
        <v>79</v>
      </c>
      <c r="B49" s="42"/>
      <c r="C49" s="42"/>
      <c r="D49" s="42"/>
      <c r="E49" s="40">
        <f>B49+C49+D49</f>
        <v>0</v>
      </c>
      <c r="F49" s="42"/>
      <c r="G49" s="42"/>
      <c r="H49" s="40">
        <f t="shared" si="3"/>
        <v>0</v>
      </c>
      <c r="I49" s="42"/>
      <c r="J49" s="42"/>
      <c r="K49" s="40">
        <f t="shared" si="4"/>
        <v>0</v>
      </c>
    </row>
    <row r="50" spans="1:11" ht="12.75">
      <c r="A50" s="4" t="s">
        <v>26</v>
      </c>
      <c r="B50" s="42">
        <v>150</v>
      </c>
      <c r="C50" s="42"/>
      <c r="D50" s="42"/>
      <c r="E50" s="40">
        <f>B50+C50+D50</f>
        <v>150</v>
      </c>
      <c r="F50" s="42"/>
      <c r="G50" s="42"/>
      <c r="H50" s="40">
        <f t="shared" si="3"/>
        <v>150</v>
      </c>
      <c r="I50" s="42"/>
      <c r="J50" s="42"/>
      <c r="K50" s="40">
        <f t="shared" si="4"/>
        <v>150</v>
      </c>
    </row>
    <row r="51" spans="1:11" ht="12.75">
      <c r="A51" s="12" t="s">
        <v>193</v>
      </c>
      <c r="B51" s="42"/>
      <c r="C51" s="42"/>
      <c r="D51" s="42"/>
      <c r="E51" s="41">
        <f aca="true" t="shared" si="5" ref="E51:K51">E53</f>
        <v>0</v>
      </c>
      <c r="F51" s="41">
        <f t="shared" si="5"/>
        <v>12</v>
      </c>
      <c r="G51" s="41">
        <f t="shared" si="5"/>
        <v>0</v>
      </c>
      <c r="H51" s="41">
        <f t="shared" si="5"/>
        <v>12</v>
      </c>
      <c r="I51" s="41">
        <f t="shared" si="5"/>
        <v>468.4</v>
      </c>
      <c r="J51" s="41">
        <f t="shared" si="5"/>
        <v>0</v>
      </c>
      <c r="K51" s="41">
        <f t="shared" si="5"/>
        <v>480.4</v>
      </c>
    </row>
    <row r="52" spans="1:11" ht="12.75">
      <c r="A52" s="10" t="s">
        <v>1</v>
      </c>
      <c r="B52" s="42"/>
      <c r="C52" s="42"/>
      <c r="D52" s="42"/>
      <c r="E52" s="40"/>
      <c r="F52" s="42"/>
      <c r="G52" s="42"/>
      <c r="H52" s="40"/>
      <c r="I52" s="42"/>
      <c r="J52" s="42"/>
      <c r="K52" s="40"/>
    </row>
    <row r="53" spans="1:11" ht="12.75">
      <c r="A53" s="4" t="s">
        <v>207</v>
      </c>
      <c r="B53" s="42"/>
      <c r="C53" s="42"/>
      <c r="D53" s="42"/>
      <c r="E53" s="40"/>
      <c r="F53" s="42">
        <v>12</v>
      </c>
      <c r="G53" s="42"/>
      <c r="H53" s="40">
        <f>E53+F53+G53</f>
        <v>12</v>
      </c>
      <c r="I53" s="42">
        <f>468.4</f>
        <v>468.4</v>
      </c>
      <c r="J53" s="42"/>
      <c r="K53" s="40">
        <f>H53+I53+J53</f>
        <v>480.4</v>
      </c>
    </row>
    <row r="54" spans="1:11" ht="12.75">
      <c r="A54" s="2" t="s">
        <v>145</v>
      </c>
      <c r="B54" s="39">
        <f>SUM(B56:B61)</f>
        <v>0</v>
      </c>
      <c r="C54" s="39">
        <f>SUM(C56:C61)</f>
        <v>600</v>
      </c>
      <c r="D54" s="39"/>
      <c r="E54" s="39">
        <f>B54+C54</f>
        <v>600</v>
      </c>
      <c r="F54" s="39">
        <f>SUM(F56:F61)</f>
        <v>100030.09999999999</v>
      </c>
      <c r="G54" s="39"/>
      <c r="H54" s="39">
        <f>E54+F54+G54</f>
        <v>100630.09999999999</v>
      </c>
      <c r="I54" s="39">
        <f>SUM(I56:I61)</f>
        <v>0</v>
      </c>
      <c r="J54" s="39"/>
      <c r="K54" s="39">
        <f>H54+I54+J54</f>
        <v>100630.09999999999</v>
      </c>
    </row>
    <row r="55" spans="1:11" ht="12.75">
      <c r="A55" s="3" t="s">
        <v>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3.5" customHeight="1" hidden="1">
      <c r="A56" s="4" t="s">
        <v>43</v>
      </c>
      <c r="B56" s="42"/>
      <c r="C56" s="42"/>
      <c r="D56" s="42"/>
      <c r="E56" s="40">
        <f aca="true" t="shared" si="6" ref="E56:E61">B56+C56</f>
        <v>0</v>
      </c>
      <c r="F56" s="42"/>
      <c r="G56" s="42"/>
      <c r="H56" s="40">
        <f>E56+F56</f>
        <v>0</v>
      </c>
      <c r="I56" s="42"/>
      <c r="J56" s="42"/>
      <c r="K56" s="40">
        <f>H56+I56</f>
        <v>0</v>
      </c>
    </row>
    <row r="57" spans="1:11" ht="12.75" hidden="1">
      <c r="A57" s="5" t="s">
        <v>87</v>
      </c>
      <c r="B57" s="42"/>
      <c r="C57" s="42"/>
      <c r="D57" s="42"/>
      <c r="E57" s="40">
        <f t="shared" si="6"/>
        <v>0</v>
      </c>
      <c r="F57" s="42"/>
      <c r="G57" s="42"/>
      <c r="H57" s="40">
        <f>E57+F57</f>
        <v>0</v>
      </c>
      <c r="I57" s="42"/>
      <c r="J57" s="42"/>
      <c r="K57" s="40">
        <f>H57+I57</f>
        <v>0</v>
      </c>
    </row>
    <row r="58" spans="1:11" ht="12.75">
      <c r="A58" s="4" t="s">
        <v>83</v>
      </c>
      <c r="B58" s="42"/>
      <c r="C58" s="42">
        <v>600</v>
      </c>
      <c r="D58" s="42"/>
      <c r="E58" s="40">
        <f t="shared" si="6"/>
        <v>600</v>
      </c>
      <c r="F58" s="42">
        <f>23232.8+1702.6+65175.7+9919</f>
        <v>100030.09999999999</v>
      </c>
      <c r="G58" s="42"/>
      <c r="H58" s="40">
        <f>E58+F58+G58</f>
        <v>100630.09999999999</v>
      </c>
      <c r="I58" s="42"/>
      <c r="J58" s="42"/>
      <c r="K58" s="40">
        <f>H58+I58+J58</f>
        <v>100630.09999999999</v>
      </c>
    </row>
    <row r="59" spans="1:11" ht="12.75" hidden="1">
      <c r="A59" s="4" t="s">
        <v>114</v>
      </c>
      <c r="B59" s="42"/>
      <c r="C59" s="42"/>
      <c r="D59" s="42"/>
      <c r="E59" s="40">
        <f t="shared" si="6"/>
        <v>0</v>
      </c>
      <c r="F59" s="42"/>
      <c r="G59" s="42"/>
      <c r="H59" s="40">
        <f>E59+F59</f>
        <v>0</v>
      </c>
      <c r="I59" s="42"/>
      <c r="J59" s="42"/>
      <c r="K59" s="40">
        <f>H59+I59</f>
        <v>0</v>
      </c>
    </row>
    <row r="60" spans="1:11" ht="12.75" hidden="1">
      <c r="A60" s="4" t="s">
        <v>119</v>
      </c>
      <c r="B60" s="42"/>
      <c r="C60" s="42"/>
      <c r="D60" s="42"/>
      <c r="E60" s="40">
        <f t="shared" si="6"/>
        <v>0</v>
      </c>
      <c r="F60" s="42"/>
      <c r="G60" s="42"/>
      <c r="H60" s="40">
        <f>E60+F60</f>
        <v>0</v>
      </c>
      <c r="I60" s="42"/>
      <c r="J60" s="42"/>
      <c r="K60" s="40">
        <f>H60+I60</f>
        <v>0</v>
      </c>
    </row>
    <row r="61" spans="1:11" ht="12.75" hidden="1">
      <c r="A61" s="4" t="s">
        <v>26</v>
      </c>
      <c r="B61" s="42"/>
      <c r="C61" s="42"/>
      <c r="D61" s="42"/>
      <c r="E61" s="40">
        <f t="shared" si="6"/>
        <v>0</v>
      </c>
      <c r="F61" s="42"/>
      <c r="G61" s="42"/>
      <c r="H61" s="40">
        <f>E61+F61</f>
        <v>0</v>
      </c>
      <c r="I61" s="42"/>
      <c r="J61" s="42"/>
      <c r="K61" s="40">
        <f>H61+I61</f>
        <v>0</v>
      </c>
    </row>
    <row r="62" spans="1:11" ht="12.75">
      <c r="A62" s="12" t="s">
        <v>194</v>
      </c>
      <c r="B62" s="42"/>
      <c r="C62" s="42"/>
      <c r="D62" s="42"/>
      <c r="E62" s="41">
        <f aca="true" t="shared" si="7" ref="E62:J62">E64</f>
        <v>0</v>
      </c>
      <c r="F62" s="41">
        <f t="shared" si="7"/>
        <v>4861.9</v>
      </c>
      <c r="G62" s="41">
        <f t="shared" si="7"/>
        <v>0</v>
      </c>
      <c r="H62" s="41">
        <f>H64+H65</f>
        <v>4861.9</v>
      </c>
      <c r="I62" s="41">
        <f>I64+I65</f>
        <v>79865.7</v>
      </c>
      <c r="J62" s="41">
        <f t="shared" si="7"/>
        <v>0</v>
      </c>
      <c r="K62" s="41">
        <f>K64+K65</f>
        <v>84727.6</v>
      </c>
    </row>
    <row r="63" spans="1:11" ht="12.75">
      <c r="A63" s="10" t="s">
        <v>1</v>
      </c>
      <c r="B63" s="42"/>
      <c r="C63" s="42"/>
      <c r="D63" s="42"/>
      <c r="E63" s="40"/>
      <c r="F63" s="42"/>
      <c r="G63" s="42"/>
      <c r="H63" s="40"/>
      <c r="I63" s="42"/>
      <c r="J63" s="42"/>
      <c r="K63" s="40"/>
    </row>
    <row r="64" spans="1:11" ht="12.75">
      <c r="A64" s="4" t="s">
        <v>208</v>
      </c>
      <c r="B64" s="42"/>
      <c r="C64" s="42"/>
      <c r="D64" s="42"/>
      <c r="E64" s="40"/>
      <c r="F64" s="42">
        <v>4861.9</v>
      </c>
      <c r="G64" s="42"/>
      <c r="H64" s="40">
        <f>E64+F64+G64</f>
        <v>4861.9</v>
      </c>
      <c r="I64" s="42">
        <f>16889+14293.7</f>
        <v>31182.7</v>
      </c>
      <c r="J64" s="42"/>
      <c r="K64" s="40">
        <f>H64+I64+J64</f>
        <v>36044.6</v>
      </c>
    </row>
    <row r="65" spans="1:11" ht="12.75">
      <c r="A65" s="4" t="s">
        <v>225</v>
      </c>
      <c r="B65" s="42"/>
      <c r="C65" s="42"/>
      <c r="D65" s="42"/>
      <c r="E65" s="40"/>
      <c r="F65" s="42"/>
      <c r="G65" s="42"/>
      <c r="H65" s="40"/>
      <c r="I65" s="42">
        <f>48625.9+57.1</f>
        <v>48683</v>
      </c>
      <c r="J65" s="42"/>
      <c r="K65" s="40">
        <f>H65+I65+J65</f>
        <v>48683</v>
      </c>
    </row>
    <row r="66" spans="1:11" ht="12.75">
      <c r="A66" s="12" t="s">
        <v>68</v>
      </c>
      <c r="B66" s="41"/>
      <c r="C66" s="41"/>
      <c r="D66" s="41"/>
      <c r="E66" s="41">
        <f>B66+C66+D66</f>
        <v>0</v>
      </c>
      <c r="F66" s="41">
        <v>78</v>
      </c>
      <c r="G66" s="41">
        <v>4950.3</v>
      </c>
      <c r="H66" s="41">
        <f>E66+F66+G66</f>
        <v>5028.3</v>
      </c>
      <c r="I66" s="41"/>
      <c r="J66" s="41"/>
      <c r="K66" s="41">
        <f>H66+I66+J66</f>
        <v>5028.3</v>
      </c>
    </row>
    <row r="67" spans="1:11" ht="21.75" customHeight="1" thickBot="1">
      <c r="A67" s="11" t="s">
        <v>2</v>
      </c>
      <c r="B67" s="43">
        <f>B10+B13+B35+B66+B54+B30</f>
        <v>2911900</v>
      </c>
      <c r="C67" s="43">
        <f>C10+C13+C35+C66+C54+C30</f>
        <v>1114515.1</v>
      </c>
      <c r="D67" s="43">
        <f>D10+D13+D35+D66+D54+D30</f>
        <v>2825.4</v>
      </c>
      <c r="E67" s="43">
        <f>E10+E13+E35+E66+E54+E30+E62+E51</f>
        <v>4029240.5</v>
      </c>
      <c r="F67" s="43">
        <f>F10+F13+F35+F66+F54+F30+F62+F51</f>
        <v>1210518.1000000003</v>
      </c>
      <c r="G67" s="43">
        <f>G10+G13+G35+G66+G54+G30</f>
        <v>16870.3</v>
      </c>
      <c r="H67" s="43">
        <f>H10+H13+H35+H66+H54+H30+H62+H51</f>
        <v>5256628.9</v>
      </c>
      <c r="I67" s="43">
        <f>I10+I13+I35+I66+I54+I30+I62+I51</f>
        <v>1133431.7</v>
      </c>
      <c r="J67" s="43">
        <f>J10+J13+J35+J66+J54+J30</f>
        <v>0</v>
      </c>
      <c r="K67" s="43">
        <f>K10+K13+K35+K66+K54+K30+K62+K51</f>
        <v>6390060.600000001</v>
      </c>
    </row>
    <row r="68" spans="1:11" ht="24.75" customHeight="1">
      <c r="A68" s="2" t="s">
        <v>5</v>
      </c>
      <c r="B68" s="39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9.5" customHeight="1">
      <c r="A69" s="2" t="s">
        <v>14</v>
      </c>
      <c r="B69" s="39">
        <f>B70+B78</f>
        <v>39100</v>
      </c>
      <c r="C69" s="39">
        <f>C70+C78</f>
        <v>530</v>
      </c>
      <c r="D69" s="39">
        <f>D70+D78</f>
        <v>300</v>
      </c>
      <c r="E69" s="39">
        <f>B69+C69+D69</f>
        <v>39930</v>
      </c>
      <c r="F69" s="39">
        <f>F70+F78</f>
        <v>380</v>
      </c>
      <c r="G69" s="39">
        <f>G70+G78</f>
        <v>0</v>
      </c>
      <c r="H69" s="39">
        <f>E69+F69+G69</f>
        <v>40310</v>
      </c>
      <c r="I69" s="39">
        <f>I70+I78</f>
        <v>2851</v>
      </c>
      <c r="J69" s="39">
        <f>J70+J78</f>
        <v>0</v>
      </c>
      <c r="K69" s="39">
        <f>H69+I69+J69</f>
        <v>43161</v>
      </c>
    </row>
    <row r="70" spans="1:11" ht="15" customHeight="1">
      <c r="A70" s="6" t="s">
        <v>34</v>
      </c>
      <c r="B70" s="44">
        <f aca="true" t="shared" si="8" ref="B70:H70">SUM(B72:B77)</f>
        <v>39100</v>
      </c>
      <c r="C70" s="44">
        <f t="shared" si="8"/>
        <v>-80</v>
      </c>
      <c r="D70" s="44">
        <f t="shared" si="8"/>
        <v>300</v>
      </c>
      <c r="E70" s="44">
        <f t="shared" si="8"/>
        <v>39320</v>
      </c>
      <c r="F70" s="44">
        <f t="shared" si="8"/>
        <v>330</v>
      </c>
      <c r="G70" s="44">
        <f t="shared" si="8"/>
        <v>0</v>
      </c>
      <c r="H70" s="44">
        <f t="shared" si="8"/>
        <v>39650</v>
      </c>
      <c r="I70" s="44">
        <f>SUM(I72:I77)</f>
        <v>2851</v>
      </c>
      <c r="J70" s="44">
        <f>SUM(J72:J77)</f>
        <v>0</v>
      </c>
      <c r="K70" s="44">
        <f>SUM(K72:K77)</f>
        <v>42501</v>
      </c>
    </row>
    <row r="71" spans="1:11" ht="10.5" customHeight="1">
      <c r="A71" s="3" t="s">
        <v>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2.75" customHeight="1">
      <c r="A72" s="4" t="s">
        <v>6</v>
      </c>
      <c r="B72" s="42">
        <v>15889</v>
      </c>
      <c r="C72" s="42"/>
      <c r="D72" s="42"/>
      <c r="E72" s="42">
        <f>B72+C72</f>
        <v>15889</v>
      </c>
      <c r="F72" s="42"/>
      <c r="G72" s="42"/>
      <c r="H72" s="40">
        <f aca="true" t="shared" si="9" ref="H72:H78">E72+F72+G72</f>
        <v>15889</v>
      </c>
      <c r="I72" s="42">
        <v>324</v>
      </c>
      <c r="J72" s="42"/>
      <c r="K72" s="40">
        <f aca="true" t="shared" si="10" ref="K72:K78">H72+I72+J72</f>
        <v>16213</v>
      </c>
    </row>
    <row r="73" spans="1:11" ht="12.75" customHeight="1">
      <c r="A73" s="4" t="s">
        <v>7</v>
      </c>
      <c r="B73" s="42">
        <v>3761</v>
      </c>
      <c r="C73" s="42"/>
      <c r="D73" s="42"/>
      <c r="E73" s="42">
        <f>B73+C73</f>
        <v>3761</v>
      </c>
      <c r="F73" s="42"/>
      <c r="G73" s="42"/>
      <c r="H73" s="40">
        <f t="shared" si="9"/>
        <v>3761</v>
      </c>
      <c r="I73" s="42"/>
      <c r="J73" s="42"/>
      <c r="K73" s="40">
        <f t="shared" si="10"/>
        <v>3761</v>
      </c>
    </row>
    <row r="74" spans="1:11" ht="12.75" customHeight="1">
      <c r="A74" s="4" t="s">
        <v>8</v>
      </c>
      <c r="B74" s="42">
        <v>1500</v>
      </c>
      <c r="C74" s="42"/>
      <c r="D74" s="42"/>
      <c r="E74" s="42">
        <f>B74+C74</f>
        <v>1500</v>
      </c>
      <c r="F74" s="42"/>
      <c r="G74" s="42"/>
      <c r="H74" s="40">
        <f t="shared" si="9"/>
        <v>1500</v>
      </c>
      <c r="I74" s="42"/>
      <c r="J74" s="42"/>
      <c r="K74" s="40">
        <f t="shared" si="10"/>
        <v>1500</v>
      </c>
    </row>
    <row r="75" spans="1:11" ht="12.75" customHeight="1">
      <c r="A75" s="4" t="s">
        <v>9</v>
      </c>
      <c r="B75" s="42">
        <v>7950</v>
      </c>
      <c r="C75" s="42"/>
      <c r="D75" s="42"/>
      <c r="E75" s="42">
        <f>B75+C75+D75</f>
        <v>7950</v>
      </c>
      <c r="F75" s="42"/>
      <c r="G75" s="42"/>
      <c r="H75" s="40">
        <f t="shared" si="9"/>
        <v>7950</v>
      </c>
      <c r="I75" s="42">
        <f>1727+800</f>
        <v>2527</v>
      </c>
      <c r="J75" s="42"/>
      <c r="K75" s="40">
        <f t="shared" si="10"/>
        <v>10477</v>
      </c>
    </row>
    <row r="76" spans="1:11" ht="12.75" customHeight="1">
      <c r="A76" s="4" t="s">
        <v>28</v>
      </c>
      <c r="B76" s="42">
        <v>2000</v>
      </c>
      <c r="C76" s="42"/>
      <c r="D76" s="42"/>
      <c r="E76" s="42">
        <f>SUM(B76:D76)</f>
        <v>2000</v>
      </c>
      <c r="F76" s="42"/>
      <c r="G76" s="42"/>
      <c r="H76" s="40">
        <f t="shared" si="9"/>
        <v>2000</v>
      </c>
      <c r="I76" s="42"/>
      <c r="J76" s="42"/>
      <c r="K76" s="40">
        <f t="shared" si="10"/>
        <v>2000</v>
      </c>
    </row>
    <row r="77" spans="1:11" ht="12.75" customHeight="1">
      <c r="A77" s="4" t="s">
        <v>10</v>
      </c>
      <c r="B77" s="42">
        <v>8000</v>
      </c>
      <c r="C77" s="42">
        <v>-80</v>
      </c>
      <c r="D77" s="42">
        <v>300</v>
      </c>
      <c r="E77" s="42">
        <f>SUM(B77:D77)</f>
        <v>8220</v>
      </c>
      <c r="F77" s="42">
        <f>-50+100+280</f>
        <v>330</v>
      </c>
      <c r="G77" s="42"/>
      <c r="H77" s="40">
        <f t="shared" si="9"/>
        <v>8550</v>
      </c>
      <c r="I77" s="42"/>
      <c r="J77" s="42"/>
      <c r="K77" s="40">
        <f t="shared" si="10"/>
        <v>8550</v>
      </c>
    </row>
    <row r="78" spans="1:11" ht="12.75" customHeight="1">
      <c r="A78" s="13" t="s">
        <v>35</v>
      </c>
      <c r="B78" s="45">
        <f>SUM(B80:B81)</f>
        <v>0</v>
      </c>
      <c r="C78" s="45">
        <f>SUM(C80:C81)</f>
        <v>610</v>
      </c>
      <c r="D78" s="45">
        <f>SUM(D80:D81)</f>
        <v>0</v>
      </c>
      <c r="E78" s="45">
        <f>B78+C78+D78</f>
        <v>610</v>
      </c>
      <c r="F78" s="45">
        <f>SUM(F80:F81)</f>
        <v>50</v>
      </c>
      <c r="G78" s="45">
        <f>SUM(G80:G81)</f>
        <v>0</v>
      </c>
      <c r="H78" s="45">
        <f t="shared" si="9"/>
        <v>660</v>
      </c>
      <c r="I78" s="45">
        <f>SUM(I80:I81)</f>
        <v>0</v>
      </c>
      <c r="J78" s="45">
        <f>SUM(J80:J81)</f>
        <v>0</v>
      </c>
      <c r="K78" s="45">
        <f t="shared" si="10"/>
        <v>660</v>
      </c>
    </row>
    <row r="79" spans="1:11" ht="9.75" customHeight="1">
      <c r="A79" s="10" t="s">
        <v>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75" customHeight="1">
      <c r="A80" s="8" t="s">
        <v>41</v>
      </c>
      <c r="B80" s="40"/>
      <c r="C80" s="40">
        <v>530</v>
      </c>
      <c r="D80" s="40"/>
      <c r="E80" s="42">
        <f>B80+C80</f>
        <v>530</v>
      </c>
      <c r="F80" s="40"/>
      <c r="G80" s="40"/>
      <c r="H80" s="40">
        <f>E80+F80+G80</f>
        <v>530</v>
      </c>
      <c r="I80" s="40"/>
      <c r="J80" s="40"/>
      <c r="K80" s="40">
        <f>H80+I80+J80</f>
        <v>530</v>
      </c>
    </row>
    <row r="81" spans="1:11" ht="12.75" customHeight="1">
      <c r="A81" s="36" t="s">
        <v>10</v>
      </c>
      <c r="B81" s="46"/>
      <c r="C81" s="46">
        <v>80</v>
      </c>
      <c r="D81" s="46"/>
      <c r="E81" s="46">
        <f>SUM(B81:D81)</f>
        <v>80</v>
      </c>
      <c r="F81" s="46">
        <v>50</v>
      </c>
      <c r="G81" s="46"/>
      <c r="H81" s="48">
        <f>E81+F81+G81</f>
        <v>130</v>
      </c>
      <c r="I81" s="46"/>
      <c r="J81" s="46"/>
      <c r="K81" s="48">
        <f>H81+I81+J81</f>
        <v>130</v>
      </c>
    </row>
    <row r="82" spans="1:11" ht="19.5" customHeight="1">
      <c r="A82" s="2" t="s">
        <v>15</v>
      </c>
      <c r="B82" s="39">
        <f>B83</f>
        <v>268688</v>
      </c>
      <c r="C82" s="39">
        <f>C83</f>
        <v>3649</v>
      </c>
      <c r="D82" s="39">
        <f>D83</f>
        <v>0</v>
      </c>
      <c r="E82" s="39">
        <f>B82+C82+D82</f>
        <v>272337</v>
      </c>
      <c r="F82" s="39">
        <f>F83</f>
        <v>0</v>
      </c>
      <c r="G82" s="39">
        <f>G83</f>
        <v>0</v>
      </c>
      <c r="H82" s="39">
        <f>E82+F82+G82</f>
        <v>272337</v>
      </c>
      <c r="I82" s="39">
        <f>I83</f>
        <v>1067</v>
      </c>
      <c r="J82" s="39">
        <f>J83</f>
        <v>0</v>
      </c>
      <c r="K82" s="39">
        <f>H82+I82+J82</f>
        <v>273404</v>
      </c>
    </row>
    <row r="83" spans="1:11" ht="15" customHeight="1">
      <c r="A83" s="6" t="s">
        <v>34</v>
      </c>
      <c r="B83" s="44">
        <f>SUM(B85:B94)</f>
        <v>268688</v>
      </c>
      <c r="C83" s="44">
        <f>SUM(C85:C94)</f>
        <v>3649</v>
      </c>
      <c r="D83" s="44">
        <f>SUM(D85:D94)</f>
        <v>0</v>
      </c>
      <c r="E83" s="44">
        <f>B83+C83+D83</f>
        <v>272337</v>
      </c>
      <c r="F83" s="44">
        <f>SUM(F85:F94)</f>
        <v>0</v>
      </c>
      <c r="G83" s="44">
        <f>SUM(G85:G94)</f>
        <v>0</v>
      </c>
      <c r="H83" s="44">
        <f>E83+F83+G83</f>
        <v>272337</v>
      </c>
      <c r="I83" s="44">
        <f>SUM(I85:I94)</f>
        <v>1067</v>
      </c>
      <c r="J83" s="44">
        <f>SUM(J85:J94)</f>
        <v>0</v>
      </c>
      <c r="K83" s="44">
        <f>H83+I83+J83</f>
        <v>273404</v>
      </c>
    </row>
    <row r="84" spans="1:11" ht="10.5" customHeight="1">
      <c r="A84" s="3" t="s">
        <v>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2.75" customHeight="1">
      <c r="A85" s="4" t="s">
        <v>11</v>
      </c>
      <c r="B85" s="42">
        <v>112632</v>
      </c>
      <c r="C85" s="42"/>
      <c r="D85" s="42"/>
      <c r="E85" s="42">
        <f>B85+C85</f>
        <v>112632</v>
      </c>
      <c r="F85" s="42"/>
      <c r="G85" s="42"/>
      <c r="H85" s="40">
        <f aca="true" t="shared" si="11" ref="H85:H96">E85+F85+G85</f>
        <v>112632</v>
      </c>
      <c r="I85" s="42"/>
      <c r="J85" s="42"/>
      <c r="K85" s="40">
        <f aca="true" t="shared" si="12" ref="K85:K96">H85+I85+J85</f>
        <v>112632</v>
      </c>
    </row>
    <row r="86" spans="1:11" ht="12.75" customHeight="1">
      <c r="A86" s="4" t="s">
        <v>7</v>
      </c>
      <c r="B86" s="42">
        <v>38192</v>
      </c>
      <c r="C86" s="42"/>
      <c r="D86" s="42"/>
      <c r="E86" s="42">
        <f>B86+C86</f>
        <v>38192</v>
      </c>
      <c r="F86" s="42"/>
      <c r="G86" s="42"/>
      <c r="H86" s="40">
        <f t="shared" si="11"/>
        <v>38192</v>
      </c>
      <c r="I86" s="42"/>
      <c r="J86" s="42"/>
      <c r="K86" s="40">
        <f t="shared" si="12"/>
        <v>38192</v>
      </c>
    </row>
    <row r="87" spans="1:11" ht="12.75" customHeight="1">
      <c r="A87" s="4" t="s">
        <v>12</v>
      </c>
      <c r="B87" s="42">
        <v>280</v>
      </c>
      <c r="C87" s="42"/>
      <c r="D87" s="42"/>
      <c r="E87" s="42">
        <f>B87+C87</f>
        <v>280</v>
      </c>
      <c r="F87" s="42"/>
      <c r="G87" s="42"/>
      <c r="H87" s="40">
        <f t="shared" si="11"/>
        <v>280</v>
      </c>
      <c r="I87" s="42"/>
      <c r="J87" s="42"/>
      <c r="K87" s="40">
        <f t="shared" si="12"/>
        <v>280</v>
      </c>
    </row>
    <row r="88" spans="1:11" ht="12.75" customHeight="1">
      <c r="A88" s="4" t="s">
        <v>9</v>
      </c>
      <c r="B88" s="42">
        <v>41956</v>
      </c>
      <c r="C88" s="42"/>
      <c r="D88" s="42"/>
      <c r="E88" s="42">
        <f>B88+C88+D88</f>
        <v>41956</v>
      </c>
      <c r="F88" s="42"/>
      <c r="G88" s="42"/>
      <c r="H88" s="40">
        <f t="shared" si="11"/>
        <v>41956</v>
      </c>
      <c r="I88" s="42">
        <f>-410+634</f>
        <v>224</v>
      </c>
      <c r="J88" s="42"/>
      <c r="K88" s="40">
        <f t="shared" si="12"/>
        <v>42180</v>
      </c>
    </row>
    <row r="89" spans="1:11" ht="12.75" customHeight="1">
      <c r="A89" s="4" t="s">
        <v>13</v>
      </c>
      <c r="B89" s="42">
        <v>152</v>
      </c>
      <c r="C89" s="42"/>
      <c r="D89" s="42"/>
      <c r="E89" s="42">
        <f>B89+C89</f>
        <v>152</v>
      </c>
      <c r="F89" s="42"/>
      <c r="G89" s="42"/>
      <c r="H89" s="40">
        <f t="shared" si="11"/>
        <v>152</v>
      </c>
      <c r="I89" s="42"/>
      <c r="J89" s="42"/>
      <c r="K89" s="40">
        <f t="shared" si="12"/>
        <v>152</v>
      </c>
    </row>
    <row r="90" spans="1:11" ht="12.75" customHeight="1">
      <c r="A90" s="4" t="s">
        <v>53</v>
      </c>
      <c r="B90" s="42">
        <v>5476</v>
      </c>
      <c r="C90" s="42"/>
      <c r="D90" s="42"/>
      <c r="E90" s="42">
        <f>B90+C90</f>
        <v>5476</v>
      </c>
      <c r="F90" s="42"/>
      <c r="G90" s="42"/>
      <c r="H90" s="40">
        <f t="shared" si="11"/>
        <v>5476</v>
      </c>
      <c r="I90" s="42">
        <v>410</v>
      </c>
      <c r="J90" s="42"/>
      <c r="K90" s="40">
        <f t="shared" si="12"/>
        <v>5886</v>
      </c>
    </row>
    <row r="91" spans="1:11" ht="12.75" customHeight="1">
      <c r="A91" s="4" t="s">
        <v>227</v>
      </c>
      <c r="B91" s="42"/>
      <c r="C91" s="42"/>
      <c r="D91" s="42"/>
      <c r="E91" s="42"/>
      <c r="F91" s="42"/>
      <c r="G91" s="42"/>
      <c r="H91" s="40"/>
      <c r="I91" s="42">
        <v>10</v>
      </c>
      <c r="J91" s="42"/>
      <c r="K91" s="40">
        <f t="shared" si="12"/>
        <v>10</v>
      </c>
    </row>
    <row r="92" spans="1:11" ht="12.75" customHeight="1">
      <c r="A92" s="4" t="s">
        <v>228</v>
      </c>
      <c r="B92" s="42"/>
      <c r="C92" s="42"/>
      <c r="D92" s="42"/>
      <c r="E92" s="42"/>
      <c r="F92" s="42"/>
      <c r="G92" s="42"/>
      <c r="H92" s="40"/>
      <c r="I92" s="42">
        <v>423</v>
      </c>
      <c r="J92" s="42"/>
      <c r="K92" s="40">
        <f t="shared" si="12"/>
        <v>423</v>
      </c>
    </row>
    <row r="93" spans="1:11" ht="12.75" customHeight="1">
      <c r="A93" s="4" t="s">
        <v>80</v>
      </c>
      <c r="B93" s="42"/>
      <c r="C93" s="42">
        <v>3649</v>
      </c>
      <c r="D93" s="42"/>
      <c r="E93" s="42">
        <f>B93+C93</f>
        <v>3649</v>
      </c>
      <c r="F93" s="42"/>
      <c r="G93" s="42"/>
      <c r="H93" s="40">
        <f t="shared" si="11"/>
        <v>3649</v>
      </c>
      <c r="I93" s="42"/>
      <c r="J93" s="42"/>
      <c r="K93" s="40">
        <f t="shared" si="12"/>
        <v>3649</v>
      </c>
    </row>
    <row r="94" spans="1:11" ht="12.75" customHeight="1">
      <c r="A94" s="36" t="s">
        <v>172</v>
      </c>
      <c r="B94" s="46">
        <v>70000</v>
      </c>
      <c r="C94" s="46"/>
      <c r="D94" s="46"/>
      <c r="E94" s="46">
        <f>B94+C94</f>
        <v>70000</v>
      </c>
      <c r="F94" s="46"/>
      <c r="G94" s="46"/>
      <c r="H94" s="48">
        <f t="shared" si="11"/>
        <v>70000</v>
      </c>
      <c r="I94" s="46"/>
      <c r="J94" s="46"/>
      <c r="K94" s="48">
        <f t="shared" si="12"/>
        <v>70000</v>
      </c>
    </row>
    <row r="95" spans="1:11" ht="18.75" customHeight="1">
      <c r="A95" s="2" t="s">
        <v>77</v>
      </c>
      <c r="B95" s="39">
        <f>B96+B106</f>
        <v>128214</v>
      </c>
      <c r="C95" s="39">
        <f>C96+C106</f>
        <v>25122.4</v>
      </c>
      <c r="D95" s="39">
        <f>D96+D106</f>
        <v>0</v>
      </c>
      <c r="E95" s="39">
        <f>B95+C95+D95</f>
        <v>153336.4</v>
      </c>
      <c r="F95" s="39">
        <f>F96+F106</f>
        <v>9620</v>
      </c>
      <c r="G95" s="39">
        <f>G96+G106</f>
        <v>22365.5</v>
      </c>
      <c r="H95" s="39">
        <f t="shared" si="11"/>
        <v>185321.9</v>
      </c>
      <c r="I95" s="39">
        <f>I96+I106</f>
        <v>191.4000000000001</v>
      </c>
      <c r="J95" s="39">
        <f>J96+J106</f>
        <v>0</v>
      </c>
      <c r="K95" s="39">
        <f t="shared" si="12"/>
        <v>185513.3</v>
      </c>
    </row>
    <row r="96" spans="1:11" ht="15" customHeight="1">
      <c r="A96" s="6" t="s">
        <v>34</v>
      </c>
      <c r="B96" s="44">
        <f>SUM(B98:B104)</f>
        <v>88214</v>
      </c>
      <c r="C96" s="44">
        <f>SUM(C98:C104)</f>
        <v>20154.2</v>
      </c>
      <c r="D96" s="44">
        <f>SUM(D98:D104)</f>
        <v>9</v>
      </c>
      <c r="E96" s="44">
        <f>B96+C96+D96</f>
        <v>108377.2</v>
      </c>
      <c r="F96" s="44">
        <f>SUM(F98:F104)</f>
        <v>-150.6</v>
      </c>
      <c r="G96" s="44">
        <f>SUM(G98:G104)</f>
        <v>3649</v>
      </c>
      <c r="H96" s="44">
        <f t="shared" si="11"/>
        <v>111875.59999999999</v>
      </c>
      <c r="I96" s="44">
        <f>SUM(I98:I104)</f>
        <v>191.4000000000001</v>
      </c>
      <c r="J96" s="44">
        <f>SUM(J98:J104)</f>
        <v>0</v>
      </c>
      <c r="K96" s="44">
        <f t="shared" si="12"/>
        <v>112066.99999999999</v>
      </c>
    </row>
    <row r="97" spans="1:11" ht="10.5" customHeight="1">
      <c r="A97" s="3" t="s">
        <v>1</v>
      </c>
      <c r="B97" s="42"/>
      <c r="C97" s="42"/>
      <c r="D97" s="42"/>
      <c r="E97" s="39"/>
      <c r="F97" s="42"/>
      <c r="G97" s="42"/>
      <c r="H97" s="39"/>
      <c r="I97" s="42"/>
      <c r="J97" s="42"/>
      <c r="K97" s="39"/>
    </row>
    <row r="98" spans="1:11" ht="12.75" customHeight="1">
      <c r="A98" s="7" t="s">
        <v>146</v>
      </c>
      <c r="B98" s="47">
        <v>42319</v>
      </c>
      <c r="C98" s="47">
        <v>4019.8</v>
      </c>
      <c r="D98" s="47"/>
      <c r="E98" s="42">
        <f>B98+C98</f>
        <v>46338.8</v>
      </c>
      <c r="F98" s="47"/>
      <c r="G98" s="47"/>
      <c r="H98" s="40">
        <f aca="true" t="shared" si="13" ref="H98:H106">E98+F98+G98</f>
        <v>46338.8</v>
      </c>
      <c r="I98" s="47"/>
      <c r="J98" s="47"/>
      <c r="K98" s="40">
        <f aca="true" t="shared" si="14" ref="K98:K106">H98+I98+J98</f>
        <v>46338.8</v>
      </c>
    </row>
    <row r="99" spans="1:11" ht="12.75" customHeight="1">
      <c r="A99" s="4" t="s">
        <v>9</v>
      </c>
      <c r="B99" s="42">
        <v>45895</v>
      </c>
      <c r="C99" s="42">
        <f>45.2+400-476</f>
        <v>-30.80000000000001</v>
      </c>
      <c r="D99" s="42"/>
      <c r="E99" s="42">
        <f>SUM(B99:D99)</f>
        <v>45864.2</v>
      </c>
      <c r="F99" s="42">
        <f>-280-100</f>
        <v>-380</v>
      </c>
      <c r="G99" s="42">
        <f>-1273+492</f>
        <v>-781</v>
      </c>
      <c r="H99" s="40">
        <f t="shared" si="13"/>
        <v>44703.2</v>
      </c>
      <c r="I99" s="42">
        <f>-1000-100</f>
        <v>-1100</v>
      </c>
      <c r="J99" s="42"/>
      <c r="K99" s="40">
        <f t="shared" si="14"/>
        <v>43603.2</v>
      </c>
    </row>
    <row r="100" spans="1:11" ht="12.75" customHeight="1">
      <c r="A100" s="4" t="s">
        <v>147</v>
      </c>
      <c r="B100" s="42"/>
      <c r="C100" s="42">
        <v>13600</v>
      </c>
      <c r="D100" s="42"/>
      <c r="E100" s="42">
        <f>SUM(B100:D100)</f>
        <v>13600</v>
      </c>
      <c r="F100" s="42"/>
      <c r="G100" s="42">
        <v>73</v>
      </c>
      <c r="H100" s="40">
        <f t="shared" si="13"/>
        <v>13673</v>
      </c>
      <c r="I100" s="42"/>
      <c r="J100" s="42"/>
      <c r="K100" s="40">
        <f t="shared" si="14"/>
        <v>13673</v>
      </c>
    </row>
    <row r="101" spans="1:11" ht="12.75" customHeight="1">
      <c r="A101" s="4" t="s">
        <v>177</v>
      </c>
      <c r="B101" s="42"/>
      <c r="C101" s="42">
        <v>2300</v>
      </c>
      <c r="D101" s="42"/>
      <c r="E101" s="42">
        <f>SUM(B101:D101)</f>
        <v>2300</v>
      </c>
      <c r="F101" s="42"/>
      <c r="G101" s="42"/>
      <c r="H101" s="40">
        <f t="shared" si="13"/>
        <v>2300</v>
      </c>
      <c r="I101" s="42"/>
      <c r="J101" s="42"/>
      <c r="K101" s="40">
        <f t="shared" si="14"/>
        <v>2300</v>
      </c>
    </row>
    <row r="102" spans="1:11" ht="12.75" customHeight="1">
      <c r="A102" s="4" t="s">
        <v>229</v>
      </c>
      <c r="B102" s="42"/>
      <c r="C102" s="42"/>
      <c r="D102" s="42"/>
      <c r="E102" s="42"/>
      <c r="F102" s="42"/>
      <c r="G102" s="42"/>
      <c r="H102" s="40"/>
      <c r="I102" s="42">
        <f>828.8+462.6</f>
        <v>1291.4</v>
      </c>
      <c r="J102" s="42"/>
      <c r="K102" s="40">
        <f t="shared" si="14"/>
        <v>1291.4</v>
      </c>
    </row>
    <row r="103" spans="1:11" ht="12.75" customHeight="1">
      <c r="A103" s="4" t="s">
        <v>44</v>
      </c>
      <c r="B103" s="42"/>
      <c r="C103" s="42"/>
      <c r="D103" s="42"/>
      <c r="E103" s="42"/>
      <c r="F103" s="42"/>
      <c r="G103" s="42">
        <v>4157</v>
      </c>
      <c r="H103" s="40">
        <f t="shared" si="13"/>
        <v>4157</v>
      </c>
      <c r="I103" s="42"/>
      <c r="J103" s="42"/>
      <c r="K103" s="40">
        <f t="shared" si="14"/>
        <v>4157</v>
      </c>
    </row>
    <row r="104" spans="1:11" ht="12.75" customHeight="1">
      <c r="A104" s="8" t="s">
        <v>54</v>
      </c>
      <c r="B104" s="40"/>
      <c r="C104" s="40">
        <v>265.2</v>
      </c>
      <c r="D104" s="40">
        <v>9</v>
      </c>
      <c r="E104" s="42">
        <f>SUM(B104:D104)</f>
        <v>274.2</v>
      </c>
      <c r="F104" s="40">
        <v>229.4</v>
      </c>
      <c r="G104" s="40">
        <v>200</v>
      </c>
      <c r="H104" s="40">
        <f t="shared" si="13"/>
        <v>703.6</v>
      </c>
      <c r="I104" s="40"/>
      <c r="J104" s="40"/>
      <c r="K104" s="40">
        <f t="shared" si="14"/>
        <v>703.6</v>
      </c>
    </row>
    <row r="105" spans="1:11" ht="12.75" customHeight="1">
      <c r="A105" s="8" t="s">
        <v>148</v>
      </c>
      <c r="B105" s="40"/>
      <c r="C105" s="40">
        <v>265.2</v>
      </c>
      <c r="D105" s="40">
        <v>9</v>
      </c>
      <c r="E105" s="42">
        <f>SUM(B105:D105)</f>
        <v>274.2</v>
      </c>
      <c r="F105" s="40">
        <v>229.4</v>
      </c>
      <c r="G105" s="40">
        <v>200</v>
      </c>
      <c r="H105" s="40">
        <f t="shared" si="13"/>
        <v>703.6</v>
      </c>
      <c r="I105" s="40"/>
      <c r="J105" s="40"/>
      <c r="K105" s="40">
        <f t="shared" si="14"/>
        <v>703.6</v>
      </c>
    </row>
    <row r="106" spans="1:11" ht="15" customHeight="1">
      <c r="A106" s="13" t="s">
        <v>35</v>
      </c>
      <c r="B106" s="45">
        <f>SUM(B108:B112)</f>
        <v>40000</v>
      </c>
      <c r="C106" s="45">
        <f>SUM(C108:C112)</f>
        <v>4968.2</v>
      </c>
      <c r="D106" s="45">
        <f>SUM(D108:D112)</f>
        <v>-9</v>
      </c>
      <c r="E106" s="45">
        <f>B106+C106+D106</f>
        <v>44959.2</v>
      </c>
      <c r="F106" s="45">
        <f>SUM(F108:F112)</f>
        <v>9770.6</v>
      </c>
      <c r="G106" s="45">
        <f>SUM(G108:G112)</f>
        <v>18716.5</v>
      </c>
      <c r="H106" s="45">
        <f t="shared" si="13"/>
        <v>73446.29999999999</v>
      </c>
      <c r="I106" s="45">
        <f>SUM(I108:I112)</f>
        <v>0</v>
      </c>
      <c r="J106" s="45">
        <f>SUM(J108:J112)</f>
        <v>0</v>
      </c>
      <c r="K106" s="45">
        <f t="shared" si="14"/>
        <v>73446.29999999999</v>
      </c>
    </row>
    <row r="107" spans="1:11" ht="10.5" customHeight="1">
      <c r="A107" s="10" t="s">
        <v>1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 customHeight="1">
      <c r="A108" s="8" t="s">
        <v>178</v>
      </c>
      <c r="B108" s="40"/>
      <c r="C108" s="40">
        <v>5233.4</v>
      </c>
      <c r="D108" s="40"/>
      <c r="E108" s="42">
        <f>SUM(B108:D108)</f>
        <v>5233.4</v>
      </c>
      <c r="F108" s="40"/>
      <c r="G108" s="40"/>
      <c r="H108" s="42">
        <f>SUM(E108:G108)</f>
        <v>5233.4</v>
      </c>
      <c r="I108" s="40"/>
      <c r="J108" s="40"/>
      <c r="K108" s="42">
        <f>SUM(H108:J108)</f>
        <v>5233.4</v>
      </c>
    </row>
    <row r="109" spans="1:11" ht="12.75" customHeight="1">
      <c r="A109" s="8" t="s">
        <v>156</v>
      </c>
      <c r="B109" s="40"/>
      <c r="C109" s="40"/>
      <c r="D109" s="40"/>
      <c r="E109" s="42"/>
      <c r="F109" s="40">
        <v>10000</v>
      </c>
      <c r="G109" s="40"/>
      <c r="H109" s="42">
        <f>SUM(E109:G109)</f>
        <v>10000</v>
      </c>
      <c r="I109" s="40"/>
      <c r="J109" s="40"/>
      <c r="K109" s="42">
        <f>SUM(H109:J109)</f>
        <v>10000</v>
      </c>
    </row>
    <row r="110" spans="1:11" ht="12.75" customHeight="1">
      <c r="A110" s="8" t="s">
        <v>41</v>
      </c>
      <c r="B110" s="40"/>
      <c r="C110" s="40"/>
      <c r="D110" s="40"/>
      <c r="E110" s="42"/>
      <c r="F110" s="40"/>
      <c r="G110" s="40">
        <v>1200</v>
      </c>
      <c r="H110" s="40">
        <f>E110+F110+G110</f>
        <v>1200</v>
      </c>
      <c r="I110" s="40"/>
      <c r="J110" s="40"/>
      <c r="K110" s="40">
        <f>H110+I110+J110</f>
        <v>1200</v>
      </c>
    </row>
    <row r="111" spans="1:11" ht="12.75" customHeight="1">
      <c r="A111" s="4" t="s">
        <v>44</v>
      </c>
      <c r="B111" s="40"/>
      <c r="C111" s="40"/>
      <c r="D111" s="40"/>
      <c r="E111" s="42"/>
      <c r="F111" s="40"/>
      <c r="G111" s="40">
        <v>3343</v>
      </c>
      <c r="H111" s="40">
        <f>E111+F111+G111</f>
        <v>3343</v>
      </c>
      <c r="I111" s="40"/>
      <c r="J111" s="40"/>
      <c r="K111" s="40">
        <f>H111+I111+J111</f>
        <v>3343</v>
      </c>
    </row>
    <row r="112" spans="1:11" ht="12.75" customHeight="1">
      <c r="A112" s="8" t="s">
        <v>54</v>
      </c>
      <c r="B112" s="40">
        <v>40000</v>
      </c>
      <c r="C112" s="40">
        <v>-265.2</v>
      </c>
      <c r="D112" s="40">
        <v>-9</v>
      </c>
      <c r="E112" s="42">
        <f>SUM(B112:D112)</f>
        <v>39725.8</v>
      </c>
      <c r="F112" s="40">
        <v>-229.4</v>
      </c>
      <c r="G112" s="40">
        <f>-200+14373.5</f>
        <v>14173.5</v>
      </c>
      <c r="H112" s="42">
        <f>SUM(E112:G112)</f>
        <v>53669.9</v>
      </c>
      <c r="I112" s="40"/>
      <c r="J112" s="40"/>
      <c r="K112" s="42">
        <f>SUM(H112:J112)</f>
        <v>53669.9</v>
      </c>
    </row>
    <row r="113" spans="1:11" ht="12.75" customHeight="1">
      <c r="A113" s="67" t="s">
        <v>149</v>
      </c>
      <c r="B113" s="48"/>
      <c r="C113" s="48"/>
      <c r="D113" s="48"/>
      <c r="E113" s="46">
        <f>SUM(B113:D113)</f>
        <v>0</v>
      </c>
      <c r="F113" s="48">
        <f>11015+8537</f>
        <v>19552</v>
      </c>
      <c r="G113" s="48"/>
      <c r="H113" s="46">
        <f>SUM(E113:G113)</f>
        <v>19552</v>
      </c>
      <c r="I113" s="48"/>
      <c r="J113" s="48"/>
      <c r="K113" s="46">
        <f>SUM(H113:J113)</f>
        <v>19552</v>
      </c>
    </row>
    <row r="114" spans="1:11" ht="18.75" customHeight="1">
      <c r="A114" s="12" t="s">
        <v>184</v>
      </c>
      <c r="B114" s="41">
        <f aca="true" t="shared" si="15" ref="B114:H114">B115+B121</f>
        <v>3670</v>
      </c>
      <c r="C114" s="41">
        <f t="shared" si="15"/>
        <v>2671</v>
      </c>
      <c r="D114" s="41">
        <f t="shared" si="15"/>
        <v>13530</v>
      </c>
      <c r="E114" s="41">
        <f t="shared" si="15"/>
        <v>19871</v>
      </c>
      <c r="F114" s="41">
        <f t="shared" si="15"/>
        <v>0</v>
      </c>
      <c r="G114" s="41">
        <f t="shared" si="15"/>
        <v>0</v>
      </c>
      <c r="H114" s="41">
        <f t="shared" si="15"/>
        <v>19871</v>
      </c>
      <c r="I114" s="41">
        <f>I115+I121</f>
        <v>0</v>
      </c>
      <c r="J114" s="41">
        <f>J115+J121</f>
        <v>0</v>
      </c>
      <c r="K114" s="41">
        <f>K115+K121</f>
        <v>19871</v>
      </c>
    </row>
    <row r="115" spans="1:11" ht="15" customHeight="1">
      <c r="A115" s="6" t="s">
        <v>34</v>
      </c>
      <c r="B115" s="44">
        <f>SUM(B117:B120)</f>
        <v>3670</v>
      </c>
      <c r="C115" s="44">
        <f>SUM(C117:C120)</f>
        <v>2671</v>
      </c>
      <c r="D115" s="44">
        <f>SUM(D117:D120)</f>
        <v>10322</v>
      </c>
      <c r="E115" s="44">
        <f>B115+C115+D115</f>
        <v>16663</v>
      </c>
      <c r="F115" s="44">
        <f>SUM(F117:F120)</f>
        <v>0</v>
      </c>
      <c r="G115" s="44">
        <f>SUM(G117:G120)</f>
        <v>0</v>
      </c>
      <c r="H115" s="44">
        <f>E115+F115+G115</f>
        <v>16663</v>
      </c>
      <c r="I115" s="44">
        <f>SUM(I117:I120)</f>
        <v>0</v>
      </c>
      <c r="J115" s="44">
        <f>SUM(J117:J120)</f>
        <v>0</v>
      </c>
      <c r="K115" s="44">
        <f>H115+I115+J115</f>
        <v>16663</v>
      </c>
    </row>
    <row r="116" spans="1:11" ht="9.75" customHeight="1">
      <c r="A116" s="3" t="s">
        <v>1</v>
      </c>
      <c r="B116" s="42"/>
      <c r="C116" s="42"/>
      <c r="D116" s="42"/>
      <c r="E116" s="39"/>
      <c r="F116" s="42"/>
      <c r="G116" s="42"/>
      <c r="H116" s="39"/>
      <c r="I116" s="42"/>
      <c r="J116" s="42"/>
      <c r="K116" s="39"/>
    </row>
    <row r="117" spans="1:11" ht="12.75" customHeight="1">
      <c r="A117" s="4" t="s">
        <v>9</v>
      </c>
      <c r="B117" s="42">
        <v>3670</v>
      </c>
      <c r="C117" s="42">
        <f>-1900+1100</f>
        <v>-800</v>
      </c>
      <c r="D117" s="42"/>
      <c r="E117" s="42">
        <f>SUM(B117:D117)</f>
        <v>2870</v>
      </c>
      <c r="F117" s="42"/>
      <c r="G117" s="42"/>
      <c r="H117" s="42">
        <f>SUM(E117:G117)</f>
        <v>2870</v>
      </c>
      <c r="I117" s="42"/>
      <c r="J117" s="42"/>
      <c r="K117" s="42">
        <f>SUM(H117:J117)</f>
        <v>2870</v>
      </c>
    </row>
    <row r="118" spans="1:11" ht="12.75" customHeight="1">
      <c r="A118" s="5" t="s">
        <v>33</v>
      </c>
      <c r="B118" s="42"/>
      <c r="C118" s="42">
        <f>1571</f>
        <v>1571</v>
      </c>
      <c r="D118" s="42"/>
      <c r="E118" s="42">
        <f>SUM(B118:D118)</f>
        <v>1571</v>
      </c>
      <c r="F118" s="42"/>
      <c r="G118" s="42"/>
      <c r="H118" s="42">
        <f>SUM(E118:G118)</f>
        <v>1571</v>
      </c>
      <c r="I118" s="42"/>
      <c r="J118" s="42"/>
      <c r="K118" s="42">
        <f>SUM(H118:J118)</f>
        <v>1571</v>
      </c>
    </row>
    <row r="119" spans="1:11" ht="12.75" customHeight="1">
      <c r="A119" s="4" t="s">
        <v>147</v>
      </c>
      <c r="B119" s="42"/>
      <c r="C119" s="42">
        <v>1900</v>
      </c>
      <c r="D119" s="42"/>
      <c r="E119" s="42">
        <f>SUM(B119:D119)</f>
        <v>1900</v>
      </c>
      <c r="F119" s="42"/>
      <c r="G119" s="42"/>
      <c r="H119" s="42">
        <f>SUM(E119:G119)</f>
        <v>1900</v>
      </c>
      <c r="I119" s="42"/>
      <c r="J119" s="42"/>
      <c r="K119" s="42">
        <f>SUM(H119:J119)</f>
        <v>1900</v>
      </c>
    </row>
    <row r="120" spans="1:11" ht="12.75" customHeight="1">
      <c r="A120" s="4" t="s">
        <v>44</v>
      </c>
      <c r="B120" s="42"/>
      <c r="C120" s="42"/>
      <c r="D120" s="42">
        <v>10322</v>
      </c>
      <c r="E120" s="42">
        <f>SUM(B120:D120)</f>
        <v>10322</v>
      </c>
      <c r="F120" s="42"/>
      <c r="G120" s="42"/>
      <c r="H120" s="42">
        <f>SUM(E120:G120)</f>
        <v>10322</v>
      </c>
      <c r="I120" s="42"/>
      <c r="J120" s="42"/>
      <c r="K120" s="42">
        <f>SUM(H120:J120)</f>
        <v>10322</v>
      </c>
    </row>
    <row r="121" spans="1:11" ht="12.75" customHeight="1">
      <c r="A121" s="6" t="s">
        <v>35</v>
      </c>
      <c r="B121" s="44">
        <f>B123</f>
        <v>0</v>
      </c>
      <c r="C121" s="44">
        <f>C123</f>
        <v>0</v>
      </c>
      <c r="D121" s="44">
        <f>D123</f>
        <v>3208</v>
      </c>
      <c r="E121" s="44">
        <f>B121+C121+D121</f>
        <v>3208</v>
      </c>
      <c r="F121" s="44">
        <f>F123</f>
        <v>0</v>
      </c>
      <c r="G121" s="44">
        <f>G123</f>
        <v>0</v>
      </c>
      <c r="H121" s="44">
        <f>E121+F121+G121</f>
        <v>3208</v>
      </c>
      <c r="I121" s="44">
        <f>I123</f>
        <v>0</v>
      </c>
      <c r="J121" s="44">
        <f>J123</f>
        <v>0</v>
      </c>
      <c r="K121" s="44">
        <f>H121+I121+J121</f>
        <v>3208</v>
      </c>
    </row>
    <row r="122" spans="1:11" ht="12.75" customHeight="1">
      <c r="A122" s="3" t="s">
        <v>1</v>
      </c>
      <c r="B122" s="42"/>
      <c r="C122" s="42"/>
      <c r="D122" s="42"/>
      <c r="E122" s="39"/>
      <c r="F122" s="42"/>
      <c r="G122" s="42"/>
      <c r="H122" s="39"/>
      <c r="I122" s="42"/>
      <c r="J122" s="42"/>
      <c r="K122" s="39"/>
    </row>
    <row r="123" spans="1:11" ht="12.75" customHeight="1">
      <c r="A123" s="36" t="s">
        <v>44</v>
      </c>
      <c r="B123" s="46"/>
      <c r="C123" s="46"/>
      <c r="D123" s="46">
        <v>3208</v>
      </c>
      <c r="E123" s="46">
        <f>SUM(B123:D123)</f>
        <v>3208</v>
      </c>
      <c r="F123" s="46"/>
      <c r="G123" s="46"/>
      <c r="H123" s="46">
        <f>SUM(E123:G123)</f>
        <v>3208</v>
      </c>
      <c r="I123" s="46"/>
      <c r="J123" s="46"/>
      <c r="K123" s="46">
        <f>SUM(H123:J123)</f>
        <v>3208</v>
      </c>
    </row>
    <row r="124" spans="1:11" ht="18.75" customHeight="1">
      <c r="A124" s="2" t="s">
        <v>16</v>
      </c>
      <c r="B124" s="39">
        <f>B125+B136</f>
        <v>942417</v>
      </c>
      <c r="C124" s="39">
        <f>C125+C136</f>
        <v>21000</v>
      </c>
      <c r="D124" s="39">
        <f>D125+D136</f>
        <v>1000</v>
      </c>
      <c r="E124" s="39">
        <f>B124+C124+D124</f>
        <v>964417</v>
      </c>
      <c r="F124" s="39">
        <f>F125+F136</f>
        <v>6100</v>
      </c>
      <c r="G124" s="39">
        <f>G125+G136</f>
        <v>54500</v>
      </c>
      <c r="H124" s="39">
        <f>E124+F124+G124</f>
        <v>1025017</v>
      </c>
      <c r="I124" s="39">
        <f>I125+I136</f>
        <v>0</v>
      </c>
      <c r="J124" s="39">
        <f>J125+J136</f>
        <v>0</v>
      </c>
      <c r="K124" s="39">
        <f>H124+I124+J124</f>
        <v>1025017</v>
      </c>
    </row>
    <row r="125" spans="1:11" ht="12.75" customHeight="1">
      <c r="A125" s="6" t="s">
        <v>34</v>
      </c>
      <c r="B125" s="44">
        <f>SUM(B128:B135)</f>
        <v>942417</v>
      </c>
      <c r="C125" s="44">
        <f>SUM(C128:C135)</f>
        <v>21000</v>
      </c>
      <c r="D125" s="44">
        <f>SUM(D128:D135)</f>
        <v>0</v>
      </c>
      <c r="E125" s="44">
        <f>B125+C125+D125</f>
        <v>963417</v>
      </c>
      <c r="F125" s="44">
        <f>SUM(F128:F135)</f>
        <v>0</v>
      </c>
      <c r="G125" s="44">
        <f>SUM(G128:G135)</f>
        <v>54500</v>
      </c>
      <c r="H125" s="44">
        <f>E125+F125+G125</f>
        <v>1017917</v>
      </c>
      <c r="I125" s="44">
        <f>SUM(I128:I135)</f>
        <v>0</v>
      </c>
      <c r="J125" s="44">
        <f>SUM(J128:J135)</f>
        <v>0</v>
      </c>
      <c r="K125" s="44">
        <f>H125+I125+J125</f>
        <v>1017917</v>
      </c>
    </row>
    <row r="126" spans="1:11" ht="10.5" customHeight="1">
      <c r="A126" s="3" t="s">
        <v>1</v>
      </c>
      <c r="B126" s="42"/>
      <c r="C126" s="42"/>
      <c r="D126" s="42"/>
      <c r="E126" s="39"/>
      <c r="F126" s="42"/>
      <c r="G126" s="42"/>
      <c r="H126" s="39"/>
      <c r="I126" s="42"/>
      <c r="J126" s="42"/>
      <c r="K126" s="39"/>
    </row>
    <row r="127" spans="1:11" ht="12.75" customHeight="1">
      <c r="A127" s="5" t="s">
        <v>37</v>
      </c>
      <c r="B127" s="42"/>
      <c r="C127" s="42"/>
      <c r="D127" s="42"/>
      <c r="E127" s="39"/>
      <c r="F127" s="42"/>
      <c r="G127" s="42"/>
      <c r="H127" s="39"/>
      <c r="I127" s="42"/>
      <c r="J127" s="42"/>
      <c r="K127" s="39"/>
    </row>
    <row r="128" spans="1:11" ht="12.75" customHeight="1">
      <c r="A128" s="5" t="s">
        <v>38</v>
      </c>
      <c r="B128" s="42">
        <v>202696</v>
      </c>
      <c r="C128" s="42"/>
      <c r="D128" s="42"/>
      <c r="E128" s="42">
        <f aca="true" t="shared" si="16" ref="E128:E133">B128+C128+D128</f>
        <v>202696</v>
      </c>
      <c r="F128" s="42"/>
      <c r="G128" s="42">
        <v>33000</v>
      </c>
      <c r="H128" s="42">
        <f aca="true" t="shared" si="17" ref="H128:H136">E128+F128+G128</f>
        <v>235696</v>
      </c>
      <c r="I128" s="42"/>
      <c r="J128" s="42"/>
      <c r="K128" s="42">
        <f aca="true" t="shared" si="18" ref="K128:K136">H128+I128+J128</f>
        <v>235696</v>
      </c>
    </row>
    <row r="129" spans="1:11" ht="12.75" customHeight="1">
      <c r="A129" s="4" t="s">
        <v>39</v>
      </c>
      <c r="B129" s="42">
        <v>297535</v>
      </c>
      <c r="C129" s="42"/>
      <c r="D129" s="42"/>
      <c r="E129" s="42">
        <f t="shared" si="16"/>
        <v>297535</v>
      </c>
      <c r="F129" s="42"/>
      <c r="G129" s="42">
        <v>21000</v>
      </c>
      <c r="H129" s="42">
        <f t="shared" si="17"/>
        <v>318535</v>
      </c>
      <c r="I129" s="42"/>
      <c r="J129" s="42"/>
      <c r="K129" s="42">
        <f t="shared" si="18"/>
        <v>318535</v>
      </c>
    </row>
    <row r="130" spans="1:11" ht="12.75" customHeight="1">
      <c r="A130" s="7" t="s">
        <v>18</v>
      </c>
      <c r="B130" s="47">
        <v>366000</v>
      </c>
      <c r="C130" s="47">
        <f>21000-100000</f>
        <v>-79000</v>
      </c>
      <c r="D130" s="47">
        <v>-150000</v>
      </c>
      <c r="E130" s="42">
        <f t="shared" si="16"/>
        <v>137000</v>
      </c>
      <c r="F130" s="47"/>
      <c r="G130" s="47"/>
      <c r="H130" s="42">
        <f t="shared" si="17"/>
        <v>137000</v>
      </c>
      <c r="I130" s="47">
        <v>-30000</v>
      </c>
      <c r="J130" s="47"/>
      <c r="K130" s="42">
        <f t="shared" si="18"/>
        <v>107000</v>
      </c>
    </row>
    <row r="131" spans="1:11" ht="12.75" customHeight="1">
      <c r="A131" s="4" t="s">
        <v>150</v>
      </c>
      <c r="B131" s="42">
        <v>3000</v>
      </c>
      <c r="C131" s="42"/>
      <c r="D131" s="42"/>
      <c r="E131" s="42">
        <f t="shared" si="16"/>
        <v>3000</v>
      </c>
      <c r="F131" s="42"/>
      <c r="G131" s="42"/>
      <c r="H131" s="42">
        <f t="shared" si="17"/>
        <v>3000</v>
      </c>
      <c r="I131" s="42"/>
      <c r="J131" s="42"/>
      <c r="K131" s="42">
        <f t="shared" si="18"/>
        <v>3000</v>
      </c>
    </row>
    <row r="132" spans="1:11" ht="12.75" customHeight="1">
      <c r="A132" s="4" t="s">
        <v>185</v>
      </c>
      <c r="B132" s="42"/>
      <c r="C132" s="42"/>
      <c r="D132" s="42">
        <v>50000</v>
      </c>
      <c r="E132" s="42">
        <f t="shared" si="16"/>
        <v>50000</v>
      </c>
      <c r="F132" s="42"/>
      <c r="G132" s="42"/>
      <c r="H132" s="42">
        <f t="shared" si="17"/>
        <v>50000</v>
      </c>
      <c r="I132" s="42"/>
      <c r="J132" s="42"/>
      <c r="K132" s="42">
        <f t="shared" si="18"/>
        <v>50000</v>
      </c>
    </row>
    <row r="133" spans="1:11" ht="12.75" customHeight="1">
      <c r="A133" s="4" t="s">
        <v>124</v>
      </c>
      <c r="B133" s="42">
        <v>67796</v>
      </c>
      <c r="C133" s="42"/>
      <c r="D133" s="42"/>
      <c r="E133" s="42">
        <f t="shared" si="16"/>
        <v>67796</v>
      </c>
      <c r="F133" s="42"/>
      <c r="G133" s="42"/>
      <c r="H133" s="42">
        <f t="shared" si="17"/>
        <v>67796</v>
      </c>
      <c r="I133" s="42"/>
      <c r="J133" s="42"/>
      <c r="K133" s="42">
        <f t="shared" si="18"/>
        <v>67796</v>
      </c>
    </row>
    <row r="134" spans="1:11" ht="12.75" customHeight="1">
      <c r="A134" s="4" t="s">
        <v>147</v>
      </c>
      <c r="B134" s="42"/>
      <c r="C134" s="42"/>
      <c r="D134" s="42"/>
      <c r="E134" s="42"/>
      <c r="F134" s="42">
        <v>250</v>
      </c>
      <c r="G134" s="42"/>
      <c r="H134" s="42">
        <f t="shared" si="17"/>
        <v>250</v>
      </c>
      <c r="I134" s="42"/>
      <c r="J134" s="42"/>
      <c r="K134" s="42">
        <f t="shared" si="18"/>
        <v>250</v>
      </c>
    </row>
    <row r="135" spans="1:11" ht="12.75" customHeight="1">
      <c r="A135" s="4" t="s">
        <v>9</v>
      </c>
      <c r="B135" s="42">
        <v>5390</v>
      </c>
      <c r="C135" s="42">
        <v>100000</v>
      </c>
      <c r="D135" s="42">
        <v>100000</v>
      </c>
      <c r="E135" s="42">
        <f>B135+C135+D135</f>
        <v>205390</v>
      </c>
      <c r="F135" s="42">
        <f>-250</f>
        <v>-250</v>
      </c>
      <c r="G135" s="42">
        <v>500</v>
      </c>
      <c r="H135" s="42">
        <f t="shared" si="17"/>
        <v>205640</v>
      </c>
      <c r="I135" s="42">
        <v>30000</v>
      </c>
      <c r="J135" s="42"/>
      <c r="K135" s="42">
        <f t="shared" si="18"/>
        <v>235640</v>
      </c>
    </row>
    <row r="136" spans="1:11" ht="13.5" customHeight="1">
      <c r="A136" s="13" t="s">
        <v>35</v>
      </c>
      <c r="B136" s="45">
        <f>SUM(B138:B143)</f>
        <v>0</v>
      </c>
      <c r="C136" s="45">
        <f>SUM(C138:C143)</f>
        <v>0</v>
      </c>
      <c r="D136" s="45">
        <f>SUM(D138:D143)</f>
        <v>1000</v>
      </c>
      <c r="E136" s="45">
        <f>B136+C136+D136</f>
        <v>1000</v>
      </c>
      <c r="F136" s="45">
        <f>SUM(F138:F143)</f>
        <v>6100</v>
      </c>
      <c r="G136" s="45">
        <f>SUM(G138:G143)</f>
        <v>0</v>
      </c>
      <c r="H136" s="45">
        <f t="shared" si="17"/>
        <v>7100</v>
      </c>
      <c r="I136" s="45">
        <f>SUM(I138:I143)</f>
        <v>0</v>
      </c>
      <c r="J136" s="45">
        <f>SUM(J138:J143)</f>
        <v>0</v>
      </c>
      <c r="K136" s="45">
        <f t="shared" si="18"/>
        <v>7100</v>
      </c>
    </row>
    <row r="137" spans="1:11" ht="10.5" customHeight="1">
      <c r="A137" s="10" t="s">
        <v>1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75" customHeight="1" hidden="1">
      <c r="A138" s="4" t="s">
        <v>151</v>
      </c>
      <c r="B138" s="42"/>
      <c r="C138" s="42"/>
      <c r="D138" s="42"/>
      <c r="E138" s="42">
        <f>B138+C138+D138</f>
        <v>0</v>
      </c>
      <c r="F138" s="42"/>
      <c r="G138" s="42"/>
      <c r="H138" s="42">
        <f aca="true" t="shared" si="19" ref="H138:H143">E138+F138+G138</f>
        <v>0</v>
      </c>
      <c r="I138" s="42"/>
      <c r="J138" s="42"/>
      <c r="K138" s="42">
        <f aca="true" t="shared" si="20" ref="K138:K143">H138+I138+J138</f>
        <v>0</v>
      </c>
    </row>
    <row r="139" spans="1:11" ht="12.75" customHeight="1">
      <c r="A139" s="8" t="s">
        <v>41</v>
      </c>
      <c r="B139" s="40"/>
      <c r="C139" s="40"/>
      <c r="D139" s="40"/>
      <c r="E139" s="42"/>
      <c r="F139" s="40">
        <v>3100</v>
      </c>
      <c r="G139" s="40"/>
      <c r="H139" s="42">
        <f t="shared" si="19"/>
        <v>3100</v>
      </c>
      <c r="I139" s="40"/>
      <c r="J139" s="40"/>
      <c r="K139" s="42">
        <f t="shared" si="20"/>
        <v>3100</v>
      </c>
    </row>
    <row r="140" spans="1:11" ht="12.75" customHeight="1">
      <c r="A140" s="8" t="s">
        <v>220</v>
      </c>
      <c r="B140" s="40"/>
      <c r="C140" s="40"/>
      <c r="D140" s="40"/>
      <c r="E140" s="42"/>
      <c r="F140" s="40">
        <v>3000</v>
      </c>
      <c r="G140" s="40"/>
      <c r="H140" s="42">
        <f t="shared" si="19"/>
        <v>3000</v>
      </c>
      <c r="I140" s="40"/>
      <c r="J140" s="40"/>
      <c r="K140" s="42">
        <f t="shared" si="20"/>
        <v>3000</v>
      </c>
    </row>
    <row r="141" spans="1:11" ht="12.75" customHeight="1">
      <c r="A141" s="37" t="s">
        <v>186</v>
      </c>
      <c r="B141" s="48"/>
      <c r="C141" s="48"/>
      <c r="D141" s="48">
        <v>1000</v>
      </c>
      <c r="E141" s="46">
        <f>B141+C141+D141</f>
        <v>1000</v>
      </c>
      <c r="F141" s="48"/>
      <c r="G141" s="48"/>
      <c r="H141" s="46">
        <f t="shared" si="19"/>
        <v>1000</v>
      </c>
      <c r="I141" s="48"/>
      <c r="J141" s="48"/>
      <c r="K141" s="46">
        <f t="shared" si="20"/>
        <v>1000</v>
      </c>
    </row>
    <row r="142" spans="1:11" ht="12.75" customHeight="1" hidden="1">
      <c r="A142" s="8" t="s">
        <v>115</v>
      </c>
      <c r="B142" s="40"/>
      <c r="C142" s="40"/>
      <c r="D142" s="40"/>
      <c r="E142" s="42">
        <f>B142+C142+D142</f>
        <v>0</v>
      </c>
      <c r="F142" s="40"/>
      <c r="G142" s="40"/>
      <c r="H142" s="42">
        <f t="shared" si="19"/>
        <v>0</v>
      </c>
      <c r="I142" s="40"/>
      <c r="J142" s="40"/>
      <c r="K142" s="42">
        <f t="shared" si="20"/>
        <v>0</v>
      </c>
    </row>
    <row r="143" spans="1:11" ht="12.75" customHeight="1" hidden="1">
      <c r="A143" s="8" t="s">
        <v>55</v>
      </c>
      <c r="B143" s="40"/>
      <c r="C143" s="40"/>
      <c r="D143" s="40"/>
      <c r="E143" s="42">
        <f>B143+C143+D143</f>
        <v>0</v>
      </c>
      <c r="F143" s="40"/>
      <c r="G143" s="40"/>
      <c r="H143" s="42">
        <f t="shared" si="19"/>
        <v>0</v>
      </c>
      <c r="I143" s="40"/>
      <c r="J143" s="40"/>
      <c r="K143" s="42">
        <f t="shared" si="20"/>
        <v>0</v>
      </c>
    </row>
    <row r="144" spans="1:11" ht="12.75" customHeight="1" hidden="1">
      <c r="A144" s="8" t="s">
        <v>82</v>
      </c>
      <c r="B144" s="40"/>
      <c r="C144" s="40"/>
      <c r="D144" s="40"/>
      <c r="E144" s="42">
        <f>B144+C144</f>
        <v>0</v>
      </c>
      <c r="F144" s="40"/>
      <c r="G144" s="40"/>
      <c r="H144" s="42">
        <f>E144+F144</f>
        <v>0</v>
      </c>
      <c r="I144" s="40"/>
      <c r="J144" s="40"/>
      <c r="K144" s="42">
        <f>H144+I144</f>
        <v>0</v>
      </c>
    </row>
    <row r="145" spans="1:11" ht="18.75" customHeight="1">
      <c r="A145" s="2" t="s">
        <v>93</v>
      </c>
      <c r="B145" s="39">
        <f aca="true" t="shared" si="21" ref="B145:K145">B146</f>
        <v>7000</v>
      </c>
      <c r="C145" s="39">
        <f t="shared" si="21"/>
        <v>0</v>
      </c>
      <c r="D145" s="39">
        <f t="shared" si="21"/>
        <v>0</v>
      </c>
      <c r="E145" s="39">
        <f t="shared" si="21"/>
        <v>7000</v>
      </c>
      <c r="F145" s="39">
        <f t="shared" si="21"/>
        <v>78</v>
      </c>
      <c r="G145" s="39">
        <f t="shared" si="21"/>
        <v>1000</v>
      </c>
      <c r="H145" s="39">
        <f t="shared" si="21"/>
        <v>8078</v>
      </c>
      <c r="I145" s="39">
        <f t="shared" si="21"/>
        <v>0</v>
      </c>
      <c r="J145" s="39">
        <f t="shared" si="21"/>
        <v>0</v>
      </c>
      <c r="K145" s="39">
        <f t="shared" si="21"/>
        <v>8078</v>
      </c>
    </row>
    <row r="146" spans="1:11" ht="15" customHeight="1">
      <c r="A146" s="6" t="s">
        <v>34</v>
      </c>
      <c r="B146" s="44">
        <f>SUM(B148:B149)</f>
        <v>7000</v>
      </c>
      <c r="C146" s="44">
        <f>SUM(C148:C148)</f>
        <v>0</v>
      </c>
      <c r="D146" s="44">
        <f>SUM(D148:D148)</f>
        <v>0</v>
      </c>
      <c r="E146" s="44">
        <f>B146+C146</f>
        <v>7000</v>
      </c>
      <c r="F146" s="44">
        <f>SUM(F148:F149)</f>
        <v>78</v>
      </c>
      <c r="G146" s="44">
        <f>SUM(G148:G149)</f>
        <v>1000</v>
      </c>
      <c r="H146" s="44">
        <f>E146+F146+G146</f>
        <v>8078</v>
      </c>
      <c r="I146" s="44">
        <f>SUM(I148:I149)</f>
        <v>0</v>
      </c>
      <c r="J146" s="44">
        <f>SUM(J148:J149)</f>
        <v>0</v>
      </c>
      <c r="K146" s="44">
        <f>H146+I146+J146</f>
        <v>8078</v>
      </c>
    </row>
    <row r="147" spans="1:11" ht="10.5" customHeight="1">
      <c r="A147" s="3" t="s">
        <v>1</v>
      </c>
      <c r="B147" s="42"/>
      <c r="C147" s="42"/>
      <c r="D147" s="42"/>
      <c r="E147" s="39"/>
      <c r="F147" s="42"/>
      <c r="G147" s="42"/>
      <c r="H147" s="39"/>
      <c r="I147" s="42"/>
      <c r="J147" s="42"/>
      <c r="K147" s="39"/>
    </row>
    <row r="148" spans="1:11" ht="12.75" customHeight="1">
      <c r="A148" s="8" t="s">
        <v>9</v>
      </c>
      <c r="B148" s="40">
        <v>7000</v>
      </c>
      <c r="C148" s="40"/>
      <c r="D148" s="40"/>
      <c r="E148" s="40">
        <f>B148+C148+D148</f>
        <v>7000</v>
      </c>
      <c r="F148" s="40">
        <v>78</v>
      </c>
      <c r="G148" s="40"/>
      <c r="H148" s="40">
        <f>E148+F148+G148</f>
        <v>7078</v>
      </c>
      <c r="I148" s="40"/>
      <c r="J148" s="40"/>
      <c r="K148" s="40">
        <f>H148+I148+J148</f>
        <v>7078</v>
      </c>
    </row>
    <row r="149" spans="1:11" ht="12.75" customHeight="1">
      <c r="A149" s="37" t="s">
        <v>44</v>
      </c>
      <c r="B149" s="48"/>
      <c r="C149" s="48"/>
      <c r="D149" s="48"/>
      <c r="E149" s="46"/>
      <c r="F149" s="48"/>
      <c r="G149" s="48">
        <v>1000</v>
      </c>
      <c r="H149" s="46">
        <f>E149+F149+G149</f>
        <v>1000</v>
      </c>
      <c r="I149" s="48"/>
      <c r="J149" s="48"/>
      <c r="K149" s="46">
        <f>H149+I149+J149</f>
        <v>1000</v>
      </c>
    </row>
    <row r="150" spans="1:11" ht="16.5" customHeight="1">
      <c r="A150" s="12" t="s">
        <v>67</v>
      </c>
      <c r="B150" s="41">
        <f aca="true" t="shared" si="22" ref="B150:H150">B151+B156</f>
        <v>350962</v>
      </c>
      <c r="C150" s="41">
        <f t="shared" si="22"/>
        <v>0</v>
      </c>
      <c r="D150" s="41">
        <f t="shared" si="22"/>
        <v>0</v>
      </c>
      <c r="E150" s="41">
        <f t="shared" si="22"/>
        <v>350962</v>
      </c>
      <c r="F150" s="41">
        <f t="shared" si="22"/>
        <v>0</v>
      </c>
      <c r="G150" s="41">
        <f t="shared" si="22"/>
        <v>187000</v>
      </c>
      <c r="H150" s="41">
        <f t="shared" si="22"/>
        <v>537962</v>
      </c>
      <c r="I150" s="41">
        <f>I151+I156</f>
        <v>0</v>
      </c>
      <c r="J150" s="41">
        <f>J151+J156</f>
        <v>0</v>
      </c>
      <c r="K150" s="41">
        <f>K151+K156</f>
        <v>537962</v>
      </c>
    </row>
    <row r="151" spans="1:11" ht="15" customHeight="1">
      <c r="A151" s="6" t="s">
        <v>34</v>
      </c>
      <c r="B151" s="44">
        <f>SUM(B153:B155)</f>
        <v>55962</v>
      </c>
      <c r="C151" s="44">
        <f>SUM(C153:C155)</f>
        <v>-1000</v>
      </c>
      <c r="D151" s="44">
        <f>SUM(D153:D155)</f>
        <v>0</v>
      </c>
      <c r="E151" s="44">
        <f>B151+C151+D151</f>
        <v>54962</v>
      </c>
      <c r="F151" s="44">
        <f>SUM(F153:F155)</f>
        <v>-238</v>
      </c>
      <c r="G151" s="44">
        <f>SUM(G153:G155)</f>
        <v>-1100</v>
      </c>
      <c r="H151" s="44">
        <f>E151+F151+G151</f>
        <v>53624</v>
      </c>
      <c r="I151" s="44">
        <f>SUM(I153:I155)</f>
        <v>0</v>
      </c>
      <c r="J151" s="44">
        <f>SUM(J153:J155)</f>
        <v>0</v>
      </c>
      <c r="K151" s="44">
        <f>H151+I151+J151</f>
        <v>53624</v>
      </c>
    </row>
    <row r="152" spans="1:11" ht="10.5" customHeight="1">
      <c r="A152" s="3" t="s">
        <v>1</v>
      </c>
      <c r="B152" s="42"/>
      <c r="C152" s="42"/>
      <c r="D152" s="42"/>
      <c r="E152" s="39"/>
      <c r="F152" s="42"/>
      <c r="G152" s="42"/>
      <c r="H152" s="39"/>
      <c r="I152" s="42"/>
      <c r="J152" s="42"/>
      <c r="K152" s="39"/>
    </row>
    <row r="153" spans="1:11" ht="12.75" customHeight="1">
      <c r="A153" s="4" t="s">
        <v>9</v>
      </c>
      <c r="B153" s="42">
        <v>8962</v>
      </c>
      <c r="C153" s="42">
        <v>-1000</v>
      </c>
      <c r="D153" s="42"/>
      <c r="E153" s="42">
        <f>B153+C153+D153</f>
        <v>7962</v>
      </c>
      <c r="F153" s="42">
        <v>-238</v>
      </c>
      <c r="G153" s="42">
        <f>-2000+900</f>
        <v>-1100</v>
      </c>
      <c r="H153" s="42">
        <f>E153+F153+G153</f>
        <v>6624</v>
      </c>
      <c r="I153" s="42"/>
      <c r="J153" s="42"/>
      <c r="K153" s="42">
        <f>H153+I153+J153</f>
        <v>6624</v>
      </c>
    </row>
    <row r="154" spans="1:11" ht="12.75" customHeight="1">
      <c r="A154" s="4" t="s">
        <v>209</v>
      </c>
      <c r="B154" s="42">
        <v>27000</v>
      </c>
      <c r="C154" s="42"/>
      <c r="D154" s="42"/>
      <c r="E154" s="42">
        <f>B154+C154+D154</f>
        <v>27000</v>
      </c>
      <c r="F154" s="42"/>
      <c r="G154" s="42"/>
      <c r="H154" s="42">
        <f>E154+F154+G154</f>
        <v>27000</v>
      </c>
      <c r="I154" s="42"/>
      <c r="J154" s="42"/>
      <c r="K154" s="42">
        <f>H154+I154+J154</f>
        <v>27000</v>
      </c>
    </row>
    <row r="155" spans="1:11" ht="12.75" customHeight="1">
      <c r="A155" s="4" t="s">
        <v>27</v>
      </c>
      <c r="B155" s="42">
        <v>20000</v>
      </c>
      <c r="C155" s="42"/>
      <c r="D155" s="42"/>
      <c r="E155" s="42">
        <f>B155+C155+D155</f>
        <v>20000</v>
      </c>
      <c r="F155" s="42"/>
      <c r="G155" s="42"/>
      <c r="H155" s="42">
        <f>E155+F155+G155</f>
        <v>20000</v>
      </c>
      <c r="I155" s="42"/>
      <c r="J155" s="42"/>
      <c r="K155" s="42">
        <f>H155+I155+J155</f>
        <v>20000</v>
      </c>
    </row>
    <row r="156" spans="1:11" ht="15" customHeight="1">
      <c r="A156" s="13" t="s">
        <v>35</v>
      </c>
      <c r="B156" s="45">
        <f>B161+B158</f>
        <v>295000</v>
      </c>
      <c r="C156" s="45">
        <f>C161+C158</f>
        <v>1000</v>
      </c>
      <c r="D156" s="45">
        <f>D161+D158</f>
        <v>0</v>
      </c>
      <c r="E156" s="44">
        <f>B156+C156+D156</f>
        <v>296000</v>
      </c>
      <c r="F156" s="45">
        <f>SUM(F158:F161)</f>
        <v>238</v>
      </c>
      <c r="G156" s="45">
        <f>SUM(G158:G161)</f>
        <v>188100</v>
      </c>
      <c r="H156" s="44">
        <f>E156+F156+G156</f>
        <v>484338</v>
      </c>
      <c r="I156" s="45">
        <f>SUM(I158:I161)</f>
        <v>0</v>
      </c>
      <c r="J156" s="45">
        <f>SUM(J158:J161)</f>
        <v>0</v>
      </c>
      <c r="K156" s="44">
        <f>H156+I156+J156</f>
        <v>484338</v>
      </c>
    </row>
    <row r="157" spans="1:11" ht="10.5" customHeight="1">
      <c r="A157" s="10" t="s">
        <v>1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</row>
    <row r="158" spans="1:11" ht="12.75" customHeight="1">
      <c r="A158" s="5" t="s">
        <v>41</v>
      </c>
      <c r="B158" s="42"/>
      <c r="C158" s="42">
        <v>1000</v>
      </c>
      <c r="D158" s="42"/>
      <c r="E158" s="42">
        <f>B158+C158+D158</f>
        <v>1000</v>
      </c>
      <c r="F158" s="42">
        <v>238</v>
      </c>
      <c r="G158" s="42">
        <v>1100</v>
      </c>
      <c r="H158" s="42">
        <f>E158+F158+G158</f>
        <v>2338</v>
      </c>
      <c r="I158" s="42"/>
      <c r="J158" s="42"/>
      <c r="K158" s="42">
        <f>H158+I158+J158</f>
        <v>2338</v>
      </c>
    </row>
    <row r="159" spans="1:11" ht="12.75" customHeight="1">
      <c r="A159" s="5" t="s">
        <v>216</v>
      </c>
      <c r="B159" s="42"/>
      <c r="C159" s="42"/>
      <c r="D159" s="42"/>
      <c r="E159" s="42"/>
      <c r="F159" s="42"/>
      <c r="G159" s="42">
        <v>2000</v>
      </c>
      <c r="H159" s="42">
        <f>E159+F159+G159</f>
        <v>2000</v>
      </c>
      <c r="I159" s="42"/>
      <c r="J159" s="42"/>
      <c r="K159" s="42">
        <f>H159+I159+J159</f>
        <v>2000</v>
      </c>
    </row>
    <row r="160" spans="1:11" ht="12.75" customHeight="1">
      <c r="A160" s="5" t="s">
        <v>217</v>
      </c>
      <c r="B160" s="42"/>
      <c r="C160" s="42"/>
      <c r="D160" s="42"/>
      <c r="E160" s="42"/>
      <c r="F160" s="42"/>
      <c r="G160" s="42">
        <v>480000</v>
      </c>
      <c r="H160" s="42">
        <f>E160+F160+G160</f>
        <v>480000</v>
      </c>
      <c r="I160" s="42"/>
      <c r="J160" s="42"/>
      <c r="K160" s="42">
        <f>H160+I160+J160</f>
        <v>480000</v>
      </c>
    </row>
    <row r="161" spans="1:11" ht="12.75" customHeight="1">
      <c r="A161" s="32" t="s">
        <v>210</v>
      </c>
      <c r="B161" s="46">
        <v>295000</v>
      </c>
      <c r="C161" s="46"/>
      <c r="D161" s="46"/>
      <c r="E161" s="46">
        <f>B161+C161+D161</f>
        <v>295000</v>
      </c>
      <c r="F161" s="46"/>
      <c r="G161" s="46">
        <f>185000-480000</f>
        <v>-295000</v>
      </c>
      <c r="H161" s="46">
        <f>E161+F161+G161</f>
        <v>0</v>
      </c>
      <c r="I161" s="46"/>
      <c r="J161" s="46"/>
      <c r="K161" s="46">
        <f>H161+I161+J161</f>
        <v>0</v>
      </c>
    </row>
    <row r="162" spans="1:11" ht="19.5" customHeight="1">
      <c r="A162" s="2" t="s">
        <v>56</v>
      </c>
      <c r="B162" s="39">
        <f aca="true" t="shared" si="23" ref="B162:K162">B163+B191</f>
        <v>223700</v>
      </c>
      <c r="C162" s="39">
        <f t="shared" si="23"/>
        <v>16710.1</v>
      </c>
      <c r="D162" s="39">
        <f t="shared" si="23"/>
        <v>-7550.9000000000015</v>
      </c>
      <c r="E162" s="39">
        <f t="shared" si="23"/>
        <v>232859.2</v>
      </c>
      <c r="F162" s="39">
        <f t="shared" si="23"/>
        <v>-18454.4</v>
      </c>
      <c r="G162" s="39">
        <f t="shared" si="23"/>
        <v>-17340</v>
      </c>
      <c r="H162" s="39">
        <f t="shared" si="23"/>
        <v>197064.8</v>
      </c>
      <c r="I162" s="39">
        <f t="shared" si="23"/>
        <v>7918.599999999999</v>
      </c>
      <c r="J162" s="39">
        <f t="shared" si="23"/>
        <v>0</v>
      </c>
      <c r="K162" s="39">
        <f t="shared" si="23"/>
        <v>204983.4</v>
      </c>
    </row>
    <row r="163" spans="1:11" ht="15" customHeight="1">
      <c r="A163" s="6" t="s">
        <v>34</v>
      </c>
      <c r="B163" s="44">
        <f aca="true" t="shared" si="24" ref="B163:K163">SUM(B165:B179)+B182</f>
        <v>177700</v>
      </c>
      <c r="C163" s="44">
        <f t="shared" si="24"/>
        <v>14445.1</v>
      </c>
      <c r="D163" s="44">
        <f t="shared" si="24"/>
        <v>-1847.7000000000007</v>
      </c>
      <c r="E163" s="44">
        <f t="shared" si="24"/>
        <v>190297.40000000002</v>
      </c>
      <c r="F163" s="44">
        <f t="shared" si="24"/>
        <v>-20157</v>
      </c>
      <c r="G163" s="44">
        <f t="shared" si="24"/>
        <v>-15940</v>
      </c>
      <c r="H163" s="44">
        <f t="shared" si="24"/>
        <v>154200.4</v>
      </c>
      <c r="I163" s="44">
        <f t="shared" si="24"/>
        <v>6918.599999999999</v>
      </c>
      <c r="J163" s="44">
        <f t="shared" si="24"/>
        <v>0</v>
      </c>
      <c r="K163" s="44">
        <f t="shared" si="24"/>
        <v>161119</v>
      </c>
    </row>
    <row r="164" spans="1:11" ht="10.5" customHeight="1">
      <c r="A164" s="10" t="s">
        <v>1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1:11" ht="12.75" customHeight="1">
      <c r="A165" s="4" t="s">
        <v>9</v>
      </c>
      <c r="B165" s="42">
        <v>200</v>
      </c>
      <c r="C165" s="42"/>
      <c r="D165" s="42"/>
      <c r="E165" s="42">
        <f aca="true" t="shared" si="25" ref="E165:E172">SUM(A165:D165)</f>
        <v>200</v>
      </c>
      <c r="F165" s="42"/>
      <c r="G165" s="42">
        <v>1400</v>
      </c>
      <c r="H165" s="42">
        <f aca="true" t="shared" si="26" ref="H165:H190">SUM(E165:G165)</f>
        <v>1600</v>
      </c>
      <c r="I165" s="42"/>
      <c r="J165" s="42"/>
      <c r="K165" s="42">
        <f aca="true" t="shared" si="27" ref="K165:K190">SUM(H165:J165)</f>
        <v>1600</v>
      </c>
    </row>
    <row r="166" spans="1:11" ht="12.75" customHeight="1">
      <c r="A166" s="4" t="s">
        <v>18</v>
      </c>
      <c r="B166" s="42">
        <v>3500</v>
      </c>
      <c r="C166" s="42">
        <v>476</v>
      </c>
      <c r="D166" s="42"/>
      <c r="E166" s="42">
        <f t="shared" si="25"/>
        <v>3976</v>
      </c>
      <c r="F166" s="42">
        <v>256.6</v>
      </c>
      <c r="G166" s="42"/>
      <c r="H166" s="42">
        <f t="shared" si="26"/>
        <v>4232.6</v>
      </c>
      <c r="I166" s="42"/>
      <c r="J166" s="42"/>
      <c r="K166" s="42">
        <f t="shared" si="27"/>
        <v>4232.6</v>
      </c>
    </row>
    <row r="167" spans="1:11" ht="12.75" customHeight="1">
      <c r="A167" s="30" t="s">
        <v>152</v>
      </c>
      <c r="B167" s="42">
        <v>20000</v>
      </c>
      <c r="C167" s="42">
        <f>-1950-515</f>
        <v>-2465</v>
      </c>
      <c r="D167" s="42"/>
      <c r="E167" s="42">
        <f t="shared" si="25"/>
        <v>17535</v>
      </c>
      <c r="F167" s="42"/>
      <c r="G167" s="42"/>
      <c r="H167" s="42">
        <f t="shared" si="26"/>
        <v>17535</v>
      </c>
      <c r="I167" s="42"/>
      <c r="J167" s="42"/>
      <c r="K167" s="42">
        <f t="shared" si="27"/>
        <v>17535</v>
      </c>
    </row>
    <row r="168" spans="1:11" ht="12.75" customHeight="1">
      <c r="A168" s="30" t="s">
        <v>179</v>
      </c>
      <c r="B168" s="42"/>
      <c r="C168" s="42">
        <v>16598.5</v>
      </c>
      <c r="D168" s="42"/>
      <c r="E168" s="42">
        <f t="shared" si="25"/>
        <v>16598.5</v>
      </c>
      <c r="F168" s="42"/>
      <c r="G168" s="42"/>
      <c r="H168" s="42">
        <f t="shared" si="26"/>
        <v>16598.5</v>
      </c>
      <c r="I168" s="42"/>
      <c r="J168" s="42"/>
      <c r="K168" s="42">
        <f t="shared" si="27"/>
        <v>16598.5</v>
      </c>
    </row>
    <row r="169" spans="1:11" ht="12.75" customHeight="1">
      <c r="A169" s="10" t="s">
        <v>109</v>
      </c>
      <c r="B169" s="42"/>
      <c r="C169" s="42"/>
      <c r="D169" s="42"/>
      <c r="E169" s="42">
        <f t="shared" si="25"/>
        <v>0</v>
      </c>
      <c r="F169" s="42">
        <v>1141.2</v>
      </c>
      <c r="G169" s="42"/>
      <c r="H169" s="42">
        <f t="shared" si="26"/>
        <v>1141.2</v>
      </c>
      <c r="I169" s="42"/>
      <c r="J169" s="42"/>
      <c r="K169" s="42">
        <f t="shared" si="27"/>
        <v>1141.2</v>
      </c>
    </row>
    <row r="170" spans="1:11" ht="12.75" customHeight="1">
      <c r="A170" s="8" t="s">
        <v>111</v>
      </c>
      <c r="B170" s="42"/>
      <c r="C170" s="42"/>
      <c r="D170" s="42"/>
      <c r="E170" s="42"/>
      <c r="F170" s="42"/>
      <c r="G170" s="42"/>
      <c r="H170" s="42"/>
      <c r="I170" s="42">
        <v>3512.3</v>
      </c>
      <c r="J170" s="42"/>
      <c r="K170" s="42">
        <f t="shared" si="27"/>
        <v>3512.3</v>
      </c>
    </row>
    <row r="171" spans="1:11" ht="12.75" customHeight="1">
      <c r="A171" s="8" t="s">
        <v>112</v>
      </c>
      <c r="B171" s="42"/>
      <c r="C171" s="42"/>
      <c r="D171" s="42"/>
      <c r="E171" s="42"/>
      <c r="F171" s="42"/>
      <c r="G171" s="42"/>
      <c r="H171" s="42"/>
      <c r="I171" s="42">
        <v>2486.1</v>
      </c>
      <c r="J171" s="42"/>
      <c r="K171" s="42">
        <f t="shared" si="27"/>
        <v>2486.1</v>
      </c>
    </row>
    <row r="172" spans="1:11" ht="12.75" customHeight="1">
      <c r="A172" s="4" t="s">
        <v>108</v>
      </c>
      <c r="B172" s="42"/>
      <c r="C172" s="42"/>
      <c r="D172" s="42"/>
      <c r="E172" s="42">
        <f t="shared" si="25"/>
        <v>0</v>
      </c>
      <c r="F172" s="42">
        <v>6118</v>
      </c>
      <c r="G172" s="42"/>
      <c r="H172" s="42">
        <f t="shared" si="26"/>
        <v>6118</v>
      </c>
      <c r="I172" s="42"/>
      <c r="J172" s="42"/>
      <c r="K172" s="42">
        <f t="shared" si="27"/>
        <v>6118</v>
      </c>
    </row>
    <row r="173" spans="1:11" ht="12.75" customHeight="1">
      <c r="A173" s="4" t="s">
        <v>200</v>
      </c>
      <c r="B173" s="42"/>
      <c r="C173" s="42"/>
      <c r="D173" s="42"/>
      <c r="E173" s="42"/>
      <c r="F173" s="42">
        <v>12</v>
      </c>
      <c r="G173" s="42"/>
      <c r="H173" s="42">
        <f t="shared" si="26"/>
        <v>12</v>
      </c>
      <c r="I173" s="42">
        <v>468.4</v>
      </c>
      <c r="J173" s="42"/>
      <c r="K173" s="42">
        <f t="shared" si="27"/>
        <v>480.4</v>
      </c>
    </row>
    <row r="174" spans="1:11" ht="12.75" customHeight="1">
      <c r="A174" s="4" t="s">
        <v>174</v>
      </c>
      <c r="B174" s="42"/>
      <c r="C174" s="42">
        <v>13</v>
      </c>
      <c r="D174" s="42"/>
      <c r="E174" s="42">
        <f aca="true" t="shared" si="28" ref="E174:E180">SUM(A174:D174)</f>
        <v>13</v>
      </c>
      <c r="F174" s="42"/>
      <c r="G174" s="42"/>
      <c r="H174" s="42">
        <f t="shared" si="26"/>
        <v>13</v>
      </c>
      <c r="I174" s="42"/>
      <c r="J174" s="42"/>
      <c r="K174" s="42">
        <f t="shared" si="27"/>
        <v>13</v>
      </c>
    </row>
    <row r="175" spans="1:11" ht="12.75" customHeight="1">
      <c r="A175" s="4" t="s">
        <v>120</v>
      </c>
      <c r="B175" s="42"/>
      <c r="C175" s="42"/>
      <c r="D175" s="42"/>
      <c r="E175" s="42"/>
      <c r="F175" s="42"/>
      <c r="G175" s="42"/>
      <c r="H175" s="42"/>
      <c r="I175" s="42">
        <v>451.8</v>
      </c>
      <c r="J175" s="42"/>
      <c r="K175" s="42">
        <f t="shared" si="27"/>
        <v>451.8</v>
      </c>
    </row>
    <row r="176" spans="1:11" ht="12.75" customHeight="1">
      <c r="A176" s="4" t="s">
        <v>153</v>
      </c>
      <c r="B176" s="42"/>
      <c r="C176" s="42">
        <v>1022</v>
      </c>
      <c r="D176" s="42"/>
      <c r="E176" s="42">
        <f t="shared" si="28"/>
        <v>1022</v>
      </c>
      <c r="F176" s="42"/>
      <c r="G176" s="42"/>
      <c r="H176" s="42">
        <f t="shared" si="26"/>
        <v>1022</v>
      </c>
      <c r="I176" s="42"/>
      <c r="J176" s="42"/>
      <c r="K176" s="42">
        <f t="shared" si="27"/>
        <v>1022</v>
      </c>
    </row>
    <row r="177" spans="1:11" ht="12.75" customHeight="1">
      <c r="A177" s="4" t="s">
        <v>154</v>
      </c>
      <c r="B177" s="42"/>
      <c r="C177" s="42">
        <v>300.6</v>
      </c>
      <c r="D177" s="42"/>
      <c r="E177" s="42">
        <f t="shared" si="28"/>
        <v>300.6</v>
      </c>
      <c r="F177" s="42">
        <v>204.5</v>
      </c>
      <c r="G177" s="42"/>
      <c r="H177" s="42">
        <f t="shared" si="26"/>
        <v>505.1</v>
      </c>
      <c r="I177" s="42"/>
      <c r="J177" s="42"/>
      <c r="K177" s="42">
        <f t="shared" si="27"/>
        <v>505.1</v>
      </c>
    </row>
    <row r="178" spans="1:11" ht="12.75" customHeight="1">
      <c r="A178" s="4" t="s">
        <v>72</v>
      </c>
      <c r="B178" s="42">
        <v>25000</v>
      </c>
      <c r="C178" s="42"/>
      <c r="D178" s="42">
        <v>-25000</v>
      </c>
      <c r="E178" s="42">
        <f t="shared" si="28"/>
        <v>0</v>
      </c>
      <c r="F178" s="42"/>
      <c r="G178" s="42"/>
      <c r="H178" s="42">
        <f t="shared" si="26"/>
        <v>0</v>
      </c>
      <c r="I178" s="42"/>
      <c r="J178" s="42"/>
      <c r="K178" s="42">
        <f t="shared" si="27"/>
        <v>0</v>
      </c>
    </row>
    <row r="179" spans="1:11" ht="12.75" customHeight="1">
      <c r="A179" s="4" t="s">
        <v>55</v>
      </c>
      <c r="B179" s="42">
        <v>45000</v>
      </c>
      <c r="C179" s="42"/>
      <c r="D179" s="42">
        <v>38723</v>
      </c>
      <c r="E179" s="42">
        <f t="shared" si="28"/>
        <v>83723</v>
      </c>
      <c r="F179" s="42"/>
      <c r="G179" s="42">
        <v>-500</v>
      </c>
      <c r="H179" s="42">
        <f t="shared" si="26"/>
        <v>83223</v>
      </c>
      <c r="I179" s="42"/>
      <c r="J179" s="42"/>
      <c r="K179" s="42">
        <f t="shared" si="27"/>
        <v>83223</v>
      </c>
    </row>
    <row r="180" spans="1:11" ht="12" customHeight="1">
      <c r="A180" s="4" t="s">
        <v>129</v>
      </c>
      <c r="B180" s="42">
        <v>1800</v>
      </c>
      <c r="C180" s="42">
        <v>1000</v>
      </c>
      <c r="D180" s="42">
        <v>1750</v>
      </c>
      <c r="E180" s="42">
        <f t="shared" si="28"/>
        <v>4550</v>
      </c>
      <c r="F180" s="42"/>
      <c r="G180" s="42">
        <v>900</v>
      </c>
      <c r="H180" s="42">
        <f t="shared" si="26"/>
        <v>5450</v>
      </c>
      <c r="I180" s="42">
        <f>1800+2000+2000+2000+2000+2000+700</f>
        <v>12500</v>
      </c>
      <c r="J180" s="42"/>
      <c r="K180" s="42">
        <f t="shared" si="27"/>
        <v>17950</v>
      </c>
    </row>
    <row r="181" spans="1:11" ht="12" customHeight="1">
      <c r="A181" s="4" t="s">
        <v>201</v>
      </c>
      <c r="B181" s="42"/>
      <c r="C181" s="42"/>
      <c r="D181" s="42"/>
      <c r="E181" s="42"/>
      <c r="F181" s="42">
        <v>730</v>
      </c>
      <c r="G181" s="42">
        <v>543.9</v>
      </c>
      <c r="H181" s="42">
        <f t="shared" si="26"/>
        <v>1273.9</v>
      </c>
      <c r="I181" s="42"/>
      <c r="J181" s="42"/>
      <c r="K181" s="42">
        <f t="shared" si="27"/>
        <v>1273.9</v>
      </c>
    </row>
    <row r="182" spans="1:11" ht="12" customHeight="1">
      <c r="A182" s="4" t="s">
        <v>44</v>
      </c>
      <c r="B182" s="42">
        <f aca="true" t="shared" si="29" ref="B182:G182">SUM(B183:B190)</f>
        <v>84000</v>
      </c>
      <c r="C182" s="42">
        <f t="shared" si="29"/>
        <v>-1500</v>
      </c>
      <c r="D182" s="42">
        <f t="shared" si="29"/>
        <v>-15570.7</v>
      </c>
      <c r="E182" s="42">
        <f t="shared" si="29"/>
        <v>66929.3</v>
      </c>
      <c r="F182" s="42">
        <f t="shared" si="29"/>
        <v>-27889.3</v>
      </c>
      <c r="G182" s="42">
        <f t="shared" si="29"/>
        <v>-16840</v>
      </c>
      <c r="H182" s="42">
        <f t="shared" si="26"/>
        <v>22200</v>
      </c>
      <c r="I182" s="42"/>
      <c r="J182" s="42"/>
      <c r="K182" s="42">
        <f t="shared" si="27"/>
        <v>22200</v>
      </c>
    </row>
    <row r="183" spans="1:11" ht="12" customHeight="1">
      <c r="A183" s="4" t="s">
        <v>130</v>
      </c>
      <c r="B183" s="42">
        <v>500</v>
      </c>
      <c r="C183" s="42"/>
      <c r="D183" s="42"/>
      <c r="E183" s="42">
        <f aca="true" t="shared" si="30" ref="E183:E190">SUM(A183:D183)</f>
        <v>500</v>
      </c>
      <c r="F183" s="42"/>
      <c r="G183" s="42"/>
      <c r="H183" s="42">
        <f t="shared" si="26"/>
        <v>500</v>
      </c>
      <c r="I183" s="42"/>
      <c r="J183" s="42"/>
      <c r="K183" s="42">
        <f t="shared" si="27"/>
        <v>500</v>
      </c>
    </row>
    <row r="184" spans="1:11" ht="12" customHeight="1">
      <c r="A184" s="4" t="s">
        <v>131</v>
      </c>
      <c r="B184" s="42">
        <v>9000</v>
      </c>
      <c r="C184" s="42">
        <v>-1500</v>
      </c>
      <c r="D184" s="42"/>
      <c r="E184" s="42">
        <f t="shared" si="30"/>
        <v>7500</v>
      </c>
      <c r="F184" s="42"/>
      <c r="G184" s="42">
        <v>-7500</v>
      </c>
      <c r="H184" s="42">
        <f t="shared" si="26"/>
        <v>0</v>
      </c>
      <c r="I184" s="42"/>
      <c r="J184" s="42"/>
      <c r="K184" s="42">
        <f t="shared" si="27"/>
        <v>0</v>
      </c>
    </row>
    <row r="185" spans="1:11" ht="12" customHeight="1">
      <c r="A185" s="36" t="s">
        <v>132</v>
      </c>
      <c r="B185" s="46">
        <v>13530</v>
      </c>
      <c r="C185" s="46"/>
      <c r="D185" s="46">
        <v>-13530</v>
      </c>
      <c r="E185" s="46">
        <f t="shared" si="30"/>
        <v>0</v>
      </c>
      <c r="F185" s="46"/>
      <c r="G185" s="46"/>
      <c r="H185" s="46">
        <f t="shared" si="26"/>
        <v>0</v>
      </c>
      <c r="I185" s="46"/>
      <c r="J185" s="46"/>
      <c r="K185" s="46">
        <f t="shared" si="27"/>
        <v>0</v>
      </c>
    </row>
    <row r="186" spans="1:11" ht="12" customHeight="1">
      <c r="A186" s="4" t="s">
        <v>133</v>
      </c>
      <c r="B186" s="42">
        <v>2700</v>
      </c>
      <c r="C186" s="42"/>
      <c r="D186" s="42"/>
      <c r="E186" s="42">
        <f t="shared" si="30"/>
        <v>2700</v>
      </c>
      <c r="F186" s="42"/>
      <c r="G186" s="42">
        <v>-1000</v>
      </c>
      <c r="H186" s="42">
        <f t="shared" si="26"/>
        <v>1700</v>
      </c>
      <c r="I186" s="42"/>
      <c r="J186" s="42"/>
      <c r="K186" s="42">
        <f t="shared" si="27"/>
        <v>1700</v>
      </c>
    </row>
    <row r="187" spans="1:11" ht="12" customHeight="1">
      <c r="A187" s="4" t="s">
        <v>134</v>
      </c>
      <c r="B187" s="42">
        <v>4510</v>
      </c>
      <c r="C187" s="42"/>
      <c r="D187" s="42"/>
      <c r="E187" s="42">
        <f t="shared" si="30"/>
        <v>4510</v>
      </c>
      <c r="F187" s="42">
        <v>-4510</v>
      </c>
      <c r="G187" s="42"/>
      <c r="H187" s="42">
        <f t="shared" si="26"/>
        <v>0</v>
      </c>
      <c r="I187" s="42"/>
      <c r="J187" s="42"/>
      <c r="K187" s="42">
        <f t="shared" si="27"/>
        <v>0</v>
      </c>
    </row>
    <row r="188" spans="1:11" ht="12" customHeight="1">
      <c r="A188" s="4" t="s">
        <v>135</v>
      </c>
      <c r="B188" s="42">
        <v>10280</v>
      </c>
      <c r="C188" s="42"/>
      <c r="D188" s="42"/>
      <c r="E188" s="42">
        <f t="shared" si="30"/>
        <v>10280</v>
      </c>
      <c r="F188" s="42">
        <v>-10280</v>
      </c>
      <c r="G188" s="42"/>
      <c r="H188" s="42">
        <f t="shared" si="26"/>
        <v>0</v>
      </c>
      <c r="I188" s="42"/>
      <c r="J188" s="42"/>
      <c r="K188" s="42">
        <f t="shared" si="27"/>
        <v>0</v>
      </c>
    </row>
    <row r="189" spans="1:11" ht="12" customHeight="1">
      <c r="A189" s="4" t="s">
        <v>136</v>
      </c>
      <c r="B189" s="42">
        <v>28340</v>
      </c>
      <c r="C189" s="42"/>
      <c r="D189" s="42"/>
      <c r="E189" s="42">
        <f t="shared" si="30"/>
        <v>28340</v>
      </c>
      <c r="F189" s="42"/>
      <c r="G189" s="42">
        <v>-28340</v>
      </c>
      <c r="H189" s="42">
        <f t="shared" si="26"/>
        <v>0</v>
      </c>
      <c r="I189" s="42"/>
      <c r="J189" s="42"/>
      <c r="K189" s="42">
        <f t="shared" si="27"/>
        <v>0</v>
      </c>
    </row>
    <row r="190" spans="1:11" ht="12" customHeight="1">
      <c r="A190" s="4" t="s">
        <v>137</v>
      </c>
      <c r="B190" s="42">
        <v>15140</v>
      </c>
      <c r="C190" s="42"/>
      <c r="D190" s="42">
        <v>-2040.7</v>
      </c>
      <c r="E190" s="42">
        <f t="shared" si="30"/>
        <v>13099.3</v>
      </c>
      <c r="F190" s="42">
        <v>-13099.3</v>
      </c>
      <c r="G190" s="42">
        <v>20000</v>
      </c>
      <c r="H190" s="42">
        <f t="shared" si="26"/>
        <v>20000</v>
      </c>
      <c r="I190" s="42"/>
      <c r="J190" s="42"/>
      <c r="K190" s="42">
        <f t="shared" si="27"/>
        <v>20000</v>
      </c>
    </row>
    <row r="191" spans="1:11" ht="12.75" customHeight="1">
      <c r="A191" s="13" t="s">
        <v>35</v>
      </c>
      <c r="B191" s="45">
        <f aca="true" t="shared" si="31" ref="B191:H191">SUM(B193:B202)</f>
        <v>46000</v>
      </c>
      <c r="C191" s="45">
        <f t="shared" si="31"/>
        <v>2265</v>
      </c>
      <c r="D191" s="45">
        <f t="shared" si="31"/>
        <v>-5703.200000000001</v>
      </c>
      <c r="E191" s="45">
        <f t="shared" si="31"/>
        <v>42561.8</v>
      </c>
      <c r="F191" s="45">
        <f t="shared" si="31"/>
        <v>1702.6</v>
      </c>
      <c r="G191" s="45">
        <f t="shared" si="31"/>
        <v>-1400</v>
      </c>
      <c r="H191" s="45">
        <f t="shared" si="31"/>
        <v>42864.4</v>
      </c>
      <c r="I191" s="45">
        <f>SUM(I193:I202)</f>
        <v>1000</v>
      </c>
      <c r="J191" s="45">
        <f>SUM(J193:J202)</f>
        <v>0</v>
      </c>
      <c r="K191" s="45">
        <f>SUM(K193:K202)</f>
        <v>43864.4</v>
      </c>
    </row>
    <row r="192" spans="1:11" ht="10.5" customHeight="1">
      <c r="A192" s="30" t="s">
        <v>1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</row>
    <row r="193" spans="1:11" ht="12.75" customHeight="1">
      <c r="A193" s="4" t="s">
        <v>155</v>
      </c>
      <c r="B193" s="42"/>
      <c r="C193" s="42">
        <v>1950</v>
      </c>
      <c r="D193" s="42"/>
      <c r="E193" s="42">
        <f>B193+C193+D193</f>
        <v>1950</v>
      </c>
      <c r="F193" s="42"/>
      <c r="G193" s="42"/>
      <c r="H193" s="42">
        <f aca="true" t="shared" si="32" ref="H193:H202">SUM(E193:G193)</f>
        <v>1950</v>
      </c>
      <c r="I193" s="42"/>
      <c r="J193" s="42"/>
      <c r="K193" s="42">
        <f aca="true" t="shared" si="33" ref="K193:K199">SUM(H193:J193)</f>
        <v>1950</v>
      </c>
    </row>
    <row r="194" spans="1:11" ht="12.75" customHeight="1">
      <c r="A194" s="4" t="s">
        <v>180</v>
      </c>
      <c r="B194" s="42"/>
      <c r="C194" s="42">
        <v>515</v>
      </c>
      <c r="D194" s="42"/>
      <c r="E194" s="42">
        <f>B194+C194+D194</f>
        <v>515</v>
      </c>
      <c r="F194" s="42"/>
      <c r="G194" s="42"/>
      <c r="H194" s="42">
        <f t="shared" si="32"/>
        <v>515</v>
      </c>
      <c r="I194" s="42"/>
      <c r="J194" s="42"/>
      <c r="K194" s="42">
        <f t="shared" si="33"/>
        <v>515</v>
      </c>
    </row>
    <row r="195" spans="1:11" ht="12.75" customHeight="1" hidden="1">
      <c r="A195" s="4" t="s">
        <v>107</v>
      </c>
      <c r="B195" s="42"/>
      <c r="C195" s="42"/>
      <c r="D195" s="42"/>
      <c r="E195" s="42">
        <f>B195+C195+D195</f>
        <v>0</v>
      </c>
      <c r="F195" s="42"/>
      <c r="G195" s="42"/>
      <c r="H195" s="42">
        <f t="shared" si="32"/>
        <v>0</v>
      </c>
      <c r="I195" s="42"/>
      <c r="J195" s="42"/>
      <c r="K195" s="42">
        <f t="shared" si="33"/>
        <v>0</v>
      </c>
    </row>
    <row r="196" spans="1:11" ht="12.75" customHeight="1">
      <c r="A196" s="30" t="s">
        <v>110</v>
      </c>
      <c r="B196" s="42"/>
      <c r="C196" s="42"/>
      <c r="D196" s="42"/>
      <c r="E196" s="42">
        <f>B196+C196</f>
        <v>0</v>
      </c>
      <c r="F196" s="42">
        <v>1702.6</v>
      </c>
      <c r="G196" s="42"/>
      <c r="H196" s="42">
        <f t="shared" si="32"/>
        <v>1702.6</v>
      </c>
      <c r="I196" s="42"/>
      <c r="J196" s="42"/>
      <c r="K196" s="42">
        <f t="shared" si="33"/>
        <v>1702.6</v>
      </c>
    </row>
    <row r="197" spans="1:11" ht="12.75" customHeight="1" hidden="1">
      <c r="A197" s="8" t="s">
        <v>112</v>
      </c>
      <c r="B197" s="42"/>
      <c r="C197" s="42"/>
      <c r="D197" s="42"/>
      <c r="E197" s="42">
        <f>B197+C197</f>
        <v>0</v>
      </c>
      <c r="F197" s="42"/>
      <c r="G197" s="42"/>
      <c r="H197" s="42">
        <f t="shared" si="32"/>
        <v>0</v>
      </c>
      <c r="I197" s="42"/>
      <c r="J197" s="42"/>
      <c r="K197" s="42">
        <f t="shared" si="33"/>
        <v>0</v>
      </c>
    </row>
    <row r="198" spans="1:11" ht="12.75" customHeight="1">
      <c r="A198" s="4" t="s">
        <v>174</v>
      </c>
      <c r="B198" s="42"/>
      <c r="C198" s="42">
        <v>600</v>
      </c>
      <c r="D198" s="42"/>
      <c r="E198" s="42">
        <f>B198+C198</f>
        <v>600</v>
      </c>
      <c r="F198" s="42"/>
      <c r="G198" s="42"/>
      <c r="H198" s="42">
        <f t="shared" si="32"/>
        <v>600</v>
      </c>
      <c r="I198" s="42"/>
      <c r="J198" s="42"/>
      <c r="K198" s="42">
        <f t="shared" si="33"/>
        <v>600</v>
      </c>
    </row>
    <row r="199" spans="1:11" ht="12.75" customHeight="1" hidden="1">
      <c r="A199" s="4" t="s">
        <v>156</v>
      </c>
      <c r="B199" s="42"/>
      <c r="C199" s="42"/>
      <c r="D199" s="42"/>
      <c r="E199" s="42">
        <f>B199+C199+D199</f>
        <v>0</v>
      </c>
      <c r="F199" s="42"/>
      <c r="G199" s="42"/>
      <c r="H199" s="42">
        <f t="shared" si="32"/>
        <v>0</v>
      </c>
      <c r="I199" s="42"/>
      <c r="J199" s="42"/>
      <c r="K199" s="42">
        <f t="shared" si="33"/>
        <v>0</v>
      </c>
    </row>
    <row r="200" spans="1:11" ht="12.75" customHeight="1">
      <c r="A200" s="4" t="s">
        <v>41</v>
      </c>
      <c r="B200" s="42"/>
      <c r="C200" s="42"/>
      <c r="D200" s="42"/>
      <c r="E200" s="42"/>
      <c r="F200" s="42"/>
      <c r="G200" s="42">
        <v>600</v>
      </c>
      <c r="H200" s="42">
        <f>SUM(E198:G198)</f>
        <v>600</v>
      </c>
      <c r="I200" s="42"/>
      <c r="J200" s="42"/>
      <c r="K200" s="42">
        <f>SUM(H198:J198)</f>
        <v>600</v>
      </c>
    </row>
    <row r="201" spans="1:11" ht="12.75" customHeight="1">
      <c r="A201" s="4" t="s">
        <v>72</v>
      </c>
      <c r="B201" s="42">
        <v>20000</v>
      </c>
      <c r="C201" s="42"/>
      <c r="D201" s="42">
        <v>-20000</v>
      </c>
      <c r="E201" s="42">
        <f>B201+C201+D201</f>
        <v>0</v>
      </c>
      <c r="F201" s="42"/>
      <c r="G201" s="42"/>
      <c r="H201" s="42">
        <f t="shared" si="32"/>
        <v>0</v>
      </c>
      <c r="I201" s="42"/>
      <c r="J201" s="42"/>
      <c r="K201" s="42">
        <f>SUM(H201:J201)</f>
        <v>0</v>
      </c>
    </row>
    <row r="202" spans="1:11" ht="12.75" customHeight="1">
      <c r="A202" s="67" t="s">
        <v>55</v>
      </c>
      <c r="B202" s="48">
        <v>26000</v>
      </c>
      <c r="C202" s="48">
        <v>-800</v>
      </c>
      <c r="D202" s="48">
        <v>14296.8</v>
      </c>
      <c r="E202" s="46">
        <f>B202+C202+D202</f>
        <v>39496.8</v>
      </c>
      <c r="F202" s="48"/>
      <c r="G202" s="48">
        <v>-2000</v>
      </c>
      <c r="H202" s="46">
        <f t="shared" si="32"/>
        <v>37496.8</v>
      </c>
      <c r="I202" s="48">
        <v>1000</v>
      </c>
      <c r="J202" s="48"/>
      <c r="K202" s="46">
        <f>SUM(H202:J202)</f>
        <v>38496.8</v>
      </c>
    </row>
    <row r="203" spans="1:11" ht="12" customHeight="1" hidden="1">
      <c r="A203" s="8" t="s">
        <v>81</v>
      </c>
      <c r="B203" s="40"/>
      <c r="C203" s="40"/>
      <c r="D203" s="40"/>
      <c r="E203" s="42">
        <f>B203+C203</f>
        <v>0</v>
      </c>
      <c r="F203" s="40"/>
      <c r="G203" s="40"/>
      <c r="H203" s="42">
        <f>E203+F203</f>
        <v>0</v>
      </c>
      <c r="I203" s="40"/>
      <c r="J203" s="40"/>
      <c r="K203" s="42">
        <f>H203+I203</f>
        <v>0</v>
      </c>
    </row>
    <row r="204" spans="1:11" ht="12" customHeight="1" hidden="1">
      <c r="A204" s="8" t="s">
        <v>157</v>
      </c>
      <c r="B204" s="40"/>
      <c r="C204" s="40"/>
      <c r="D204" s="40"/>
      <c r="E204" s="42">
        <f>B204+C204</f>
        <v>0</v>
      </c>
      <c r="F204" s="40"/>
      <c r="G204" s="40"/>
      <c r="H204" s="42">
        <f>E204+F204</f>
        <v>0</v>
      </c>
      <c r="I204" s="40"/>
      <c r="J204" s="40"/>
      <c r="K204" s="42">
        <f>H204+I204</f>
        <v>0</v>
      </c>
    </row>
    <row r="205" spans="1:11" ht="19.5" customHeight="1">
      <c r="A205" s="2" t="s">
        <v>17</v>
      </c>
      <c r="B205" s="39">
        <f aca="true" t="shared" si="34" ref="B205:K205">B206+B226</f>
        <v>469830</v>
      </c>
      <c r="C205" s="39">
        <f t="shared" si="34"/>
        <v>1040168.5</v>
      </c>
      <c r="D205" s="39">
        <f t="shared" si="34"/>
        <v>-102879.40000000001</v>
      </c>
      <c r="E205" s="39">
        <f t="shared" si="34"/>
        <v>1407119.0999999999</v>
      </c>
      <c r="F205" s="39">
        <f t="shared" si="34"/>
        <v>1050266.6</v>
      </c>
      <c r="G205" s="39">
        <f t="shared" si="34"/>
        <v>20225.2</v>
      </c>
      <c r="H205" s="39">
        <f t="shared" si="34"/>
        <v>2477610.9000000004</v>
      </c>
      <c r="I205" s="39">
        <f t="shared" si="34"/>
        <v>1040507.8</v>
      </c>
      <c r="J205" s="39">
        <f t="shared" si="34"/>
        <v>0</v>
      </c>
      <c r="K205" s="39">
        <f t="shared" si="34"/>
        <v>3518118.7000000007</v>
      </c>
    </row>
    <row r="206" spans="1:11" ht="15" customHeight="1">
      <c r="A206" s="6" t="s">
        <v>34</v>
      </c>
      <c r="B206" s="44">
        <f>SUM(B208:B225)</f>
        <v>321330</v>
      </c>
      <c r="C206" s="44">
        <f>SUM(C208:C225)</f>
        <v>1040168.5</v>
      </c>
      <c r="D206" s="44">
        <f>SUM(D208:D225)</f>
        <v>995.3999999999996</v>
      </c>
      <c r="E206" s="44">
        <f>B206+C206+D206</f>
        <v>1362493.9</v>
      </c>
      <c r="F206" s="44">
        <f>SUM(F208:F225)</f>
        <v>1049743.7000000002</v>
      </c>
      <c r="G206" s="44">
        <f>SUM(G208:G225)</f>
        <v>20225.2</v>
      </c>
      <c r="H206" s="44">
        <f>E206+F206+G206</f>
        <v>2432462.8000000003</v>
      </c>
      <c r="I206" s="44">
        <f>SUM(I208:I225)</f>
        <v>1040507.8</v>
      </c>
      <c r="J206" s="44">
        <f>SUM(J208:J225)</f>
        <v>0</v>
      </c>
      <c r="K206" s="44">
        <f>H206+I206+J206</f>
        <v>3472970.6000000006</v>
      </c>
    </row>
    <row r="207" spans="1:11" ht="10.5" customHeight="1">
      <c r="A207" s="10" t="s">
        <v>1</v>
      </c>
      <c r="B207" s="40"/>
      <c r="C207" s="40"/>
      <c r="D207" s="40"/>
      <c r="E207" s="42"/>
      <c r="F207" s="40"/>
      <c r="G207" s="40"/>
      <c r="H207" s="42"/>
      <c r="I207" s="40"/>
      <c r="J207" s="40"/>
      <c r="K207" s="42"/>
    </row>
    <row r="208" spans="1:11" ht="12.75" customHeight="1">
      <c r="A208" s="5" t="s">
        <v>18</v>
      </c>
      <c r="B208" s="42">
        <v>298668</v>
      </c>
      <c r="C208" s="42"/>
      <c r="D208" s="42">
        <v>5016.4</v>
      </c>
      <c r="E208" s="42">
        <f>B208+C208+D208</f>
        <v>303684.4</v>
      </c>
      <c r="F208" s="42">
        <v>-59</v>
      </c>
      <c r="G208" s="42">
        <v>10600</v>
      </c>
      <c r="H208" s="42">
        <f>E208+F208+G208</f>
        <v>314225.4</v>
      </c>
      <c r="I208" s="42"/>
      <c r="J208" s="42"/>
      <c r="K208" s="42">
        <f>H208+I208+J208</f>
        <v>314225.4</v>
      </c>
    </row>
    <row r="209" spans="1:11" ht="12.75" customHeight="1">
      <c r="A209" s="5" t="s">
        <v>32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1:11" ht="12.75" customHeight="1">
      <c r="A210" s="5" t="s">
        <v>29</v>
      </c>
      <c r="B210" s="42"/>
      <c r="C210" s="42">
        <v>389516</v>
      </c>
      <c r="D210" s="42"/>
      <c r="E210" s="42">
        <f>B210+C210+D210</f>
        <v>389516</v>
      </c>
      <c r="F210" s="42">
        <f>392090+2665.8</f>
        <v>394755.8</v>
      </c>
      <c r="G210" s="42"/>
      <c r="H210" s="42">
        <f aca="true" t="shared" si="35" ref="H210:H226">E210+F210+G210</f>
        <v>784271.8</v>
      </c>
      <c r="I210" s="42">
        <f>372642.3+22390-7436.8</f>
        <v>387595.5</v>
      </c>
      <c r="J210" s="42"/>
      <c r="K210" s="42">
        <f aca="true" t="shared" si="36" ref="K210:K226">H210+I210+J210</f>
        <v>1171867.3</v>
      </c>
    </row>
    <row r="211" spans="1:11" ht="12.75" customHeight="1">
      <c r="A211" s="5" t="s">
        <v>30</v>
      </c>
      <c r="B211" s="42"/>
      <c r="C211" s="42">
        <v>42480</v>
      </c>
      <c r="D211" s="42"/>
      <c r="E211" s="42">
        <f>B211+C211</f>
        <v>42480</v>
      </c>
      <c r="F211" s="42">
        <v>39763</v>
      </c>
      <c r="G211" s="42"/>
      <c r="H211" s="42">
        <f t="shared" si="35"/>
        <v>82243</v>
      </c>
      <c r="I211" s="42">
        <f>40927+2917+20</f>
        <v>43864</v>
      </c>
      <c r="J211" s="42"/>
      <c r="K211" s="42">
        <f t="shared" si="36"/>
        <v>126107</v>
      </c>
    </row>
    <row r="212" spans="1:11" ht="12.75" customHeight="1">
      <c r="A212" s="5" t="s">
        <v>31</v>
      </c>
      <c r="B212" s="42"/>
      <c r="C212" s="42">
        <v>606332</v>
      </c>
      <c r="D212" s="42"/>
      <c r="E212" s="42">
        <f>B212+C212+D212</f>
        <v>606332</v>
      </c>
      <c r="F212" s="42">
        <f>608160+1180</f>
        <v>609340</v>
      </c>
      <c r="G212" s="42"/>
      <c r="H212" s="42">
        <f t="shared" si="35"/>
        <v>1215672</v>
      </c>
      <c r="I212" s="42">
        <f>1653.6+597869.7+300+561+7436.8-20</f>
        <v>607801.1</v>
      </c>
      <c r="J212" s="42"/>
      <c r="K212" s="42">
        <f t="shared" si="36"/>
        <v>1823473.1</v>
      </c>
    </row>
    <row r="213" spans="1:11" ht="12.75" customHeight="1">
      <c r="A213" s="5" t="s">
        <v>105</v>
      </c>
      <c r="B213" s="42"/>
      <c r="C213" s="42"/>
      <c r="D213" s="42"/>
      <c r="E213" s="42">
        <f aca="true" t="shared" si="37" ref="E213:E223">B213+C213</f>
        <v>0</v>
      </c>
      <c r="F213" s="42">
        <v>12</v>
      </c>
      <c r="G213" s="42"/>
      <c r="H213" s="42">
        <f t="shared" si="35"/>
        <v>12</v>
      </c>
      <c r="I213" s="42"/>
      <c r="J213" s="42"/>
      <c r="K213" s="42">
        <f t="shared" si="36"/>
        <v>12</v>
      </c>
    </row>
    <row r="214" spans="1:11" ht="12.75" customHeight="1">
      <c r="A214" s="5" t="s">
        <v>45</v>
      </c>
      <c r="B214" s="42"/>
      <c r="C214" s="42">
        <f>14+31.3+8</f>
        <v>53.3</v>
      </c>
      <c r="D214" s="42"/>
      <c r="E214" s="42">
        <f t="shared" si="37"/>
        <v>53.3</v>
      </c>
      <c r="F214" s="42">
        <f>22.8+7</f>
        <v>29.8</v>
      </c>
      <c r="G214" s="42"/>
      <c r="H214" s="42">
        <f t="shared" si="35"/>
        <v>83.1</v>
      </c>
      <c r="I214" s="42">
        <v>26.6</v>
      </c>
      <c r="J214" s="42"/>
      <c r="K214" s="42">
        <f t="shared" si="36"/>
        <v>109.69999999999999</v>
      </c>
    </row>
    <row r="215" spans="1:11" ht="12.75" customHeight="1">
      <c r="A215" s="5" t="s">
        <v>121</v>
      </c>
      <c r="B215" s="42"/>
      <c r="C215" s="42">
        <v>1787.2</v>
      </c>
      <c r="D215" s="42"/>
      <c r="E215" s="42">
        <f t="shared" si="37"/>
        <v>1787.2</v>
      </c>
      <c r="F215" s="42">
        <v>1086</v>
      </c>
      <c r="G215" s="42"/>
      <c r="H215" s="42">
        <f t="shared" si="35"/>
        <v>2873.2</v>
      </c>
      <c r="I215" s="42">
        <v>767.3</v>
      </c>
      <c r="J215" s="42"/>
      <c r="K215" s="42">
        <f t="shared" si="36"/>
        <v>3640.5</v>
      </c>
    </row>
    <row r="216" spans="1:11" ht="12.75" customHeight="1">
      <c r="A216" s="5" t="s">
        <v>90</v>
      </c>
      <c r="B216" s="42"/>
      <c r="C216" s="42"/>
      <c r="D216" s="42"/>
      <c r="E216" s="42">
        <f t="shared" si="37"/>
        <v>0</v>
      </c>
      <c r="F216" s="42">
        <v>770</v>
      </c>
      <c r="G216" s="42"/>
      <c r="H216" s="42">
        <f t="shared" si="35"/>
        <v>770</v>
      </c>
      <c r="I216" s="42"/>
      <c r="J216" s="42"/>
      <c r="K216" s="42">
        <f t="shared" si="36"/>
        <v>770</v>
      </c>
    </row>
    <row r="217" spans="1:11" ht="12.75" customHeight="1">
      <c r="A217" s="5" t="s">
        <v>91</v>
      </c>
      <c r="B217" s="42"/>
      <c r="C217" s="42"/>
      <c r="D217" s="42"/>
      <c r="E217" s="42">
        <f t="shared" si="37"/>
        <v>0</v>
      </c>
      <c r="F217" s="42"/>
      <c r="G217" s="42"/>
      <c r="H217" s="42">
        <f t="shared" si="35"/>
        <v>0</v>
      </c>
      <c r="I217" s="42"/>
      <c r="J217" s="42"/>
      <c r="K217" s="42">
        <f t="shared" si="36"/>
        <v>0</v>
      </c>
    </row>
    <row r="218" spans="1:11" ht="12.75" customHeight="1">
      <c r="A218" s="5" t="s">
        <v>92</v>
      </c>
      <c r="B218" s="42"/>
      <c r="C218" s="42"/>
      <c r="D218" s="42"/>
      <c r="E218" s="42">
        <f t="shared" si="37"/>
        <v>0</v>
      </c>
      <c r="F218" s="42"/>
      <c r="G218" s="42"/>
      <c r="H218" s="42">
        <f t="shared" si="35"/>
        <v>0</v>
      </c>
      <c r="I218" s="42">
        <v>352.4</v>
      </c>
      <c r="J218" s="42"/>
      <c r="K218" s="42">
        <f t="shared" si="36"/>
        <v>352.4</v>
      </c>
    </row>
    <row r="219" spans="1:11" ht="12.75" customHeight="1">
      <c r="A219" s="5" t="s">
        <v>106</v>
      </c>
      <c r="B219" s="42"/>
      <c r="C219" s="42"/>
      <c r="D219" s="42"/>
      <c r="E219" s="42">
        <f t="shared" si="37"/>
        <v>0</v>
      </c>
      <c r="F219" s="42"/>
      <c r="G219" s="42"/>
      <c r="H219" s="42">
        <f t="shared" si="35"/>
        <v>0</v>
      </c>
      <c r="I219" s="42"/>
      <c r="J219" s="42"/>
      <c r="K219" s="42">
        <f t="shared" si="36"/>
        <v>0</v>
      </c>
    </row>
    <row r="220" spans="1:11" ht="12.75" customHeight="1">
      <c r="A220" s="5" t="s">
        <v>116</v>
      </c>
      <c r="B220" s="42"/>
      <c r="C220" s="42"/>
      <c r="D220" s="42"/>
      <c r="E220" s="42">
        <f t="shared" si="37"/>
        <v>0</v>
      </c>
      <c r="F220" s="42"/>
      <c r="G220" s="42"/>
      <c r="H220" s="42">
        <f t="shared" si="35"/>
        <v>0</v>
      </c>
      <c r="I220" s="42">
        <v>100.9</v>
      </c>
      <c r="J220" s="42"/>
      <c r="K220" s="42">
        <f t="shared" si="36"/>
        <v>100.9</v>
      </c>
    </row>
    <row r="221" spans="1:11" ht="12.75" customHeight="1">
      <c r="A221" s="5" t="s">
        <v>122</v>
      </c>
      <c r="B221" s="42"/>
      <c r="C221" s="42"/>
      <c r="D221" s="42"/>
      <c r="E221" s="42">
        <f t="shared" si="37"/>
        <v>0</v>
      </c>
      <c r="F221" s="42"/>
      <c r="G221" s="42"/>
      <c r="H221" s="42">
        <f t="shared" si="35"/>
        <v>0</v>
      </c>
      <c r="I221" s="42"/>
      <c r="J221" s="42"/>
      <c r="K221" s="42">
        <f t="shared" si="36"/>
        <v>0</v>
      </c>
    </row>
    <row r="222" spans="1:11" ht="12.75" customHeight="1">
      <c r="A222" s="5" t="s">
        <v>123</v>
      </c>
      <c r="B222" s="42"/>
      <c r="C222" s="42"/>
      <c r="D222" s="42"/>
      <c r="E222" s="42">
        <f t="shared" si="37"/>
        <v>0</v>
      </c>
      <c r="F222" s="42"/>
      <c r="G222" s="42"/>
      <c r="H222" s="42">
        <f t="shared" si="35"/>
        <v>0</v>
      </c>
      <c r="I222" s="42"/>
      <c r="J222" s="42"/>
      <c r="K222" s="42">
        <f t="shared" si="36"/>
        <v>0</v>
      </c>
    </row>
    <row r="223" spans="1:11" ht="12.75" customHeight="1">
      <c r="A223" s="5" t="s">
        <v>117</v>
      </c>
      <c r="B223" s="42"/>
      <c r="C223" s="42"/>
      <c r="D223" s="42"/>
      <c r="E223" s="42">
        <f t="shared" si="37"/>
        <v>0</v>
      </c>
      <c r="F223" s="42"/>
      <c r="G223" s="42"/>
      <c r="H223" s="42">
        <f t="shared" si="35"/>
        <v>0</v>
      </c>
      <c r="I223" s="42"/>
      <c r="J223" s="42"/>
      <c r="K223" s="42">
        <f t="shared" si="36"/>
        <v>0</v>
      </c>
    </row>
    <row r="224" spans="1:11" ht="12.75" customHeight="1">
      <c r="A224" s="5" t="s">
        <v>44</v>
      </c>
      <c r="B224" s="42"/>
      <c r="C224" s="42"/>
      <c r="D224" s="42"/>
      <c r="E224" s="42"/>
      <c r="F224" s="42">
        <v>4357.1</v>
      </c>
      <c r="G224" s="42"/>
      <c r="H224" s="42">
        <f t="shared" si="35"/>
        <v>4357.1</v>
      </c>
      <c r="I224" s="42"/>
      <c r="J224" s="42"/>
      <c r="K224" s="42">
        <f t="shared" si="36"/>
        <v>4357.1</v>
      </c>
    </row>
    <row r="225" spans="1:11" ht="12.75" customHeight="1">
      <c r="A225" s="4" t="s">
        <v>9</v>
      </c>
      <c r="B225" s="42">
        <v>22662</v>
      </c>
      <c r="C225" s="42"/>
      <c r="D225" s="42">
        <v>-4021</v>
      </c>
      <c r="E225" s="42">
        <f>B225+C225+D225</f>
        <v>18641</v>
      </c>
      <c r="F225" s="42">
        <v>-311</v>
      </c>
      <c r="G225" s="42">
        <v>9625.2</v>
      </c>
      <c r="H225" s="42">
        <f t="shared" si="35"/>
        <v>27955.2</v>
      </c>
      <c r="I225" s="42"/>
      <c r="J225" s="42"/>
      <c r="K225" s="42">
        <f t="shared" si="36"/>
        <v>27955.2</v>
      </c>
    </row>
    <row r="226" spans="1:11" ht="15" customHeight="1">
      <c r="A226" s="13" t="s">
        <v>35</v>
      </c>
      <c r="B226" s="45">
        <f>SUM(B229:B230)</f>
        <v>148500</v>
      </c>
      <c r="C226" s="45">
        <f>SUM(C229:C230)</f>
        <v>0</v>
      </c>
      <c r="D226" s="45">
        <f>SUM(D229:D230)</f>
        <v>-103874.8</v>
      </c>
      <c r="E226" s="44">
        <f>B226+C226+D226</f>
        <v>44625.2</v>
      </c>
      <c r="F226" s="45">
        <f>SUM(F228:F230)</f>
        <v>522.9</v>
      </c>
      <c r="G226" s="45">
        <f>SUM(G229:G230)</f>
        <v>0</v>
      </c>
      <c r="H226" s="44">
        <f t="shared" si="35"/>
        <v>45148.1</v>
      </c>
      <c r="I226" s="45">
        <f>SUM(I228:I230)</f>
        <v>0</v>
      </c>
      <c r="J226" s="45">
        <f>SUM(J229:J230)</f>
        <v>0</v>
      </c>
      <c r="K226" s="44">
        <f t="shared" si="36"/>
        <v>45148.1</v>
      </c>
    </row>
    <row r="227" spans="1:11" ht="10.5" customHeight="1">
      <c r="A227" s="3" t="s">
        <v>1</v>
      </c>
      <c r="B227" s="42"/>
      <c r="C227" s="42"/>
      <c r="D227" s="42"/>
      <c r="E227" s="39"/>
      <c r="F227" s="42"/>
      <c r="G227" s="42"/>
      <c r="H227" s="39"/>
      <c r="I227" s="42"/>
      <c r="J227" s="42"/>
      <c r="K227" s="39"/>
    </row>
    <row r="228" spans="1:11" ht="12.75" customHeight="1">
      <c r="A228" s="5" t="s">
        <v>151</v>
      </c>
      <c r="B228" s="42"/>
      <c r="C228" s="42"/>
      <c r="D228" s="42"/>
      <c r="E228" s="39"/>
      <c r="F228" s="42">
        <v>370</v>
      </c>
      <c r="G228" s="42"/>
      <c r="H228" s="42">
        <f>E228+F228+G228</f>
        <v>370</v>
      </c>
      <c r="I228" s="42"/>
      <c r="J228" s="42"/>
      <c r="K228" s="42">
        <f>H228+I228+J228</f>
        <v>370</v>
      </c>
    </row>
    <row r="229" spans="1:11" ht="12.75" customHeight="1">
      <c r="A229" s="8" t="s">
        <v>44</v>
      </c>
      <c r="B229" s="40"/>
      <c r="C229" s="40"/>
      <c r="D229" s="40"/>
      <c r="E229" s="42">
        <f>B229+C229+D229</f>
        <v>0</v>
      </c>
      <c r="F229" s="40">
        <v>152.9</v>
      </c>
      <c r="G229" s="40"/>
      <c r="H229" s="42">
        <f>E229+F229+G229</f>
        <v>152.9</v>
      </c>
      <c r="I229" s="40"/>
      <c r="J229" s="40"/>
      <c r="K229" s="42">
        <f>H229+I229+J229</f>
        <v>152.9</v>
      </c>
    </row>
    <row r="230" spans="1:11" ht="12.75" customHeight="1">
      <c r="A230" s="37" t="s">
        <v>138</v>
      </c>
      <c r="B230" s="48">
        <v>148500</v>
      </c>
      <c r="C230" s="48"/>
      <c r="D230" s="48">
        <v>-103874.8</v>
      </c>
      <c r="E230" s="46">
        <f>B230+C230+D230</f>
        <v>44625.2</v>
      </c>
      <c r="F230" s="48"/>
      <c r="G230" s="48"/>
      <c r="H230" s="46">
        <f>E230+F230+G230</f>
        <v>44625.2</v>
      </c>
      <c r="I230" s="48"/>
      <c r="J230" s="48"/>
      <c r="K230" s="46">
        <f>H230+I230+J230</f>
        <v>44625.2</v>
      </c>
    </row>
    <row r="231" spans="1:11" ht="19.5" customHeight="1">
      <c r="A231" s="2" t="s">
        <v>19</v>
      </c>
      <c r="B231" s="39">
        <f aca="true" t="shared" si="38" ref="B231:H231">B232+B243</f>
        <v>314796.1</v>
      </c>
      <c r="C231" s="39">
        <f t="shared" si="38"/>
        <v>50440.4</v>
      </c>
      <c r="D231" s="39">
        <f t="shared" si="38"/>
        <v>3022.4</v>
      </c>
      <c r="E231" s="39">
        <f t="shared" si="38"/>
        <v>368258.9</v>
      </c>
      <c r="F231" s="39">
        <f t="shared" si="38"/>
        <v>23743.8</v>
      </c>
      <c r="G231" s="39">
        <f t="shared" si="38"/>
        <v>9589.8</v>
      </c>
      <c r="H231" s="39">
        <f t="shared" si="38"/>
        <v>401592.5</v>
      </c>
      <c r="I231" s="39">
        <f>I232+I243</f>
        <v>955.2</v>
      </c>
      <c r="J231" s="39">
        <f>J232+J243</f>
        <v>0</v>
      </c>
      <c r="K231" s="39">
        <f>K232+K243</f>
        <v>402547.7</v>
      </c>
    </row>
    <row r="232" spans="1:11" ht="12.75" customHeight="1">
      <c r="A232" s="6" t="s">
        <v>34</v>
      </c>
      <c r="B232" s="44">
        <f>SUM(B234:B242)</f>
        <v>299181</v>
      </c>
      <c r="C232" s="44">
        <f>SUM(C234:C242)</f>
        <v>50440.4</v>
      </c>
      <c r="D232" s="44">
        <f>SUM(D234:D242)</f>
        <v>3000</v>
      </c>
      <c r="E232" s="44">
        <f>B232+C232+D232</f>
        <v>352621.4</v>
      </c>
      <c r="F232" s="44">
        <f>SUM(F234:F242)</f>
        <v>19543.8</v>
      </c>
      <c r="G232" s="44">
        <f>SUM(G234:G242)</f>
        <v>9546.8</v>
      </c>
      <c r="H232" s="44">
        <f>E232+F232+G232</f>
        <v>381712</v>
      </c>
      <c r="I232" s="44">
        <f>SUM(I234:I242)</f>
        <v>955.2</v>
      </c>
      <c r="J232" s="44">
        <f>SUM(J234:J242)</f>
        <v>0</v>
      </c>
      <c r="K232" s="44">
        <f>H232+I232+J232</f>
        <v>382667.2</v>
      </c>
    </row>
    <row r="233" spans="1:11" ht="10.5" customHeight="1">
      <c r="A233" s="3" t="s">
        <v>1</v>
      </c>
      <c r="B233" s="42"/>
      <c r="C233" s="42"/>
      <c r="D233" s="42"/>
      <c r="E233" s="39"/>
      <c r="F233" s="42"/>
      <c r="G233" s="42"/>
      <c r="H233" s="39"/>
      <c r="I233" s="42"/>
      <c r="J233" s="42"/>
      <c r="K233" s="39"/>
    </row>
    <row r="234" spans="1:11" ht="12.75" customHeight="1">
      <c r="A234" s="8" t="s">
        <v>18</v>
      </c>
      <c r="B234" s="40">
        <v>189798</v>
      </c>
      <c r="C234" s="40"/>
      <c r="D234" s="40"/>
      <c r="E234" s="42">
        <f aca="true" t="shared" si="39" ref="E234:E243">B234+C234+D234</f>
        <v>189798</v>
      </c>
      <c r="F234" s="40"/>
      <c r="G234" s="40"/>
      <c r="H234" s="42">
        <f aca="true" t="shared" si="40" ref="H234:H243">E234+F234+G234</f>
        <v>189798</v>
      </c>
      <c r="I234" s="40"/>
      <c r="J234" s="40"/>
      <c r="K234" s="42">
        <f aca="true" t="shared" si="41" ref="K234:K243">H234+I234+J234</f>
        <v>189798</v>
      </c>
    </row>
    <row r="235" spans="1:11" ht="12.75" customHeight="1">
      <c r="A235" s="5" t="s">
        <v>146</v>
      </c>
      <c r="B235" s="42">
        <v>68960</v>
      </c>
      <c r="C235" s="42"/>
      <c r="D235" s="42"/>
      <c r="E235" s="42">
        <f t="shared" si="39"/>
        <v>68960</v>
      </c>
      <c r="F235" s="42">
        <f>19543.8+500</f>
        <v>20043.8</v>
      </c>
      <c r="G235" s="42">
        <v>9589.8</v>
      </c>
      <c r="H235" s="42">
        <f t="shared" si="40"/>
        <v>98593.6</v>
      </c>
      <c r="I235" s="42"/>
      <c r="J235" s="42"/>
      <c r="K235" s="42">
        <f t="shared" si="41"/>
        <v>98593.6</v>
      </c>
    </row>
    <row r="236" spans="1:11" ht="12.75" customHeight="1">
      <c r="A236" s="5" t="s">
        <v>9</v>
      </c>
      <c r="B236" s="42">
        <v>36242</v>
      </c>
      <c r="C236" s="42"/>
      <c r="D236" s="42"/>
      <c r="E236" s="42">
        <f t="shared" si="39"/>
        <v>36242</v>
      </c>
      <c r="F236" s="42">
        <v>-500</v>
      </c>
      <c r="G236" s="42">
        <v>2957</v>
      </c>
      <c r="H236" s="42">
        <f t="shared" si="40"/>
        <v>38699</v>
      </c>
      <c r="I236" s="42">
        <v>100</v>
      </c>
      <c r="J236" s="42"/>
      <c r="K236" s="42">
        <f t="shared" si="41"/>
        <v>38799</v>
      </c>
    </row>
    <row r="237" spans="1:11" ht="12.75" customHeight="1">
      <c r="A237" s="5" t="s">
        <v>173</v>
      </c>
      <c r="B237" s="42"/>
      <c r="C237" s="42">
        <v>440.4</v>
      </c>
      <c r="D237" s="42"/>
      <c r="E237" s="42">
        <f t="shared" si="39"/>
        <v>440.4</v>
      </c>
      <c r="F237" s="42"/>
      <c r="G237" s="42"/>
      <c r="H237" s="42">
        <f t="shared" si="40"/>
        <v>440.4</v>
      </c>
      <c r="I237" s="42">
        <v>555.7</v>
      </c>
      <c r="J237" s="42"/>
      <c r="K237" s="42">
        <f t="shared" si="41"/>
        <v>996.1</v>
      </c>
    </row>
    <row r="238" spans="1:11" ht="12.75" customHeight="1">
      <c r="A238" s="5" t="s">
        <v>230</v>
      </c>
      <c r="B238" s="42"/>
      <c r="C238" s="42"/>
      <c r="D238" s="42"/>
      <c r="E238" s="42"/>
      <c r="F238" s="42"/>
      <c r="G238" s="42"/>
      <c r="H238" s="42"/>
      <c r="I238" s="42">
        <v>119.5</v>
      </c>
      <c r="J238" s="42"/>
      <c r="K238" s="42">
        <f t="shared" si="41"/>
        <v>119.5</v>
      </c>
    </row>
    <row r="239" spans="1:11" ht="12.75" customHeight="1">
      <c r="A239" s="5" t="s">
        <v>231</v>
      </c>
      <c r="B239" s="42"/>
      <c r="C239" s="42"/>
      <c r="D239" s="42"/>
      <c r="E239" s="42"/>
      <c r="F239" s="42"/>
      <c r="G239" s="42"/>
      <c r="H239" s="42"/>
      <c r="I239" s="42">
        <f>50+130</f>
        <v>180</v>
      </c>
      <c r="J239" s="42"/>
      <c r="K239" s="42">
        <f t="shared" si="41"/>
        <v>180</v>
      </c>
    </row>
    <row r="240" spans="1:11" ht="12.75" customHeight="1">
      <c r="A240" s="5" t="s">
        <v>181</v>
      </c>
      <c r="B240" s="42"/>
      <c r="C240" s="42">
        <v>50000</v>
      </c>
      <c r="D240" s="42"/>
      <c r="E240" s="42">
        <f t="shared" si="39"/>
        <v>50000</v>
      </c>
      <c r="F240" s="42"/>
      <c r="G240" s="42"/>
      <c r="H240" s="42">
        <f t="shared" si="40"/>
        <v>50000</v>
      </c>
      <c r="I240" s="42"/>
      <c r="J240" s="42"/>
      <c r="K240" s="42">
        <f t="shared" si="41"/>
        <v>50000</v>
      </c>
    </row>
    <row r="241" spans="1:11" ht="12.75" customHeight="1">
      <c r="A241" s="5" t="s">
        <v>55</v>
      </c>
      <c r="B241" s="42"/>
      <c r="C241" s="42"/>
      <c r="D241" s="42">
        <v>3000</v>
      </c>
      <c r="E241" s="42">
        <f t="shared" si="39"/>
        <v>3000</v>
      </c>
      <c r="F241" s="42"/>
      <c r="G241" s="42">
        <v>-3000</v>
      </c>
      <c r="H241" s="42">
        <f t="shared" si="40"/>
        <v>0</v>
      </c>
      <c r="I241" s="42"/>
      <c r="J241" s="42"/>
      <c r="K241" s="42">
        <f t="shared" si="41"/>
        <v>0</v>
      </c>
    </row>
    <row r="242" spans="1:11" ht="12.75" customHeight="1">
      <c r="A242" s="4" t="s">
        <v>139</v>
      </c>
      <c r="B242" s="42">
        <v>4181</v>
      </c>
      <c r="C242" s="42"/>
      <c r="D242" s="42"/>
      <c r="E242" s="42">
        <f t="shared" si="39"/>
        <v>4181</v>
      </c>
      <c r="F242" s="42"/>
      <c r="G242" s="42"/>
      <c r="H242" s="42">
        <f t="shared" si="40"/>
        <v>4181</v>
      </c>
      <c r="I242" s="42"/>
      <c r="J242" s="42"/>
      <c r="K242" s="42">
        <f t="shared" si="41"/>
        <v>4181</v>
      </c>
    </row>
    <row r="243" spans="1:11" ht="15" customHeight="1">
      <c r="A243" s="6" t="s">
        <v>35</v>
      </c>
      <c r="B243" s="44">
        <f>SUM(B245:B247)</f>
        <v>15615.1</v>
      </c>
      <c r="C243" s="44">
        <f>SUM(C245:C247)</f>
        <v>0</v>
      </c>
      <c r="D243" s="44">
        <f>SUM(D245:D247)</f>
        <v>22.4</v>
      </c>
      <c r="E243" s="44">
        <f t="shared" si="39"/>
        <v>15637.5</v>
      </c>
      <c r="F243" s="44">
        <f>SUM(F245:F248)</f>
        <v>4200</v>
      </c>
      <c r="G243" s="44">
        <f>SUM(G245:G248)</f>
        <v>43</v>
      </c>
      <c r="H243" s="44">
        <f t="shared" si="40"/>
        <v>19880.5</v>
      </c>
      <c r="I243" s="44">
        <f>SUM(I245:I248)</f>
        <v>0</v>
      </c>
      <c r="J243" s="44">
        <f>SUM(J245:J248)</f>
        <v>0</v>
      </c>
      <c r="K243" s="44">
        <f t="shared" si="41"/>
        <v>19880.5</v>
      </c>
    </row>
    <row r="244" spans="1:11" ht="10.5" customHeight="1">
      <c r="A244" s="3" t="s">
        <v>1</v>
      </c>
      <c r="B244" s="42"/>
      <c r="C244" s="42"/>
      <c r="D244" s="42"/>
      <c r="E244" s="42"/>
      <c r="F244" s="42"/>
      <c r="G244" s="42"/>
      <c r="H244" s="42"/>
      <c r="I244" s="42"/>
      <c r="J244" s="42"/>
      <c r="K244" s="42"/>
    </row>
    <row r="245" spans="1:11" ht="12.75" customHeight="1" hidden="1">
      <c r="A245" s="5" t="s">
        <v>41</v>
      </c>
      <c r="B245" s="42"/>
      <c r="C245" s="42"/>
      <c r="D245" s="42"/>
      <c r="E245" s="42">
        <f>B245+C245+D245</f>
        <v>0</v>
      </c>
      <c r="F245" s="42"/>
      <c r="G245" s="42"/>
      <c r="H245" s="42">
        <f>E245+F245+G245</f>
        <v>0</v>
      </c>
      <c r="I245" s="42"/>
      <c r="J245" s="42"/>
      <c r="K245" s="42">
        <f>H245+I245+J245</f>
        <v>0</v>
      </c>
    </row>
    <row r="246" spans="1:11" ht="12.75" customHeight="1" hidden="1">
      <c r="A246" s="5" t="s">
        <v>151</v>
      </c>
      <c r="B246" s="42"/>
      <c r="C246" s="42"/>
      <c r="D246" s="42"/>
      <c r="E246" s="42">
        <f>SUM(B246:D246)</f>
        <v>0</v>
      </c>
      <c r="F246" s="42"/>
      <c r="G246" s="42"/>
      <c r="H246" s="42">
        <f>SUM(E246:G246)</f>
        <v>0</v>
      </c>
      <c r="I246" s="42"/>
      <c r="J246" s="42"/>
      <c r="K246" s="42">
        <f>SUM(H246:J246)</f>
        <v>0</v>
      </c>
    </row>
    <row r="247" spans="1:11" ht="12.75" customHeight="1">
      <c r="A247" s="4" t="s">
        <v>138</v>
      </c>
      <c r="B247" s="42">
        <v>15615.1</v>
      </c>
      <c r="C247" s="42"/>
      <c r="D247" s="42">
        <v>22.4</v>
      </c>
      <c r="E247" s="42">
        <f>B247+C247+D247</f>
        <v>15637.5</v>
      </c>
      <c r="F247" s="42"/>
      <c r="G247" s="42"/>
      <c r="H247" s="42">
        <f>E247+F247+G247</f>
        <v>15637.5</v>
      </c>
      <c r="I247" s="42"/>
      <c r="J247" s="42"/>
      <c r="K247" s="42">
        <f>H247+I247+J247</f>
        <v>15637.5</v>
      </c>
    </row>
    <row r="248" spans="1:11" ht="12.75" customHeight="1">
      <c r="A248" s="36" t="s">
        <v>41</v>
      </c>
      <c r="B248" s="68"/>
      <c r="C248" s="68"/>
      <c r="D248" s="68"/>
      <c r="E248" s="68"/>
      <c r="F248" s="68">
        <v>4200</v>
      </c>
      <c r="G248" s="68">
        <v>43</v>
      </c>
      <c r="H248" s="46">
        <f>E248+F248+G248</f>
        <v>4243</v>
      </c>
      <c r="I248" s="68"/>
      <c r="J248" s="68"/>
      <c r="K248" s="46">
        <f>H248+I248+J248</f>
        <v>4243</v>
      </c>
    </row>
    <row r="249" spans="1:11" ht="19.5" customHeight="1">
      <c r="A249" s="31" t="s">
        <v>20</v>
      </c>
      <c r="B249" s="49">
        <f aca="true" t="shared" si="42" ref="B249:H249">B250+B259</f>
        <v>122329</v>
      </c>
      <c r="C249" s="49">
        <f t="shared" si="42"/>
        <v>16</v>
      </c>
      <c r="D249" s="49">
        <f t="shared" si="42"/>
        <v>0</v>
      </c>
      <c r="E249" s="49">
        <f t="shared" si="42"/>
        <v>122345</v>
      </c>
      <c r="F249" s="49">
        <f t="shared" si="42"/>
        <v>11028</v>
      </c>
      <c r="G249" s="49">
        <f t="shared" si="42"/>
        <v>3360</v>
      </c>
      <c r="H249" s="49">
        <f t="shared" si="42"/>
        <v>136733</v>
      </c>
      <c r="I249" s="49">
        <f>I250+I259</f>
        <v>48838</v>
      </c>
      <c r="J249" s="49">
        <f>J250+J259</f>
        <v>0</v>
      </c>
      <c r="K249" s="49">
        <f>K250+K259</f>
        <v>185571</v>
      </c>
    </row>
    <row r="250" spans="1:11" ht="15" customHeight="1">
      <c r="A250" s="6" t="s">
        <v>34</v>
      </c>
      <c r="B250" s="44">
        <f>SUM(B252:B258)</f>
        <v>122329</v>
      </c>
      <c r="C250" s="44">
        <f>SUM(C252:C258)</f>
        <v>16</v>
      </c>
      <c r="D250" s="44">
        <f>SUM(D252:D258)</f>
        <v>0</v>
      </c>
      <c r="E250" s="44">
        <f>B250+C250+D250</f>
        <v>122345</v>
      </c>
      <c r="F250" s="44">
        <f>SUM(F252:F258)</f>
        <v>11028</v>
      </c>
      <c r="G250" s="44">
        <f>SUM(G252:G258)</f>
        <v>3360</v>
      </c>
      <c r="H250" s="44">
        <f>E250+F250+G250</f>
        <v>136733</v>
      </c>
      <c r="I250" s="44">
        <f>SUM(I252:I258)</f>
        <v>155</v>
      </c>
      <c r="J250" s="44">
        <f>SUM(J252:J258)</f>
        <v>0</v>
      </c>
      <c r="K250" s="44">
        <f>H250+I250+J250</f>
        <v>136888</v>
      </c>
    </row>
    <row r="251" spans="1:11" ht="10.5" customHeight="1">
      <c r="A251" s="3" t="s">
        <v>1</v>
      </c>
      <c r="B251" s="42"/>
      <c r="C251" s="42"/>
      <c r="D251" s="42"/>
      <c r="E251" s="42"/>
      <c r="F251" s="42"/>
      <c r="G251" s="42"/>
      <c r="H251" s="42"/>
      <c r="I251" s="42"/>
      <c r="J251" s="42"/>
      <c r="K251" s="42"/>
    </row>
    <row r="252" spans="1:11" ht="12.75" customHeight="1">
      <c r="A252" s="5" t="s">
        <v>18</v>
      </c>
      <c r="B252" s="42">
        <v>101506</v>
      </c>
      <c r="C252" s="42"/>
      <c r="D252" s="42"/>
      <c r="E252" s="42">
        <f>B252+C252+D252</f>
        <v>101506</v>
      </c>
      <c r="F252" s="42">
        <v>215</v>
      </c>
      <c r="G252" s="42">
        <v>1615</v>
      </c>
      <c r="H252" s="42">
        <f>E252+F252+G252</f>
        <v>103336</v>
      </c>
      <c r="I252" s="42"/>
      <c r="J252" s="42"/>
      <c r="K252" s="42">
        <f>H252+I252+J252</f>
        <v>103336</v>
      </c>
    </row>
    <row r="253" spans="1:11" ht="12.75" customHeight="1">
      <c r="A253" s="5" t="s">
        <v>9</v>
      </c>
      <c r="B253" s="42">
        <v>20823</v>
      </c>
      <c r="C253" s="42">
        <v>-5389</v>
      </c>
      <c r="D253" s="42"/>
      <c r="E253" s="42">
        <f>B253+C253+D253</f>
        <v>15434</v>
      </c>
      <c r="F253" s="42">
        <v>-865</v>
      </c>
      <c r="G253" s="42">
        <f>-510+1385</f>
        <v>875</v>
      </c>
      <c r="H253" s="42">
        <f>E253+F253+G253</f>
        <v>15444</v>
      </c>
      <c r="I253" s="42"/>
      <c r="J253" s="42"/>
      <c r="K253" s="42">
        <f>H253+I253+J253</f>
        <v>15444</v>
      </c>
    </row>
    <row r="254" spans="1:11" ht="12.75" customHeight="1">
      <c r="A254" s="5" t="s">
        <v>147</v>
      </c>
      <c r="B254" s="42"/>
      <c r="C254" s="42">
        <v>5389</v>
      </c>
      <c r="D254" s="42"/>
      <c r="E254" s="42">
        <f>B254+C254+D254</f>
        <v>5389</v>
      </c>
      <c r="F254" s="42">
        <v>650</v>
      </c>
      <c r="G254" s="42">
        <v>870</v>
      </c>
      <c r="H254" s="42">
        <f>E254+F254+G254</f>
        <v>6909</v>
      </c>
      <c r="I254" s="42"/>
      <c r="J254" s="42"/>
      <c r="K254" s="42">
        <f>H254+I254+J254</f>
        <v>6909</v>
      </c>
    </row>
    <row r="255" spans="1:11" ht="12.75" customHeight="1">
      <c r="A255" s="5" t="s">
        <v>45</v>
      </c>
      <c r="B255" s="42"/>
      <c r="C255" s="42">
        <v>16</v>
      </c>
      <c r="D255" s="42"/>
      <c r="E255" s="42">
        <f>B255+C255</f>
        <v>16</v>
      </c>
      <c r="F255" s="42">
        <v>16</v>
      </c>
      <c r="G255" s="42"/>
      <c r="H255" s="42">
        <f>E255+F255</f>
        <v>32</v>
      </c>
      <c r="I255" s="42"/>
      <c r="J255" s="42"/>
      <c r="K255" s="42">
        <f>H255+I255</f>
        <v>32</v>
      </c>
    </row>
    <row r="256" spans="1:11" ht="12.75" customHeight="1">
      <c r="A256" s="5" t="s">
        <v>213</v>
      </c>
      <c r="B256" s="42"/>
      <c r="C256" s="42"/>
      <c r="D256" s="42"/>
      <c r="E256" s="42"/>
      <c r="F256" s="42">
        <v>120</v>
      </c>
      <c r="G256" s="42"/>
      <c r="H256" s="42">
        <f>E256+F256</f>
        <v>120</v>
      </c>
      <c r="I256" s="42">
        <f>40+20</f>
        <v>60</v>
      </c>
      <c r="J256" s="42"/>
      <c r="K256" s="42">
        <f>H256+I256</f>
        <v>180</v>
      </c>
    </row>
    <row r="257" spans="1:11" ht="12.75" customHeight="1">
      <c r="A257" s="5" t="s">
        <v>214</v>
      </c>
      <c r="B257" s="42"/>
      <c r="C257" s="42"/>
      <c r="D257" s="42"/>
      <c r="E257" s="42"/>
      <c r="F257" s="42">
        <v>612</v>
      </c>
      <c r="G257" s="42"/>
      <c r="H257" s="42">
        <f>E257+F257</f>
        <v>612</v>
      </c>
      <c r="I257" s="42">
        <v>95</v>
      </c>
      <c r="J257" s="42"/>
      <c r="K257" s="42">
        <f>H257+I257</f>
        <v>707</v>
      </c>
    </row>
    <row r="258" spans="1:11" ht="12.75" customHeight="1">
      <c r="A258" s="5" t="s">
        <v>44</v>
      </c>
      <c r="B258" s="42"/>
      <c r="C258" s="42"/>
      <c r="D258" s="42"/>
      <c r="E258" s="42"/>
      <c r="F258" s="42">
        <v>10280</v>
      </c>
      <c r="G258" s="42"/>
      <c r="H258" s="42">
        <f>E258+F258</f>
        <v>10280</v>
      </c>
      <c r="I258" s="42"/>
      <c r="J258" s="42"/>
      <c r="K258" s="42">
        <f>H258+I258</f>
        <v>10280</v>
      </c>
    </row>
    <row r="259" spans="1:11" ht="15" customHeight="1">
      <c r="A259" s="6" t="s">
        <v>35</v>
      </c>
      <c r="B259" s="44">
        <f>SUM(B261:B261)</f>
        <v>0</v>
      </c>
      <c r="C259" s="44">
        <f>SUM(C261:C261)</f>
        <v>0</v>
      </c>
      <c r="D259" s="44">
        <f>SUM(D261:D261)</f>
        <v>0</v>
      </c>
      <c r="E259" s="44">
        <f>B259+C259+D259</f>
        <v>0</v>
      </c>
      <c r="F259" s="44">
        <f>SUM(F261:F261)</f>
        <v>0</v>
      </c>
      <c r="G259" s="44">
        <f>SUM(G261:G261)</f>
        <v>0</v>
      </c>
      <c r="H259" s="44">
        <f>E259+F259+G259</f>
        <v>0</v>
      </c>
      <c r="I259" s="44">
        <f>SUM(I261:I261)</f>
        <v>48683</v>
      </c>
      <c r="J259" s="44">
        <f>SUM(J261:J261)</f>
        <v>0</v>
      </c>
      <c r="K259" s="44">
        <f>H259+I259+J259</f>
        <v>48683</v>
      </c>
    </row>
    <row r="260" spans="1:11" ht="10.5" customHeight="1">
      <c r="A260" s="3" t="s">
        <v>1</v>
      </c>
      <c r="B260" s="42"/>
      <c r="C260" s="42"/>
      <c r="D260" s="42"/>
      <c r="E260" s="42"/>
      <c r="F260" s="42"/>
      <c r="G260" s="42"/>
      <c r="H260" s="42"/>
      <c r="I260" s="42"/>
      <c r="J260" s="42"/>
      <c r="K260" s="42"/>
    </row>
    <row r="261" spans="1:11" ht="12.75" customHeight="1">
      <c r="A261" s="32" t="s">
        <v>202</v>
      </c>
      <c r="B261" s="46"/>
      <c r="C261" s="46"/>
      <c r="D261" s="46"/>
      <c r="E261" s="46">
        <f>B261+C261+D261</f>
        <v>0</v>
      </c>
      <c r="F261" s="46"/>
      <c r="G261" s="46"/>
      <c r="H261" s="46">
        <f>E261+F261+G261</f>
        <v>0</v>
      </c>
      <c r="I261" s="46">
        <f>48625.9+57.1</f>
        <v>48683</v>
      </c>
      <c r="J261" s="46"/>
      <c r="K261" s="46">
        <f>H261+I261+J261</f>
        <v>48683</v>
      </c>
    </row>
    <row r="262" spans="1:11" ht="19.5" customHeight="1">
      <c r="A262" s="2" t="s">
        <v>36</v>
      </c>
      <c r="B262" s="39">
        <f aca="true" t="shared" si="43" ref="B262:H262">B264+B265</f>
        <v>4845</v>
      </c>
      <c r="C262" s="39">
        <f t="shared" si="43"/>
        <v>0</v>
      </c>
      <c r="D262" s="39">
        <f t="shared" si="43"/>
        <v>0</v>
      </c>
      <c r="E262" s="39">
        <f t="shared" si="43"/>
        <v>4845</v>
      </c>
      <c r="F262" s="39">
        <f t="shared" si="43"/>
        <v>0</v>
      </c>
      <c r="G262" s="39">
        <f t="shared" si="43"/>
        <v>0</v>
      </c>
      <c r="H262" s="39">
        <f t="shared" si="43"/>
        <v>4845</v>
      </c>
      <c r="I262" s="39">
        <f>I264+I265</f>
        <v>0</v>
      </c>
      <c r="J262" s="39">
        <f>J264+J265</f>
        <v>0</v>
      </c>
      <c r="K262" s="39">
        <f>K264+K265</f>
        <v>4845</v>
      </c>
    </row>
    <row r="263" spans="1:11" ht="10.5" customHeight="1">
      <c r="A263" s="3" t="s">
        <v>1</v>
      </c>
      <c r="B263" s="42"/>
      <c r="C263" s="42"/>
      <c r="D263" s="42"/>
      <c r="E263" s="42"/>
      <c r="F263" s="42"/>
      <c r="G263" s="42"/>
      <c r="H263" s="42"/>
      <c r="I263" s="42"/>
      <c r="J263" s="42"/>
      <c r="K263" s="42"/>
    </row>
    <row r="264" spans="1:11" ht="12.75" customHeight="1">
      <c r="A264" s="5" t="s">
        <v>140</v>
      </c>
      <c r="B264" s="42">
        <v>4845</v>
      </c>
      <c r="C264" s="42">
        <v>-3130.1</v>
      </c>
      <c r="D264" s="42"/>
      <c r="E264" s="42">
        <f>B264+C264+D264</f>
        <v>1714.9</v>
      </c>
      <c r="F264" s="42"/>
      <c r="G264" s="42"/>
      <c r="H264" s="42">
        <f>E264+F264+G264</f>
        <v>1714.9</v>
      </c>
      <c r="I264" s="42">
        <v>-1714.9</v>
      </c>
      <c r="J264" s="42"/>
      <c r="K264" s="42">
        <f>H264+I264+J264</f>
        <v>0</v>
      </c>
    </row>
    <row r="265" spans="1:11" ht="12.75" customHeight="1">
      <c r="A265" s="32" t="s">
        <v>147</v>
      </c>
      <c r="B265" s="46"/>
      <c r="C265" s="46">
        <v>3130.1</v>
      </c>
      <c r="D265" s="46"/>
      <c r="E265" s="46">
        <f>B265+C265+D265</f>
        <v>3130.1</v>
      </c>
      <c r="F265" s="46"/>
      <c r="G265" s="46"/>
      <c r="H265" s="46">
        <f>E265+F265+G265</f>
        <v>3130.1</v>
      </c>
      <c r="I265" s="46">
        <v>1714.9</v>
      </c>
      <c r="J265" s="46"/>
      <c r="K265" s="46">
        <f>H265+I265+J265</f>
        <v>4845</v>
      </c>
    </row>
    <row r="266" spans="1:11" ht="16.5" customHeight="1">
      <c r="A266" s="2" t="s">
        <v>21</v>
      </c>
      <c r="B266" s="39">
        <f>B267+B277</f>
        <v>13853</v>
      </c>
      <c r="C266" s="39">
        <f>C267+C277</f>
        <v>2431.3</v>
      </c>
      <c r="D266" s="39">
        <f>D267+D277</f>
        <v>3000</v>
      </c>
      <c r="E266" s="41">
        <f>B266+C266+D266</f>
        <v>19284.3</v>
      </c>
      <c r="F266" s="39">
        <f>F267+F277</f>
        <v>39143.8</v>
      </c>
      <c r="G266" s="39">
        <f>G267+G277</f>
        <v>29140</v>
      </c>
      <c r="H266" s="41">
        <f>E266+F266+G266</f>
        <v>87568.1</v>
      </c>
      <c r="I266" s="39">
        <f>I267+I277</f>
        <v>31851.7</v>
      </c>
      <c r="J266" s="39">
        <f>J267+J277</f>
        <v>0</v>
      </c>
      <c r="K266" s="41">
        <f>H266+I266+J266</f>
        <v>119419.8</v>
      </c>
    </row>
    <row r="267" spans="1:11" ht="12.75" customHeight="1">
      <c r="A267" s="6" t="s">
        <v>34</v>
      </c>
      <c r="B267" s="44">
        <f>SUM(B269:B276)</f>
        <v>13853</v>
      </c>
      <c r="C267" s="44">
        <f>SUM(C269:C275)</f>
        <v>2431.3</v>
      </c>
      <c r="D267" s="44">
        <f>SUM(D269:D275)</f>
        <v>0</v>
      </c>
      <c r="E267" s="45">
        <f>B267+C267+D267</f>
        <v>16284.3</v>
      </c>
      <c r="F267" s="44">
        <f>SUM(F269:F276)</f>
        <v>34281.9</v>
      </c>
      <c r="G267" s="44">
        <f>SUM(G269:G276)</f>
        <v>29140</v>
      </c>
      <c r="H267" s="45">
        <f>E267+F267+G267</f>
        <v>79706.2</v>
      </c>
      <c r="I267" s="44">
        <f>SUM(I269:I276)</f>
        <v>669</v>
      </c>
      <c r="J267" s="44">
        <f>SUM(J269:J276)</f>
        <v>0</v>
      </c>
      <c r="K267" s="45">
        <f>H267+I267+J267</f>
        <v>80375.2</v>
      </c>
    </row>
    <row r="268" spans="1:11" ht="10.5" customHeight="1">
      <c r="A268" s="3" t="s">
        <v>1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/>
    </row>
    <row r="269" spans="1:11" ht="12.75" customHeight="1">
      <c r="A269" s="4" t="s">
        <v>18</v>
      </c>
      <c r="B269" s="42">
        <v>8067</v>
      </c>
      <c r="C269" s="42"/>
      <c r="D269" s="42"/>
      <c r="E269" s="42">
        <f>B269+C269+D269</f>
        <v>8067</v>
      </c>
      <c r="F269" s="42">
        <v>23713.6</v>
      </c>
      <c r="G269" s="42"/>
      <c r="H269" s="42">
        <f>E269+F269+G269</f>
        <v>31780.6</v>
      </c>
      <c r="I269" s="42"/>
      <c r="J269" s="42"/>
      <c r="K269" s="42">
        <f>H269+I269+J269</f>
        <v>31780.6</v>
      </c>
    </row>
    <row r="270" spans="1:11" ht="12.75" customHeight="1">
      <c r="A270" s="4" t="s">
        <v>177</v>
      </c>
      <c r="B270" s="42"/>
      <c r="C270" s="42"/>
      <c r="D270" s="42"/>
      <c r="E270" s="42">
        <f>B270+C270</f>
        <v>0</v>
      </c>
      <c r="F270" s="42">
        <v>1050</v>
      </c>
      <c r="G270" s="42"/>
      <c r="H270" s="42">
        <f>E270+F270</f>
        <v>1050</v>
      </c>
      <c r="I270" s="42"/>
      <c r="J270" s="42"/>
      <c r="K270" s="42">
        <f>H270+I270</f>
        <v>1050</v>
      </c>
    </row>
    <row r="271" spans="1:11" ht="12.75" customHeight="1">
      <c r="A271" s="4" t="s">
        <v>9</v>
      </c>
      <c r="B271" s="42">
        <v>5786</v>
      </c>
      <c r="C271" s="42"/>
      <c r="D271" s="42"/>
      <c r="E271" s="42">
        <f>B271+C271+D271</f>
        <v>5786</v>
      </c>
      <c r="F271" s="42">
        <f>-47.3-50</f>
        <v>-97.3</v>
      </c>
      <c r="G271" s="42">
        <v>800</v>
      </c>
      <c r="H271" s="42">
        <f>E271+F271+G271</f>
        <v>6488.7</v>
      </c>
      <c r="I271" s="42">
        <v>7</v>
      </c>
      <c r="J271" s="42"/>
      <c r="K271" s="42">
        <f>H271+I271+J271</f>
        <v>6495.7</v>
      </c>
    </row>
    <row r="272" spans="1:11" ht="12.75" customHeight="1">
      <c r="A272" s="4" t="s">
        <v>147</v>
      </c>
      <c r="B272" s="42"/>
      <c r="C272" s="42"/>
      <c r="D272" s="42"/>
      <c r="E272" s="42">
        <f>B272+C272</f>
        <v>0</v>
      </c>
      <c r="F272" s="42">
        <v>7047.3</v>
      </c>
      <c r="G272" s="42"/>
      <c r="H272" s="42">
        <f>E272+F272</f>
        <v>7047.3</v>
      </c>
      <c r="I272" s="42"/>
      <c r="J272" s="42"/>
      <c r="K272" s="42">
        <f>H272+I272</f>
        <v>7047.3</v>
      </c>
    </row>
    <row r="273" spans="1:11" ht="12.75" customHeight="1">
      <c r="A273" s="4" t="s">
        <v>175</v>
      </c>
      <c r="B273" s="42"/>
      <c r="C273" s="42">
        <v>1225.5</v>
      </c>
      <c r="D273" s="42"/>
      <c r="E273" s="42">
        <f>B273+C273+D273</f>
        <v>1225.5</v>
      </c>
      <c r="F273" s="42">
        <v>2568.3</v>
      </c>
      <c r="G273" s="42"/>
      <c r="H273" s="42">
        <f>E273+F273+G273</f>
        <v>3793.8</v>
      </c>
      <c r="I273" s="42">
        <v>662</v>
      </c>
      <c r="J273" s="42"/>
      <c r="K273" s="42">
        <f>H273+I273+J273</f>
        <v>4455.8</v>
      </c>
    </row>
    <row r="274" spans="1:11" ht="12.75" customHeight="1">
      <c r="A274" s="8" t="s">
        <v>176</v>
      </c>
      <c r="B274" s="42"/>
      <c r="C274" s="42">
        <v>1130.9</v>
      </c>
      <c r="D274" s="42"/>
      <c r="E274" s="42">
        <f>B274+C274+D274</f>
        <v>1130.9</v>
      </c>
      <c r="F274" s="42"/>
      <c r="G274" s="42"/>
      <c r="H274" s="42">
        <f>E274+F274+G274</f>
        <v>1130.9</v>
      </c>
      <c r="I274" s="42"/>
      <c r="J274" s="42"/>
      <c r="K274" s="42">
        <f>H274+I274+J274</f>
        <v>1130.9</v>
      </c>
    </row>
    <row r="275" spans="1:11" ht="12.75" customHeight="1">
      <c r="A275" s="8" t="s">
        <v>118</v>
      </c>
      <c r="B275" s="42"/>
      <c r="C275" s="42">
        <v>74.9</v>
      </c>
      <c r="D275" s="42"/>
      <c r="E275" s="42">
        <f>B275+C275</f>
        <v>74.9</v>
      </c>
      <c r="F275" s="42"/>
      <c r="G275" s="42"/>
      <c r="H275" s="42">
        <f>E275+F275+G275</f>
        <v>74.9</v>
      </c>
      <c r="I275" s="42"/>
      <c r="J275" s="42"/>
      <c r="K275" s="42">
        <f>H275+I275+J275</f>
        <v>74.9</v>
      </c>
    </row>
    <row r="276" spans="1:11" ht="12.75" customHeight="1">
      <c r="A276" s="8" t="s">
        <v>44</v>
      </c>
      <c r="B276" s="42"/>
      <c r="C276" s="42"/>
      <c r="D276" s="42"/>
      <c r="E276" s="42"/>
      <c r="F276" s="42"/>
      <c r="G276" s="42">
        <v>28340</v>
      </c>
      <c r="H276" s="42">
        <f>E276+F276+G276</f>
        <v>28340</v>
      </c>
      <c r="I276" s="42"/>
      <c r="J276" s="42"/>
      <c r="K276" s="42">
        <f>H276+I276+J276</f>
        <v>28340</v>
      </c>
    </row>
    <row r="277" spans="1:11" ht="12.75" customHeight="1">
      <c r="A277" s="6" t="s">
        <v>35</v>
      </c>
      <c r="B277" s="44">
        <f>SUM(B279:B281)</f>
        <v>0</v>
      </c>
      <c r="C277" s="44">
        <f>SUM(C279:C281)</f>
        <v>0</v>
      </c>
      <c r="D277" s="44">
        <f>SUM(D279:D281)</f>
        <v>3000</v>
      </c>
      <c r="E277" s="44">
        <f>B277+C277+D277</f>
        <v>3000</v>
      </c>
      <c r="F277" s="44">
        <f>SUM(F279:F281)</f>
        <v>4861.9</v>
      </c>
      <c r="G277" s="44">
        <f>SUM(G279:G281)</f>
        <v>0</v>
      </c>
      <c r="H277" s="44">
        <f>E277+F277+G277</f>
        <v>7861.9</v>
      </c>
      <c r="I277" s="44">
        <f>SUM(I279:I281)</f>
        <v>31182.7</v>
      </c>
      <c r="J277" s="44">
        <f>SUM(J279:J281)</f>
        <v>0</v>
      </c>
      <c r="K277" s="44">
        <f>H277+I277+J277</f>
        <v>39044.6</v>
      </c>
    </row>
    <row r="278" spans="1:11" ht="10.5" customHeight="1">
      <c r="A278" s="3" t="s">
        <v>1</v>
      </c>
      <c r="B278" s="42"/>
      <c r="C278" s="42"/>
      <c r="D278" s="42"/>
      <c r="E278" s="42"/>
      <c r="F278" s="42"/>
      <c r="G278" s="42"/>
      <c r="H278" s="42"/>
      <c r="I278" s="42"/>
      <c r="J278" s="42"/>
      <c r="K278" s="42"/>
    </row>
    <row r="279" spans="1:11" ht="12.75" customHeight="1" hidden="1">
      <c r="A279" s="4" t="s">
        <v>151</v>
      </c>
      <c r="B279" s="42"/>
      <c r="C279" s="42"/>
      <c r="D279" s="42"/>
      <c r="E279" s="42">
        <f>B279+C279</f>
        <v>0</v>
      </c>
      <c r="F279" s="42"/>
      <c r="G279" s="42"/>
      <c r="H279" s="42">
        <f>E279+F279</f>
        <v>0</v>
      </c>
      <c r="I279" s="42"/>
      <c r="J279" s="42"/>
      <c r="K279" s="42">
        <f>H279+I279</f>
        <v>0</v>
      </c>
    </row>
    <row r="280" spans="1:11" ht="12.75" customHeight="1">
      <c r="A280" s="4" t="s">
        <v>41</v>
      </c>
      <c r="B280" s="42"/>
      <c r="C280" s="42"/>
      <c r="D280" s="42">
        <v>3000</v>
      </c>
      <c r="E280" s="42">
        <f>B280+C280+D280</f>
        <v>3000</v>
      </c>
      <c r="F280" s="42"/>
      <c r="G280" s="42"/>
      <c r="H280" s="42">
        <f>E280+F280+G280</f>
        <v>3000</v>
      </c>
      <c r="I280" s="42"/>
      <c r="J280" s="42"/>
      <c r="K280" s="42">
        <f>H280+I280+J280</f>
        <v>3000</v>
      </c>
    </row>
    <row r="281" spans="1:11" ht="12.75" customHeight="1">
      <c r="A281" s="32" t="s">
        <v>202</v>
      </c>
      <c r="B281" s="69"/>
      <c r="C281" s="69"/>
      <c r="D281" s="69"/>
      <c r="E281" s="46">
        <f>B281+C281</f>
        <v>0</v>
      </c>
      <c r="F281" s="69">
        <v>4861.9</v>
      </c>
      <c r="G281" s="69"/>
      <c r="H281" s="46">
        <f>E281+F281</f>
        <v>4861.9</v>
      </c>
      <c r="I281" s="69">
        <f>16889+14293.7</f>
        <v>31182.7</v>
      </c>
      <c r="J281" s="69"/>
      <c r="K281" s="46">
        <f>H281+I281</f>
        <v>36044.6</v>
      </c>
    </row>
    <row r="282" spans="1:11" ht="16.5" customHeight="1">
      <c r="A282" s="12" t="s">
        <v>84</v>
      </c>
      <c r="B282" s="39">
        <f aca="true" t="shared" si="44" ref="B282:H282">B283+B289</f>
        <v>84875.5</v>
      </c>
      <c r="C282" s="39">
        <f t="shared" si="44"/>
        <v>350</v>
      </c>
      <c r="D282" s="39">
        <f t="shared" si="44"/>
        <v>38410.7</v>
      </c>
      <c r="E282" s="39">
        <f t="shared" si="44"/>
        <v>123636.2</v>
      </c>
      <c r="F282" s="39">
        <f t="shared" si="44"/>
        <v>12845.8</v>
      </c>
      <c r="G282" s="39">
        <f t="shared" si="44"/>
        <v>-19135</v>
      </c>
      <c r="H282" s="39">
        <f t="shared" si="44"/>
        <v>117347</v>
      </c>
      <c r="I282" s="39">
        <f>I283+I289</f>
        <v>0</v>
      </c>
      <c r="J282" s="39">
        <f>J283+J289</f>
        <v>0</v>
      </c>
      <c r="K282" s="39">
        <f>K283+K289</f>
        <v>117347</v>
      </c>
    </row>
    <row r="283" spans="1:11" ht="12.75" customHeight="1">
      <c r="A283" s="6" t="s">
        <v>34</v>
      </c>
      <c r="B283" s="44">
        <f>SUM(B285:B288)</f>
        <v>2685</v>
      </c>
      <c r="C283" s="44">
        <f>SUM(C285:C288)</f>
        <v>0</v>
      </c>
      <c r="D283" s="44">
        <f>SUM(D285:D288)</f>
        <v>27040.7</v>
      </c>
      <c r="E283" s="44">
        <f>B283+C283+D283</f>
        <v>29725.7</v>
      </c>
      <c r="F283" s="44">
        <f>SUM(F285:F288)</f>
        <v>3145.8</v>
      </c>
      <c r="G283" s="44">
        <f>SUM(G285:G288)</f>
        <v>0</v>
      </c>
      <c r="H283" s="44">
        <f>E283+F283+G283</f>
        <v>32871.5</v>
      </c>
      <c r="I283" s="44">
        <f>SUM(I285:I288)</f>
        <v>0</v>
      </c>
      <c r="J283" s="44">
        <f>SUM(J285:J288)</f>
        <v>0</v>
      </c>
      <c r="K283" s="44">
        <f>H283+I283+J283</f>
        <v>32871.5</v>
      </c>
    </row>
    <row r="284" spans="1:11" ht="10.5" customHeight="1">
      <c r="A284" s="3" t="s">
        <v>1</v>
      </c>
      <c r="B284" s="42"/>
      <c r="C284" s="42"/>
      <c r="D284" s="42"/>
      <c r="E284" s="39"/>
      <c r="F284" s="42"/>
      <c r="G284" s="42"/>
      <c r="H284" s="39"/>
      <c r="I284" s="42"/>
      <c r="J284" s="42"/>
      <c r="K284" s="39"/>
    </row>
    <row r="285" spans="1:11" ht="12.75" customHeight="1">
      <c r="A285" s="4" t="s">
        <v>9</v>
      </c>
      <c r="B285" s="42">
        <v>2685</v>
      </c>
      <c r="C285" s="42"/>
      <c r="D285" s="42"/>
      <c r="E285" s="42">
        <f>SUM(B285:D285)</f>
        <v>2685</v>
      </c>
      <c r="F285" s="42">
        <v>-256.6</v>
      </c>
      <c r="G285" s="42"/>
      <c r="H285" s="42">
        <f>SUM(E285:G285)</f>
        <v>2428.4</v>
      </c>
      <c r="I285" s="42">
        <v>1000</v>
      </c>
      <c r="J285" s="42"/>
      <c r="K285" s="42">
        <f>SUM(H285:J285)</f>
        <v>3428.4</v>
      </c>
    </row>
    <row r="286" spans="1:11" ht="12.75" customHeight="1">
      <c r="A286" s="4" t="s">
        <v>204</v>
      </c>
      <c r="B286" s="42"/>
      <c r="C286" s="42"/>
      <c r="D286" s="42"/>
      <c r="E286" s="42"/>
      <c r="F286" s="42">
        <v>3.1</v>
      </c>
      <c r="G286" s="42"/>
      <c r="H286" s="42">
        <f>SUM(E286:G286)</f>
        <v>3.1</v>
      </c>
      <c r="I286" s="42"/>
      <c r="J286" s="42"/>
      <c r="K286" s="42">
        <f>SUM(H286:J286)</f>
        <v>3.1</v>
      </c>
    </row>
    <row r="287" spans="1:11" ht="12.75" customHeight="1">
      <c r="A287" s="4" t="s">
        <v>72</v>
      </c>
      <c r="B287" s="42"/>
      <c r="C287" s="42"/>
      <c r="D287" s="42">
        <v>25000</v>
      </c>
      <c r="E287" s="42">
        <f>SUM(B287:D287)</f>
        <v>25000</v>
      </c>
      <c r="F287" s="42"/>
      <c r="G287" s="42"/>
      <c r="H287" s="42">
        <f>SUM(E287:G287)</f>
        <v>25000</v>
      </c>
      <c r="I287" s="42"/>
      <c r="J287" s="42"/>
      <c r="K287" s="42">
        <f>SUM(H287:J287)</f>
        <v>25000</v>
      </c>
    </row>
    <row r="288" spans="1:11" ht="12.75" customHeight="1">
      <c r="A288" s="4" t="s">
        <v>44</v>
      </c>
      <c r="B288" s="42"/>
      <c r="C288" s="42"/>
      <c r="D288" s="42">
        <v>2040.7</v>
      </c>
      <c r="E288" s="42">
        <f>SUM(B288:D288)</f>
        <v>2040.7</v>
      </c>
      <c r="F288" s="42">
        <v>3399.3</v>
      </c>
      <c r="G288" s="42"/>
      <c r="H288" s="42">
        <f>SUM(E288:G288)</f>
        <v>5440</v>
      </c>
      <c r="I288" s="42">
        <v>-1000</v>
      </c>
      <c r="J288" s="42"/>
      <c r="K288" s="42">
        <f>SUM(H288:J288)</f>
        <v>4440</v>
      </c>
    </row>
    <row r="289" spans="1:11" ht="12.75" customHeight="1">
      <c r="A289" s="6" t="s">
        <v>35</v>
      </c>
      <c r="B289" s="44">
        <f>SUM(B291:B295)</f>
        <v>82190.5</v>
      </c>
      <c r="C289" s="44">
        <f>SUM(C291:C295)</f>
        <v>350</v>
      </c>
      <c r="D289" s="44">
        <f>SUM(D291:D295)</f>
        <v>11370</v>
      </c>
      <c r="E289" s="44">
        <f>B289+C289+D289</f>
        <v>93910.5</v>
      </c>
      <c r="F289" s="44">
        <f>SUM(F291:F295)</f>
        <v>9700</v>
      </c>
      <c r="G289" s="44">
        <f>SUM(G291:G295)</f>
        <v>-19135</v>
      </c>
      <c r="H289" s="44">
        <f>E289+F289+G289</f>
        <v>84475.5</v>
      </c>
      <c r="I289" s="44">
        <f>SUM(I291:I295)</f>
        <v>0</v>
      </c>
      <c r="J289" s="44">
        <f>SUM(J291:J295)</f>
        <v>0</v>
      </c>
      <c r="K289" s="44">
        <f>H289+I289+J289</f>
        <v>84475.5</v>
      </c>
    </row>
    <row r="290" spans="1:11" ht="10.5" customHeight="1">
      <c r="A290" s="3" t="s">
        <v>1</v>
      </c>
      <c r="B290" s="42"/>
      <c r="C290" s="42"/>
      <c r="D290" s="42"/>
      <c r="E290" s="42"/>
      <c r="F290" s="42"/>
      <c r="G290" s="42"/>
      <c r="H290" s="42"/>
      <c r="I290" s="42"/>
      <c r="J290" s="42"/>
      <c r="K290" s="42"/>
    </row>
    <row r="291" spans="1:11" ht="12.75" customHeight="1">
      <c r="A291" s="5" t="s">
        <v>156</v>
      </c>
      <c r="B291" s="42"/>
      <c r="C291" s="42">
        <v>350</v>
      </c>
      <c r="D291" s="42"/>
      <c r="E291" s="42">
        <f>B291+C291+D291</f>
        <v>350</v>
      </c>
      <c r="F291" s="42"/>
      <c r="G291" s="42"/>
      <c r="H291" s="42">
        <f>E291+F291+G291</f>
        <v>350</v>
      </c>
      <c r="I291" s="42"/>
      <c r="J291" s="42"/>
      <c r="K291" s="42">
        <f>H291+I291+J291</f>
        <v>350</v>
      </c>
    </row>
    <row r="292" spans="1:11" ht="12.75" customHeight="1">
      <c r="A292" s="4" t="s">
        <v>72</v>
      </c>
      <c r="B292" s="42"/>
      <c r="C292" s="42"/>
      <c r="D292" s="42">
        <v>20000</v>
      </c>
      <c r="E292" s="42">
        <f>SUM(B292:D292)</f>
        <v>20000</v>
      </c>
      <c r="F292" s="42"/>
      <c r="G292" s="42"/>
      <c r="H292" s="42">
        <f>SUM(E292:G292)</f>
        <v>20000</v>
      </c>
      <c r="I292" s="42"/>
      <c r="J292" s="42"/>
      <c r="K292" s="42">
        <f>SUM(H292:J292)</f>
        <v>20000</v>
      </c>
    </row>
    <row r="293" spans="1:11" ht="12.75" customHeight="1">
      <c r="A293" s="4" t="s">
        <v>44</v>
      </c>
      <c r="B293" s="42"/>
      <c r="C293" s="42"/>
      <c r="D293" s="42"/>
      <c r="E293" s="42"/>
      <c r="F293" s="42">
        <v>9700</v>
      </c>
      <c r="G293" s="42"/>
      <c r="H293" s="42">
        <f>SUM(E293:G293)</f>
        <v>9700</v>
      </c>
      <c r="I293" s="42"/>
      <c r="J293" s="42"/>
      <c r="K293" s="42">
        <f>SUM(H293:J293)</f>
        <v>9700</v>
      </c>
    </row>
    <row r="294" spans="1:11" ht="12.75" customHeight="1">
      <c r="A294" s="30" t="s">
        <v>187</v>
      </c>
      <c r="B294" s="40"/>
      <c r="C294" s="40"/>
      <c r="D294" s="40">
        <v>3500</v>
      </c>
      <c r="E294" s="42">
        <f>B294+C294+D294</f>
        <v>3500</v>
      </c>
      <c r="F294" s="40"/>
      <c r="G294" s="40"/>
      <c r="H294" s="42">
        <f>E294+F294+G294</f>
        <v>3500</v>
      </c>
      <c r="I294" s="40"/>
      <c r="J294" s="40"/>
      <c r="K294" s="42">
        <f>H294+I294+J294</f>
        <v>3500</v>
      </c>
    </row>
    <row r="295" spans="1:11" ht="12.75" customHeight="1">
      <c r="A295" s="37" t="s">
        <v>158</v>
      </c>
      <c r="B295" s="48">
        <v>82190.5</v>
      </c>
      <c r="C295" s="48"/>
      <c r="D295" s="48">
        <v>-12130</v>
      </c>
      <c r="E295" s="46">
        <f>B295+C295+D295</f>
        <v>70060.5</v>
      </c>
      <c r="F295" s="48"/>
      <c r="G295" s="48">
        <v>-19135</v>
      </c>
      <c r="H295" s="46">
        <f>E295+F295+G295</f>
        <v>50925.5</v>
      </c>
      <c r="I295" s="48"/>
      <c r="J295" s="48"/>
      <c r="K295" s="46">
        <f>H295+I295+J295</f>
        <v>50925.5</v>
      </c>
    </row>
    <row r="296" spans="1:11" ht="18.75" customHeight="1">
      <c r="A296" s="2" t="s">
        <v>85</v>
      </c>
      <c r="B296" s="39">
        <f aca="true" t="shared" si="45" ref="B296:H296">B297+B300</f>
        <v>5705</v>
      </c>
      <c r="C296" s="39">
        <f t="shared" si="45"/>
        <v>0</v>
      </c>
      <c r="D296" s="39">
        <f t="shared" si="45"/>
        <v>0</v>
      </c>
      <c r="E296" s="39">
        <f t="shared" si="45"/>
        <v>5705</v>
      </c>
      <c r="F296" s="39">
        <f t="shared" si="45"/>
        <v>0</v>
      </c>
      <c r="G296" s="39">
        <f t="shared" si="45"/>
        <v>0</v>
      </c>
      <c r="H296" s="39">
        <f t="shared" si="45"/>
        <v>5705</v>
      </c>
      <c r="I296" s="39">
        <f>I297+I300</f>
        <v>0</v>
      </c>
      <c r="J296" s="39">
        <f>J297+J300</f>
        <v>0</v>
      </c>
      <c r="K296" s="39">
        <f>K297+K300</f>
        <v>5705</v>
      </c>
    </row>
    <row r="297" spans="1:11" ht="12.75" customHeight="1">
      <c r="A297" s="6" t="s">
        <v>34</v>
      </c>
      <c r="B297" s="44">
        <f>SUM(B299:B299)</f>
        <v>4215</v>
      </c>
      <c r="C297" s="44">
        <f>SUM(C299:C299)</f>
        <v>-952</v>
      </c>
      <c r="D297" s="44">
        <f>SUM(D299:D299)</f>
        <v>0</v>
      </c>
      <c r="E297" s="44">
        <f>B297+C297+D297</f>
        <v>3263</v>
      </c>
      <c r="F297" s="44">
        <f>SUM(F299:F299)</f>
        <v>0</v>
      </c>
      <c r="G297" s="44">
        <f>SUM(G299:G299)</f>
        <v>0</v>
      </c>
      <c r="H297" s="44">
        <f>E297+F297+G297</f>
        <v>3263</v>
      </c>
      <c r="I297" s="44">
        <f>SUM(I299:I299)</f>
        <v>-1000</v>
      </c>
      <c r="J297" s="44">
        <f>SUM(J299:J299)</f>
        <v>0</v>
      </c>
      <c r="K297" s="44">
        <f>H297+I297+J297</f>
        <v>2263</v>
      </c>
    </row>
    <row r="298" spans="1:11" ht="10.5" customHeight="1">
      <c r="A298" s="3" t="s">
        <v>1</v>
      </c>
      <c r="B298" s="42"/>
      <c r="C298" s="42"/>
      <c r="D298" s="42"/>
      <c r="E298" s="39"/>
      <c r="F298" s="42"/>
      <c r="G298" s="42"/>
      <c r="H298" s="39"/>
      <c r="I298" s="42"/>
      <c r="J298" s="42"/>
      <c r="K298" s="39"/>
    </row>
    <row r="299" spans="1:11" ht="12.75" customHeight="1">
      <c r="A299" s="4" t="s">
        <v>9</v>
      </c>
      <c r="B299" s="42">
        <v>4215</v>
      </c>
      <c r="C299" s="42">
        <v>-952</v>
      </c>
      <c r="D299" s="42"/>
      <c r="E299" s="42">
        <f>B299+C299+D299</f>
        <v>3263</v>
      </c>
      <c r="F299" s="42"/>
      <c r="G299" s="42"/>
      <c r="H299" s="42">
        <f>E299+F299+G299</f>
        <v>3263</v>
      </c>
      <c r="I299" s="42">
        <v>-1000</v>
      </c>
      <c r="J299" s="42"/>
      <c r="K299" s="42">
        <f>H299+I299+J299</f>
        <v>2263</v>
      </c>
    </row>
    <row r="300" spans="1:11" ht="12.75" customHeight="1">
      <c r="A300" s="6" t="s">
        <v>35</v>
      </c>
      <c r="B300" s="44">
        <f>SUM(B302:B302)</f>
        <v>1490</v>
      </c>
      <c r="C300" s="44">
        <f>SUM(C302:C302)</f>
        <v>952</v>
      </c>
      <c r="D300" s="44">
        <f>SUM(D302:D302)</f>
        <v>0</v>
      </c>
      <c r="E300" s="44">
        <f>B300+C300+D300</f>
        <v>2442</v>
      </c>
      <c r="F300" s="44">
        <f>SUM(F302:F302)</f>
        <v>0</v>
      </c>
      <c r="G300" s="44">
        <f>SUM(G302:G302)</f>
        <v>0</v>
      </c>
      <c r="H300" s="44">
        <f>E300+F300+G300</f>
        <v>2442</v>
      </c>
      <c r="I300" s="44">
        <f>SUM(I302:I302)</f>
        <v>1000</v>
      </c>
      <c r="J300" s="44">
        <f>SUM(J302:J302)</f>
        <v>0</v>
      </c>
      <c r="K300" s="44">
        <f>H300+I300+J300</f>
        <v>3442</v>
      </c>
    </row>
    <row r="301" spans="1:11" ht="10.5" customHeight="1">
      <c r="A301" s="3" t="s">
        <v>1</v>
      </c>
      <c r="B301" s="42"/>
      <c r="C301" s="42"/>
      <c r="D301" s="42"/>
      <c r="E301" s="42"/>
      <c r="F301" s="42"/>
      <c r="G301" s="42"/>
      <c r="H301" s="42"/>
      <c r="I301" s="42"/>
      <c r="J301" s="42"/>
      <c r="K301" s="42"/>
    </row>
    <row r="302" spans="1:11" ht="12.75" customHeight="1">
      <c r="A302" s="32" t="s">
        <v>41</v>
      </c>
      <c r="B302" s="46">
        <v>1490</v>
      </c>
      <c r="C302" s="46">
        <v>952</v>
      </c>
      <c r="D302" s="46"/>
      <c r="E302" s="46">
        <f>B302+C302+D302</f>
        <v>2442</v>
      </c>
      <c r="F302" s="46"/>
      <c r="G302" s="46"/>
      <c r="H302" s="46">
        <f>E302+F302+G302</f>
        <v>2442</v>
      </c>
      <c r="I302" s="46">
        <v>1000</v>
      </c>
      <c r="J302" s="46"/>
      <c r="K302" s="46">
        <f>H302+I302+J302</f>
        <v>3442</v>
      </c>
    </row>
    <row r="303" spans="1:11" ht="18.75" customHeight="1">
      <c r="A303" s="2" t="s">
        <v>22</v>
      </c>
      <c r="B303" s="39">
        <f aca="true" t="shared" si="46" ref="B303:K303">B304</f>
        <v>59734</v>
      </c>
      <c r="C303" s="39">
        <f t="shared" si="46"/>
        <v>-650</v>
      </c>
      <c r="D303" s="39">
        <f t="shared" si="46"/>
        <v>-470</v>
      </c>
      <c r="E303" s="39">
        <f t="shared" si="46"/>
        <v>58614</v>
      </c>
      <c r="F303" s="39">
        <f t="shared" si="46"/>
        <v>-21723.6</v>
      </c>
      <c r="G303" s="39">
        <f t="shared" si="46"/>
        <v>1983.1999999999998</v>
      </c>
      <c r="H303" s="39">
        <f t="shared" si="46"/>
        <v>38873.6</v>
      </c>
      <c r="I303" s="39">
        <f t="shared" si="46"/>
        <v>0</v>
      </c>
      <c r="J303" s="39">
        <f t="shared" si="46"/>
        <v>0</v>
      </c>
      <c r="K303" s="39">
        <f t="shared" si="46"/>
        <v>38873.6</v>
      </c>
    </row>
    <row r="304" spans="1:11" ht="15" customHeight="1">
      <c r="A304" s="6" t="s">
        <v>34</v>
      </c>
      <c r="B304" s="44">
        <f>SUM(B306:B310)</f>
        <v>59734</v>
      </c>
      <c r="C304" s="44">
        <f>SUM(C306:C310)</f>
        <v>-650</v>
      </c>
      <c r="D304" s="44">
        <f>SUM(D306:D310)</f>
        <v>-470</v>
      </c>
      <c r="E304" s="44">
        <f>B304+C304+D304</f>
        <v>58614</v>
      </c>
      <c r="F304" s="44">
        <f>SUM(F306:F310)</f>
        <v>-21723.6</v>
      </c>
      <c r="G304" s="44">
        <f>SUM(G306:G310)</f>
        <v>1983.1999999999998</v>
      </c>
      <c r="H304" s="44">
        <f>E304+F304+G304</f>
        <v>38873.6</v>
      </c>
      <c r="I304" s="44">
        <f>SUM(I306:I310)</f>
        <v>0</v>
      </c>
      <c r="J304" s="44">
        <f>SUM(J306:J310)</f>
        <v>0</v>
      </c>
      <c r="K304" s="44">
        <f>H304+I304+J304</f>
        <v>38873.6</v>
      </c>
    </row>
    <row r="305" spans="1:11" ht="10.5" customHeight="1">
      <c r="A305" s="3" t="s">
        <v>1</v>
      </c>
      <c r="B305" s="39"/>
      <c r="C305" s="39"/>
      <c r="D305" s="39"/>
      <c r="E305" s="39"/>
      <c r="F305" s="39"/>
      <c r="G305" s="39"/>
      <c r="H305" s="39"/>
      <c r="I305" s="39"/>
      <c r="J305" s="39"/>
      <c r="K305" s="39"/>
    </row>
    <row r="306" spans="1:11" ht="12.75" customHeight="1">
      <c r="A306" s="30" t="s">
        <v>141</v>
      </c>
      <c r="B306" s="42">
        <v>39734</v>
      </c>
      <c r="C306" s="42">
        <v>-650</v>
      </c>
      <c r="D306" s="42">
        <v>-470</v>
      </c>
      <c r="E306" s="42">
        <f>B306+C306+D306</f>
        <v>38614</v>
      </c>
      <c r="F306" s="42">
        <f>-27913.6-10000</f>
        <v>-37913.6</v>
      </c>
      <c r="G306" s="42">
        <v>-360</v>
      </c>
      <c r="H306" s="42">
        <f>E306+F306+G306</f>
        <v>340.40000000000146</v>
      </c>
      <c r="I306" s="42"/>
      <c r="J306" s="42"/>
      <c r="K306" s="42">
        <f>H306+I306+J306</f>
        <v>340.40000000000146</v>
      </c>
    </row>
    <row r="307" spans="1:11" ht="12.75" customHeight="1">
      <c r="A307" s="30" t="s">
        <v>218</v>
      </c>
      <c r="B307" s="42"/>
      <c r="C307" s="42"/>
      <c r="D307" s="42"/>
      <c r="E307" s="42"/>
      <c r="F307" s="42"/>
      <c r="G307" s="42"/>
      <c r="H307" s="42"/>
      <c r="I307" s="42"/>
      <c r="J307" s="42"/>
      <c r="K307" s="42"/>
    </row>
    <row r="308" spans="1:11" ht="12.75" customHeight="1">
      <c r="A308" s="30" t="s">
        <v>203</v>
      </c>
      <c r="B308" s="42"/>
      <c r="C308" s="42"/>
      <c r="D308" s="42"/>
      <c r="E308" s="42"/>
      <c r="F308" s="42">
        <v>16190</v>
      </c>
      <c r="G308" s="42"/>
      <c r="H308" s="42">
        <f>E308+F308+G308</f>
        <v>16190</v>
      </c>
      <c r="I308" s="42"/>
      <c r="J308" s="42"/>
      <c r="K308" s="42">
        <f>H308+I308+J308</f>
        <v>16190</v>
      </c>
    </row>
    <row r="309" spans="1:11" ht="12.75" customHeight="1">
      <c r="A309" s="30" t="s">
        <v>219</v>
      </c>
      <c r="B309" s="42"/>
      <c r="C309" s="42"/>
      <c r="D309" s="42"/>
      <c r="E309" s="42"/>
      <c r="F309" s="42"/>
      <c r="G309" s="42">
        <v>2343.2</v>
      </c>
      <c r="H309" s="42">
        <f>E309+F309+G309</f>
        <v>2343.2</v>
      </c>
      <c r="I309" s="42"/>
      <c r="J309" s="42"/>
      <c r="K309" s="42">
        <f>H309+I309+J309</f>
        <v>2343.2</v>
      </c>
    </row>
    <row r="310" spans="1:11" ht="12.75" customHeight="1">
      <c r="A310" s="36" t="s">
        <v>9</v>
      </c>
      <c r="B310" s="46">
        <v>20000</v>
      </c>
      <c r="C310" s="46"/>
      <c r="D310" s="46"/>
      <c r="E310" s="46">
        <f>B310+C310+D310</f>
        <v>20000</v>
      </c>
      <c r="F310" s="46"/>
      <c r="G310" s="46"/>
      <c r="H310" s="46">
        <f>E310+F310+G310</f>
        <v>20000</v>
      </c>
      <c r="I310" s="46"/>
      <c r="J310" s="46"/>
      <c r="K310" s="46">
        <f>H310+I310+J310</f>
        <v>20000</v>
      </c>
    </row>
    <row r="311" spans="1:11" ht="19.5" customHeight="1">
      <c r="A311" s="2" t="s">
        <v>78</v>
      </c>
      <c r="B311" s="39">
        <f>B313+B314</f>
        <v>428487</v>
      </c>
      <c r="C311" s="39">
        <f>C313+C314</f>
        <v>108118.00000000001</v>
      </c>
      <c r="D311" s="39">
        <f>D313+D314</f>
        <v>2000</v>
      </c>
      <c r="E311" s="39">
        <f>B311+C311+D311</f>
        <v>538605</v>
      </c>
      <c r="F311" s="39">
        <f>F313+F314</f>
        <v>39266.799999999996</v>
      </c>
      <c r="G311" s="39">
        <f>G313+G314</f>
        <v>179278.7</v>
      </c>
      <c r="H311" s="39">
        <f>E311+F311+G311</f>
        <v>757150.5</v>
      </c>
      <c r="I311" s="39">
        <f>I313+I314</f>
        <v>-749</v>
      </c>
      <c r="J311" s="39">
        <f>J313+J314</f>
        <v>0</v>
      </c>
      <c r="K311" s="39">
        <f>H311+I311+J311</f>
        <v>756401.5</v>
      </c>
    </row>
    <row r="312" spans="1:11" ht="10.5" customHeight="1">
      <c r="A312" s="8" t="s">
        <v>1</v>
      </c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1:11" ht="12.75" customHeight="1">
      <c r="A313" s="2" t="s">
        <v>34</v>
      </c>
      <c r="B313" s="39">
        <f>B330+B345+B349+B341+B333</f>
        <v>9350</v>
      </c>
      <c r="C313" s="39">
        <f>C330+C345+C349+C341+C333+C340</f>
        <v>16473</v>
      </c>
      <c r="D313" s="39">
        <f>D330+D345+D349+D341+D333</f>
        <v>0</v>
      </c>
      <c r="E313" s="39">
        <f>B313+C313+D313</f>
        <v>25823</v>
      </c>
      <c r="F313" s="39">
        <f>F330+F345+F349+F341+F333+F340</f>
        <v>5023</v>
      </c>
      <c r="G313" s="39">
        <f>G330+G345+G349+G341+G333</f>
        <v>1373</v>
      </c>
      <c r="H313" s="39">
        <f>E313+F313+G313</f>
        <v>32219</v>
      </c>
      <c r="I313" s="39">
        <f>I330+I345+I349+I341+I333+I340</f>
        <v>9788</v>
      </c>
      <c r="J313" s="39">
        <f>J330+J345+J349+J341+J333</f>
        <v>0</v>
      </c>
      <c r="K313" s="39">
        <f>H313+I313+J313</f>
        <v>42007</v>
      </c>
    </row>
    <row r="314" spans="1:11" ht="12.75" customHeight="1">
      <c r="A314" s="2" t="s">
        <v>35</v>
      </c>
      <c r="B314" s="39">
        <f>B316+B319+B324+B328+B329+B331+B336+B343+B347-B313+B352</f>
        <v>419137</v>
      </c>
      <c r="C314" s="39">
        <f>C316+C319+C324+C328+C329+C331+C336+C343+C347-C313+C352+C323</f>
        <v>91645.00000000001</v>
      </c>
      <c r="D314" s="39">
        <f>D316+D319+D324+D328+D329+D331+D336+D343+D347-D313+D352</f>
        <v>2000</v>
      </c>
      <c r="E314" s="39">
        <f>E316+E319+E324+E328+E329+E331+E336+E343+E347-E313+E352+E323</f>
        <v>512782</v>
      </c>
      <c r="F314" s="39">
        <f>F316+F319+F324+F328+F329+F331+F336+F343+F347-F313+F352+F323</f>
        <v>34243.799999999996</v>
      </c>
      <c r="G314" s="39">
        <f>G316+G319+G324+G328+G329+G331+G336+G343+G347-G313+G352</f>
        <v>177905.7</v>
      </c>
      <c r="H314" s="39">
        <f>H316+H319+H324+H328+H329+H331+H336+H343+H347-H313+H352+H323</f>
        <v>724931.5000000002</v>
      </c>
      <c r="I314" s="39">
        <f>I316+I319+I324+I328+I329+I331+I336+I343+I347-I313+I352+I323</f>
        <v>-10537</v>
      </c>
      <c r="J314" s="39">
        <f>J316+J319+J324+J328+J329+J331+J336+J343+J347-J313+J352</f>
        <v>0</v>
      </c>
      <c r="K314" s="39">
        <f>K316+K319+K324+K328+K329+K331+K336+K343+K347-K313+K352+K323</f>
        <v>714394.5000000002</v>
      </c>
    </row>
    <row r="315" spans="1:11" ht="12.75" customHeight="1">
      <c r="A315" s="10" t="s">
        <v>46</v>
      </c>
      <c r="B315" s="39"/>
      <c r="C315" s="39"/>
      <c r="D315" s="39"/>
      <c r="E315" s="39"/>
      <c r="F315" s="39"/>
      <c r="G315" s="39"/>
      <c r="H315" s="39"/>
      <c r="I315" s="39"/>
      <c r="J315" s="39"/>
      <c r="K315" s="39"/>
    </row>
    <row r="316" spans="1:11" ht="12.75" customHeight="1">
      <c r="A316" s="8" t="s">
        <v>142</v>
      </c>
      <c r="B316" s="40">
        <f>B317+B318</f>
        <v>2187</v>
      </c>
      <c r="C316" s="40">
        <f>C317+C318</f>
        <v>209.20000000000005</v>
      </c>
      <c r="D316" s="39"/>
      <c r="E316" s="42">
        <f>B316+C316</f>
        <v>2396.2</v>
      </c>
      <c r="F316" s="40">
        <f>F317+F318</f>
        <v>0</v>
      </c>
      <c r="G316" s="39"/>
      <c r="H316" s="42">
        <f>E316+F316</f>
        <v>2396.2</v>
      </c>
      <c r="I316" s="40">
        <f>I317+I318</f>
        <v>-800</v>
      </c>
      <c r="J316" s="39"/>
      <c r="K316" s="42">
        <f>H316+I316</f>
        <v>1596.1999999999998</v>
      </c>
    </row>
    <row r="317" spans="1:11" ht="12.75" customHeight="1">
      <c r="A317" s="8" t="s">
        <v>101</v>
      </c>
      <c r="B317" s="40">
        <v>2150</v>
      </c>
      <c r="C317" s="40">
        <f>-530+739.2</f>
        <v>209.20000000000005</v>
      </c>
      <c r="D317" s="39"/>
      <c r="E317" s="42">
        <f>SUM(B317:D317)</f>
        <v>2359.2</v>
      </c>
      <c r="F317" s="40"/>
      <c r="G317" s="39"/>
      <c r="H317" s="42">
        <f>SUM(E317:G317)</f>
        <v>2359.2</v>
      </c>
      <c r="I317" s="40">
        <v>-800</v>
      </c>
      <c r="J317" s="39"/>
      <c r="K317" s="42">
        <f>SUM(H317:J317)</f>
        <v>1559.1999999999998</v>
      </c>
    </row>
    <row r="318" spans="1:11" ht="12.75" customHeight="1">
      <c r="A318" s="8" t="s">
        <v>98</v>
      </c>
      <c r="B318" s="40">
        <v>37</v>
      </c>
      <c r="C318" s="40"/>
      <c r="D318" s="39"/>
      <c r="E318" s="42">
        <f>SUM(B318:D318)</f>
        <v>37</v>
      </c>
      <c r="F318" s="40"/>
      <c r="G318" s="39"/>
      <c r="H318" s="42">
        <f>SUM(E318:G318)</f>
        <v>37</v>
      </c>
      <c r="I318" s="40"/>
      <c r="J318" s="39"/>
      <c r="K318" s="42">
        <f>SUM(H318:J318)</f>
        <v>37</v>
      </c>
    </row>
    <row r="319" spans="1:11" ht="12.75" customHeight="1">
      <c r="A319" s="8" t="s">
        <v>102</v>
      </c>
      <c r="B319" s="40">
        <f>B320+B321</f>
        <v>20000</v>
      </c>
      <c r="C319" s="40">
        <f>C320+C321+C322</f>
        <v>212</v>
      </c>
      <c r="D319" s="39"/>
      <c r="E319" s="42">
        <f>B319+C319</f>
        <v>20212</v>
      </c>
      <c r="F319" s="40">
        <f>F320+F321+F322</f>
        <v>0</v>
      </c>
      <c r="G319" s="39"/>
      <c r="H319" s="42">
        <f>E319+F319</f>
        <v>20212</v>
      </c>
      <c r="I319" s="40"/>
      <c r="J319" s="39"/>
      <c r="K319" s="42">
        <f>H319+I319</f>
        <v>20212</v>
      </c>
    </row>
    <row r="320" spans="1:11" ht="12.75" customHeight="1">
      <c r="A320" s="8" t="s">
        <v>101</v>
      </c>
      <c r="B320" s="40">
        <v>10000</v>
      </c>
      <c r="C320" s="40"/>
      <c r="D320" s="39"/>
      <c r="E320" s="42">
        <f>SUM(B320:D320)</f>
        <v>10000</v>
      </c>
      <c r="F320" s="40">
        <v>212</v>
      </c>
      <c r="G320" s="39"/>
      <c r="H320" s="42">
        <f>SUM(E320:G320)</f>
        <v>10212</v>
      </c>
      <c r="I320" s="40"/>
      <c r="J320" s="39"/>
      <c r="K320" s="42">
        <f>SUM(H320:J320)</f>
        <v>10212</v>
      </c>
    </row>
    <row r="321" spans="1:11" ht="12.75" customHeight="1">
      <c r="A321" s="8" t="s">
        <v>215</v>
      </c>
      <c r="B321" s="40">
        <v>10000</v>
      </c>
      <c r="C321" s="40"/>
      <c r="D321" s="39"/>
      <c r="E321" s="42">
        <f>SUM(B321:D321)</f>
        <v>10000</v>
      </c>
      <c r="F321" s="40"/>
      <c r="G321" s="39"/>
      <c r="H321" s="42">
        <f>SUM(E321:G321)</f>
        <v>10000</v>
      </c>
      <c r="I321" s="40"/>
      <c r="J321" s="39"/>
      <c r="K321" s="42">
        <f>SUM(H321:J321)</f>
        <v>10000</v>
      </c>
    </row>
    <row r="322" spans="1:11" ht="12.75" customHeight="1">
      <c r="A322" s="8" t="s">
        <v>98</v>
      </c>
      <c r="B322" s="40"/>
      <c r="C322" s="40">
        <v>212</v>
      </c>
      <c r="D322" s="39"/>
      <c r="E322" s="42">
        <f>SUM(B322:D322)</f>
        <v>212</v>
      </c>
      <c r="F322" s="40">
        <v>-212</v>
      </c>
      <c r="G322" s="39"/>
      <c r="H322" s="42">
        <f>SUM(E322:G322)</f>
        <v>0</v>
      </c>
      <c r="I322" s="40"/>
      <c r="J322" s="39"/>
      <c r="K322" s="42">
        <f>SUM(H322:J322)</f>
        <v>0</v>
      </c>
    </row>
    <row r="323" spans="1:11" ht="12.75" customHeight="1">
      <c r="A323" s="8" t="s">
        <v>182</v>
      </c>
      <c r="B323" s="40"/>
      <c r="C323" s="40">
        <v>1750</v>
      </c>
      <c r="D323" s="39"/>
      <c r="E323" s="42">
        <v>1750</v>
      </c>
      <c r="F323" s="40"/>
      <c r="G323" s="39"/>
      <c r="H323" s="42">
        <f>SUM(E323:G323)</f>
        <v>1750</v>
      </c>
      <c r="I323" s="40"/>
      <c r="J323" s="39"/>
      <c r="K323" s="42">
        <f>SUM(H323:J323)</f>
        <v>1750</v>
      </c>
    </row>
    <row r="324" spans="1:11" ht="12.75" customHeight="1">
      <c r="A324" s="8" t="s">
        <v>47</v>
      </c>
      <c r="B324" s="40">
        <f>SUM(B325:B326)</f>
        <v>100000</v>
      </c>
      <c r="C324" s="40">
        <f>SUM(C325:C326)</f>
        <v>1137.7999999999993</v>
      </c>
      <c r="D324" s="40">
        <f>SUM(D325:D325)</f>
        <v>0</v>
      </c>
      <c r="E324" s="42">
        <f>B324+C324+D324</f>
        <v>101137.8</v>
      </c>
      <c r="F324" s="40">
        <f>SUM(F325:F327)</f>
        <v>20232.799999999996</v>
      </c>
      <c r="G324" s="40">
        <f>SUM(G325:G327)</f>
        <v>50000</v>
      </c>
      <c r="H324" s="42">
        <f>E324+F324+G324</f>
        <v>171370.6</v>
      </c>
      <c r="I324" s="40">
        <f>SUM(I325:I327)</f>
        <v>0</v>
      </c>
      <c r="J324" s="40"/>
      <c r="K324" s="42">
        <f>H324+I324+J324</f>
        <v>171370.6</v>
      </c>
    </row>
    <row r="325" spans="1:11" ht="12.75" customHeight="1">
      <c r="A325" s="8" t="s">
        <v>159</v>
      </c>
      <c r="B325" s="40">
        <v>100000</v>
      </c>
      <c r="C325" s="40">
        <f>1137.8-29394.8</f>
        <v>-28257</v>
      </c>
      <c r="D325" s="40"/>
      <c r="E325" s="42">
        <f>B325+C325+D325</f>
        <v>71743</v>
      </c>
      <c r="F325" s="40">
        <f>-3000-45093</f>
        <v>-48093</v>
      </c>
      <c r="G325" s="40"/>
      <c r="H325" s="42">
        <f>SUM(E325:G325)</f>
        <v>23650</v>
      </c>
      <c r="I325" s="40">
        <v>5900</v>
      </c>
      <c r="J325" s="40"/>
      <c r="K325" s="42">
        <f>SUM(H325:J325)</f>
        <v>29550</v>
      </c>
    </row>
    <row r="326" spans="1:11" ht="12.75" customHeight="1">
      <c r="A326" s="8" t="s">
        <v>205</v>
      </c>
      <c r="B326" s="40"/>
      <c r="C326" s="40">
        <v>29394.8</v>
      </c>
      <c r="D326" s="40"/>
      <c r="E326" s="42">
        <f>B326+C326+D326</f>
        <v>29394.8</v>
      </c>
      <c r="F326" s="40">
        <f>15435.7+45093</f>
        <v>60528.7</v>
      </c>
      <c r="G326" s="40">
        <v>50000</v>
      </c>
      <c r="H326" s="42">
        <f>SUM(E326:G326)</f>
        <v>139923.5</v>
      </c>
      <c r="I326" s="40">
        <v>-5900</v>
      </c>
      <c r="J326" s="40"/>
      <c r="K326" s="42">
        <f>SUM(H326:J326)</f>
        <v>134023.5</v>
      </c>
    </row>
    <row r="327" spans="1:11" ht="12.75" customHeight="1">
      <c r="A327" s="8" t="s">
        <v>98</v>
      </c>
      <c r="B327" s="40"/>
      <c r="C327" s="40"/>
      <c r="D327" s="40"/>
      <c r="E327" s="42"/>
      <c r="F327" s="40">
        <v>7797.1</v>
      </c>
      <c r="G327" s="40"/>
      <c r="H327" s="42">
        <f>SUM(E327:G327)</f>
        <v>7797.1</v>
      </c>
      <c r="I327" s="40"/>
      <c r="J327" s="40"/>
      <c r="K327" s="42">
        <f>SUM(H327:J327)</f>
        <v>7797.1</v>
      </c>
    </row>
    <row r="328" spans="1:11" ht="12.75" customHeight="1">
      <c r="A328" s="8" t="s">
        <v>73</v>
      </c>
      <c r="B328" s="40">
        <v>300</v>
      </c>
      <c r="C328" s="40"/>
      <c r="D328" s="40"/>
      <c r="E328" s="42">
        <f>B328+C328</f>
        <v>300</v>
      </c>
      <c r="F328" s="40"/>
      <c r="G328" s="40"/>
      <c r="H328" s="42">
        <f>SUM(E328:G328)</f>
        <v>300</v>
      </c>
      <c r="I328" s="40"/>
      <c r="J328" s="40"/>
      <c r="K328" s="42">
        <f>SUM(H328:J328)</f>
        <v>300</v>
      </c>
    </row>
    <row r="329" spans="1:11" ht="12.75" customHeight="1">
      <c r="A329" s="8" t="s">
        <v>100</v>
      </c>
      <c r="B329" s="40">
        <f>B330</f>
        <v>0</v>
      </c>
      <c r="C329" s="40">
        <f>C330</f>
        <v>741.6</v>
      </c>
      <c r="D329" s="40"/>
      <c r="E329" s="42">
        <f>B329+C329+D329</f>
        <v>741.6</v>
      </c>
      <c r="F329" s="40">
        <f>F330</f>
        <v>0</v>
      </c>
      <c r="G329" s="40"/>
      <c r="H329" s="42">
        <f>E329+F329+G329</f>
        <v>741.6</v>
      </c>
      <c r="I329" s="40"/>
      <c r="J329" s="40"/>
      <c r="K329" s="42">
        <f>H329+I329+J329</f>
        <v>741.6</v>
      </c>
    </row>
    <row r="330" spans="1:11" ht="12.75" customHeight="1">
      <c r="A330" s="8" t="s">
        <v>99</v>
      </c>
      <c r="B330" s="40"/>
      <c r="C330" s="40">
        <v>741.6</v>
      </c>
      <c r="D330" s="40"/>
      <c r="E330" s="42">
        <f>B330+C330</f>
        <v>741.6</v>
      </c>
      <c r="F330" s="40"/>
      <c r="G330" s="40"/>
      <c r="H330" s="42">
        <f aca="true" t="shared" si="47" ref="H330:H353">SUM(E330:G330)</f>
        <v>741.6</v>
      </c>
      <c r="I330" s="40"/>
      <c r="J330" s="40"/>
      <c r="K330" s="42">
        <f aca="true" t="shared" si="48" ref="K330:K353">SUM(H330:J330)</f>
        <v>741.6</v>
      </c>
    </row>
    <row r="331" spans="1:11" ht="12.75" customHeight="1">
      <c r="A331" s="8" t="s">
        <v>48</v>
      </c>
      <c r="B331" s="40">
        <f>SUM(B332:B335)</f>
        <v>48000</v>
      </c>
      <c r="C331" s="40">
        <f>SUM(C332:C335)</f>
        <v>7405.4</v>
      </c>
      <c r="D331" s="40">
        <f>SUM(D332:D335)</f>
        <v>2000</v>
      </c>
      <c r="E331" s="42">
        <f aca="true" t="shared" si="49" ref="E331:E343">B331+C331+D331</f>
        <v>57405.4</v>
      </c>
      <c r="F331" s="40">
        <f>SUM(F332:F335)</f>
        <v>6000</v>
      </c>
      <c r="G331" s="40">
        <f>SUM(G332:G335)</f>
        <v>8235.5</v>
      </c>
      <c r="H331" s="42">
        <f t="shared" si="47"/>
        <v>71640.9</v>
      </c>
      <c r="I331" s="40">
        <f>SUM(I332:I335)</f>
        <v>0</v>
      </c>
      <c r="J331" s="40"/>
      <c r="K331" s="42">
        <f t="shared" si="48"/>
        <v>71640.9</v>
      </c>
    </row>
    <row r="332" spans="1:11" ht="12.75" customHeight="1">
      <c r="A332" s="8" t="s">
        <v>160</v>
      </c>
      <c r="B332" s="40">
        <v>48000</v>
      </c>
      <c r="C332" s="40">
        <f>-500+650+5223.7+110.5</f>
        <v>5484.2</v>
      </c>
      <c r="D332" s="40"/>
      <c r="E332" s="42">
        <f t="shared" si="49"/>
        <v>53484.2</v>
      </c>
      <c r="F332" s="40">
        <f>6000+1036</f>
        <v>7036</v>
      </c>
      <c r="G332" s="40">
        <v>8029</v>
      </c>
      <c r="H332" s="42">
        <f t="shared" si="47"/>
        <v>68549.2</v>
      </c>
      <c r="I332" s="40">
        <v>-4800</v>
      </c>
      <c r="J332" s="40"/>
      <c r="K332" s="42">
        <f t="shared" si="48"/>
        <v>63749.2</v>
      </c>
    </row>
    <row r="333" spans="1:11" ht="12.75" customHeight="1">
      <c r="A333" s="8" t="s">
        <v>211</v>
      </c>
      <c r="B333" s="40"/>
      <c r="C333" s="40">
        <f>994+195</f>
        <v>1189</v>
      </c>
      <c r="D333" s="40"/>
      <c r="E333" s="42">
        <f t="shared" si="49"/>
        <v>1189</v>
      </c>
      <c r="F333" s="40">
        <v>1060</v>
      </c>
      <c r="G333" s="40"/>
      <c r="H333" s="42">
        <f t="shared" si="47"/>
        <v>2249</v>
      </c>
      <c r="I333" s="40">
        <f>225+4800</f>
        <v>5025</v>
      </c>
      <c r="J333" s="40"/>
      <c r="K333" s="42">
        <f t="shared" si="48"/>
        <v>7274</v>
      </c>
    </row>
    <row r="334" spans="1:11" ht="12.75" customHeight="1">
      <c r="A334" s="8" t="s">
        <v>75</v>
      </c>
      <c r="B334" s="40"/>
      <c r="C334" s="40">
        <v>500</v>
      </c>
      <c r="D334" s="40"/>
      <c r="E334" s="42">
        <f t="shared" si="49"/>
        <v>500</v>
      </c>
      <c r="F334" s="40"/>
      <c r="G334" s="40"/>
      <c r="H334" s="42">
        <f t="shared" si="47"/>
        <v>500</v>
      </c>
      <c r="I334" s="40"/>
      <c r="J334" s="40"/>
      <c r="K334" s="42">
        <f t="shared" si="48"/>
        <v>500</v>
      </c>
    </row>
    <row r="335" spans="1:11" ht="12.75" customHeight="1">
      <c r="A335" s="8" t="s">
        <v>94</v>
      </c>
      <c r="B335" s="40"/>
      <c r="C335" s="40">
        <f>74.2+158</f>
        <v>232.2</v>
      </c>
      <c r="D335" s="40">
        <v>2000</v>
      </c>
      <c r="E335" s="42">
        <f t="shared" si="49"/>
        <v>2232.2</v>
      </c>
      <c r="F335" s="40">
        <v>-2096</v>
      </c>
      <c r="G335" s="40">
        <v>206.5</v>
      </c>
      <c r="H335" s="42">
        <f t="shared" si="47"/>
        <v>342.6999999999998</v>
      </c>
      <c r="I335" s="40">
        <v>-225</v>
      </c>
      <c r="J335" s="40"/>
      <c r="K335" s="42">
        <f t="shared" si="48"/>
        <v>117.69999999999982</v>
      </c>
    </row>
    <row r="336" spans="1:11" ht="12.75" customHeight="1">
      <c r="A336" s="8" t="s">
        <v>49</v>
      </c>
      <c r="B336" s="40">
        <f>SUM(B337:B342)</f>
        <v>150000</v>
      </c>
      <c r="C336" s="40">
        <f>SUM(C337:C342)</f>
        <v>58071.40000000001</v>
      </c>
      <c r="D336" s="40">
        <f>SUM(D337:D342)</f>
        <v>0</v>
      </c>
      <c r="E336" s="42">
        <f t="shared" si="49"/>
        <v>208071.40000000002</v>
      </c>
      <c r="F336" s="40">
        <f>SUM(F337:F342)</f>
        <v>13034</v>
      </c>
      <c r="G336" s="40">
        <f>SUM(G337:G342)</f>
        <v>102556.2</v>
      </c>
      <c r="H336" s="42">
        <f t="shared" si="47"/>
        <v>323661.60000000003</v>
      </c>
      <c r="I336" s="40">
        <f>SUM(I337:I342)</f>
        <v>0</v>
      </c>
      <c r="J336" s="40"/>
      <c r="K336" s="42">
        <f t="shared" si="48"/>
        <v>323661.60000000003</v>
      </c>
    </row>
    <row r="337" spans="1:11" ht="12.75" customHeight="1">
      <c r="A337" s="8" t="s">
        <v>95</v>
      </c>
      <c r="B337" s="40">
        <v>120000</v>
      </c>
      <c r="C337" s="40">
        <f>4892+3712.7-4892+26465.2+20214.2+5000</f>
        <v>55392.100000000006</v>
      </c>
      <c r="D337" s="40"/>
      <c r="E337" s="42">
        <f t="shared" si="49"/>
        <v>175392.1</v>
      </c>
      <c r="F337" s="40">
        <f>915.5+8442.7</f>
        <v>9358.2</v>
      </c>
      <c r="G337" s="40"/>
      <c r="H337" s="42">
        <f t="shared" si="47"/>
        <v>184750.30000000002</v>
      </c>
      <c r="I337" s="40">
        <f>5461+9212</f>
        <v>14673</v>
      </c>
      <c r="J337" s="40"/>
      <c r="K337" s="42">
        <f t="shared" si="48"/>
        <v>199423.30000000002</v>
      </c>
    </row>
    <row r="338" spans="1:11" ht="12.75" customHeight="1">
      <c r="A338" s="8" t="s">
        <v>161</v>
      </c>
      <c r="B338" s="40">
        <v>30000</v>
      </c>
      <c r="C338" s="40">
        <v>-5000</v>
      </c>
      <c r="D338" s="40"/>
      <c r="E338" s="42">
        <f t="shared" si="49"/>
        <v>25000</v>
      </c>
      <c r="F338" s="40">
        <v>490</v>
      </c>
      <c r="G338" s="40"/>
      <c r="H338" s="42">
        <f t="shared" si="47"/>
        <v>25490</v>
      </c>
      <c r="I338" s="40">
        <f>-7600+7984</f>
        <v>384</v>
      </c>
      <c r="J338" s="40"/>
      <c r="K338" s="42">
        <f t="shared" si="48"/>
        <v>25874</v>
      </c>
    </row>
    <row r="339" spans="1:11" ht="12.75" customHeight="1">
      <c r="A339" s="8" t="s">
        <v>162</v>
      </c>
      <c r="B339" s="40"/>
      <c r="C339" s="40"/>
      <c r="D339" s="40"/>
      <c r="E339" s="42">
        <f t="shared" si="49"/>
        <v>0</v>
      </c>
      <c r="F339" s="40">
        <f>5530.8+61</f>
        <v>5591.8</v>
      </c>
      <c r="G339" s="40"/>
      <c r="H339" s="42">
        <f t="shared" si="47"/>
        <v>5591.8</v>
      </c>
      <c r="I339" s="40">
        <f>4547+1069</f>
        <v>5616</v>
      </c>
      <c r="J339" s="40"/>
      <c r="K339" s="42">
        <f t="shared" si="48"/>
        <v>11207.8</v>
      </c>
    </row>
    <row r="340" spans="1:11" ht="12.75" customHeight="1">
      <c r="A340" s="8" t="s">
        <v>206</v>
      </c>
      <c r="B340" s="40"/>
      <c r="C340" s="40"/>
      <c r="D340" s="40"/>
      <c r="E340" s="42">
        <f t="shared" si="49"/>
        <v>0</v>
      </c>
      <c r="F340" s="40">
        <v>800</v>
      </c>
      <c r="G340" s="40"/>
      <c r="H340" s="42">
        <f t="shared" si="47"/>
        <v>800</v>
      </c>
      <c r="I340" s="40"/>
      <c r="J340" s="40"/>
      <c r="K340" s="42">
        <f t="shared" si="48"/>
        <v>800</v>
      </c>
    </row>
    <row r="341" spans="1:11" ht="12.75" customHeight="1">
      <c r="A341" s="8" t="s">
        <v>86</v>
      </c>
      <c r="B341" s="40"/>
      <c r="C341" s="40">
        <f>1179.3</f>
        <v>1179.3</v>
      </c>
      <c r="D341" s="40"/>
      <c r="E341" s="42">
        <f t="shared" si="49"/>
        <v>1179.3</v>
      </c>
      <c r="F341" s="40">
        <f>3163</f>
        <v>3163</v>
      </c>
      <c r="G341" s="40"/>
      <c r="H341" s="42">
        <f t="shared" si="47"/>
        <v>4342.3</v>
      </c>
      <c r="I341" s="40">
        <f>5000+861</f>
        <v>5861</v>
      </c>
      <c r="J341" s="40"/>
      <c r="K341" s="42">
        <f t="shared" si="48"/>
        <v>10203.3</v>
      </c>
    </row>
    <row r="342" spans="1:11" ht="12.75" customHeight="1">
      <c r="A342" s="8" t="s">
        <v>94</v>
      </c>
      <c r="B342" s="40"/>
      <c r="C342" s="40">
        <f>6500</f>
        <v>6500</v>
      </c>
      <c r="D342" s="40"/>
      <c r="E342" s="42">
        <f t="shared" si="49"/>
        <v>6500</v>
      </c>
      <c r="F342" s="40">
        <f>9919-6446.3+3115-12956.7</f>
        <v>-6369.000000000001</v>
      </c>
      <c r="G342" s="40">
        <f>2330.2+100226</f>
        <v>102556.2</v>
      </c>
      <c r="H342" s="42">
        <f t="shared" si="47"/>
        <v>102687.2</v>
      </c>
      <c r="I342" s="40">
        <f>-7408-19126</f>
        <v>-26534</v>
      </c>
      <c r="J342" s="40"/>
      <c r="K342" s="42">
        <f t="shared" si="48"/>
        <v>76153.2</v>
      </c>
    </row>
    <row r="343" spans="1:11" ht="12.75" customHeight="1">
      <c r="A343" s="8" t="s">
        <v>42</v>
      </c>
      <c r="B343" s="40">
        <f>SUM(B344:B345)</f>
        <v>10000</v>
      </c>
      <c r="C343" s="40">
        <f>SUM(C344:C346)</f>
        <v>230.3</v>
      </c>
      <c r="D343" s="40"/>
      <c r="E343" s="42">
        <f t="shared" si="49"/>
        <v>10230.3</v>
      </c>
      <c r="F343" s="40">
        <f>SUM(F344:F346)</f>
        <v>0</v>
      </c>
      <c r="G343" s="40"/>
      <c r="H343" s="42">
        <f t="shared" si="47"/>
        <v>10230.3</v>
      </c>
      <c r="I343" s="40">
        <f>SUM(I344:I346)</f>
        <v>51</v>
      </c>
      <c r="J343" s="40"/>
      <c r="K343" s="42">
        <f t="shared" si="48"/>
        <v>10281.3</v>
      </c>
    </row>
    <row r="344" spans="1:11" ht="12.75" customHeight="1">
      <c r="A344" s="8" t="s">
        <v>160</v>
      </c>
      <c r="B344" s="40">
        <v>10000</v>
      </c>
      <c r="C344" s="40"/>
      <c r="D344" s="40"/>
      <c r="E344" s="42">
        <f>B344+C344</f>
        <v>10000</v>
      </c>
      <c r="F344" s="40">
        <v>-15</v>
      </c>
      <c r="G344" s="40"/>
      <c r="H344" s="42">
        <f t="shared" si="47"/>
        <v>9985</v>
      </c>
      <c r="I344" s="40"/>
      <c r="J344" s="40"/>
      <c r="K344" s="42">
        <f t="shared" si="48"/>
        <v>9985</v>
      </c>
    </row>
    <row r="345" spans="1:11" ht="12.75" customHeight="1" hidden="1">
      <c r="A345" s="8" t="s">
        <v>163</v>
      </c>
      <c r="B345" s="40"/>
      <c r="C345" s="40"/>
      <c r="D345" s="40"/>
      <c r="E345" s="42">
        <f>B345+C345</f>
        <v>0</v>
      </c>
      <c r="F345" s="40"/>
      <c r="G345" s="40"/>
      <c r="H345" s="42">
        <f t="shared" si="47"/>
        <v>0</v>
      </c>
      <c r="I345" s="40"/>
      <c r="J345" s="40"/>
      <c r="K345" s="42">
        <f t="shared" si="48"/>
        <v>0</v>
      </c>
    </row>
    <row r="346" spans="1:11" ht="12.75" customHeight="1">
      <c r="A346" s="8" t="s">
        <v>94</v>
      </c>
      <c r="B346" s="40"/>
      <c r="C346" s="40">
        <v>230.3</v>
      </c>
      <c r="D346" s="40"/>
      <c r="E346" s="42">
        <f>B346+C346+D346</f>
        <v>230.3</v>
      </c>
      <c r="F346" s="40">
        <v>15</v>
      </c>
      <c r="G346" s="40"/>
      <c r="H346" s="42">
        <f t="shared" si="47"/>
        <v>245.3</v>
      </c>
      <c r="I346" s="40">
        <v>51</v>
      </c>
      <c r="J346" s="40"/>
      <c r="K346" s="42">
        <f t="shared" si="48"/>
        <v>296.3</v>
      </c>
    </row>
    <row r="347" spans="1:11" ht="12.75" customHeight="1">
      <c r="A347" s="8" t="s">
        <v>40</v>
      </c>
      <c r="B347" s="40">
        <f>SUM(B348:B351)</f>
        <v>98000</v>
      </c>
      <c r="C347" s="40">
        <f>SUM(C348:C351)</f>
        <v>37873.8</v>
      </c>
      <c r="D347" s="40">
        <f>SUM(D348:D351)</f>
        <v>0</v>
      </c>
      <c r="E347" s="42">
        <f>B347+C347+D347</f>
        <v>135873.8</v>
      </c>
      <c r="F347" s="40">
        <f>SUM(F348:F351)</f>
        <v>0</v>
      </c>
      <c r="G347" s="40">
        <f>SUM(G348:G351)</f>
        <v>18487</v>
      </c>
      <c r="H347" s="42">
        <f t="shared" si="47"/>
        <v>154360.8</v>
      </c>
      <c r="I347" s="40">
        <f>SUM(I348:I351)</f>
        <v>0</v>
      </c>
      <c r="J347" s="40"/>
      <c r="K347" s="42">
        <f t="shared" si="48"/>
        <v>154360.8</v>
      </c>
    </row>
    <row r="348" spans="1:11" ht="12.75" customHeight="1">
      <c r="A348" s="8" t="s">
        <v>160</v>
      </c>
      <c r="B348" s="40">
        <v>84510</v>
      </c>
      <c r="C348" s="40">
        <f>24666.4-5000</f>
        <v>19666.4</v>
      </c>
      <c r="D348" s="40"/>
      <c r="E348" s="42">
        <f>B348+C348+D348</f>
        <v>104176.4</v>
      </c>
      <c r="F348" s="40"/>
      <c r="G348" s="40">
        <v>17113.4</v>
      </c>
      <c r="H348" s="42">
        <f t="shared" si="47"/>
        <v>121289.79999999999</v>
      </c>
      <c r="I348" s="40">
        <f>2072.6+2470</f>
        <v>4542.6</v>
      </c>
      <c r="J348" s="40"/>
      <c r="K348" s="42">
        <f t="shared" si="48"/>
        <v>125832.4</v>
      </c>
    </row>
    <row r="349" spans="1:11" ht="12.75" customHeight="1">
      <c r="A349" s="8" t="s">
        <v>211</v>
      </c>
      <c r="B349" s="40">
        <v>9350</v>
      </c>
      <c r="C349" s="40">
        <v>13363.1</v>
      </c>
      <c r="D349" s="40"/>
      <c r="E349" s="42">
        <f>B349+C349+D349</f>
        <v>22713.1</v>
      </c>
      <c r="F349" s="40"/>
      <c r="G349" s="40">
        <v>1373</v>
      </c>
      <c r="H349" s="42">
        <f t="shared" si="47"/>
        <v>24086.1</v>
      </c>
      <c r="I349" s="40">
        <f>102-1200</f>
        <v>-1098</v>
      </c>
      <c r="J349" s="40"/>
      <c r="K349" s="42">
        <f t="shared" si="48"/>
        <v>22988.1</v>
      </c>
    </row>
    <row r="350" spans="1:11" ht="12.75" customHeight="1">
      <c r="A350" s="8" t="s">
        <v>76</v>
      </c>
      <c r="B350" s="40"/>
      <c r="C350" s="40">
        <v>5000</v>
      </c>
      <c r="D350" s="40"/>
      <c r="E350" s="42">
        <f>B350+C350</f>
        <v>5000</v>
      </c>
      <c r="F350" s="40"/>
      <c r="G350" s="40"/>
      <c r="H350" s="42">
        <f t="shared" si="47"/>
        <v>5000</v>
      </c>
      <c r="I350" s="40"/>
      <c r="J350" s="40"/>
      <c r="K350" s="42">
        <f t="shared" si="48"/>
        <v>5000</v>
      </c>
    </row>
    <row r="351" spans="1:11" ht="12.75" customHeight="1">
      <c r="A351" s="8" t="s">
        <v>94</v>
      </c>
      <c r="B351" s="40">
        <v>4140</v>
      </c>
      <c r="C351" s="40">
        <f>-364.2+208.5</f>
        <v>-155.7</v>
      </c>
      <c r="D351" s="40"/>
      <c r="E351" s="42">
        <f>B351+C351+D351</f>
        <v>3984.3</v>
      </c>
      <c r="F351" s="40"/>
      <c r="G351" s="40">
        <v>0.6</v>
      </c>
      <c r="H351" s="42">
        <f t="shared" si="47"/>
        <v>3984.9</v>
      </c>
      <c r="I351" s="40">
        <f>-2174.6-1270</f>
        <v>-3444.6</v>
      </c>
      <c r="J351" s="40"/>
      <c r="K351" s="42">
        <f t="shared" si="48"/>
        <v>540.3000000000002</v>
      </c>
    </row>
    <row r="352" spans="1:11" ht="12.75" customHeight="1">
      <c r="A352" s="67" t="s">
        <v>103</v>
      </c>
      <c r="B352" s="48"/>
      <c r="C352" s="48">
        <v>486.5</v>
      </c>
      <c r="D352" s="48"/>
      <c r="E352" s="46">
        <f>SUM(B352:D352)</f>
        <v>486.5</v>
      </c>
      <c r="F352" s="48"/>
      <c r="G352" s="48"/>
      <c r="H352" s="46">
        <f t="shared" si="47"/>
        <v>486.5</v>
      </c>
      <c r="I352" s="48"/>
      <c r="J352" s="48"/>
      <c r="K352" s="46">
        <f t="shared" si="48"/>
        <v>486.5</v>
      </c>
    </row>
    <row r="353" spans="1:11" ht="18" customHeight="1" thickBot="1">
      <c r="A353" s="38" t="s">
        <v>168</v>
      </c>
      <c r="B353" s="41">
        <v>4152</v>
      </c>
      <c r="C353" s="41">
        <v>400</v>
      </c>
      <c r="D353" s="41"/>
      <c r="E353" s="41">
        <f>SUM(B353:D353)</f>
        <v>4552</v>
      </c>
      <c r="F353" s="41"/>
      <c r="G353" s="41"/>
      <c r="H353" s="41">
        <f t="shared" si="47"/>
        <v>4552</v>
      </c>
      <c r="I353" s="41"/>
      <c r="J353" s="41"/>
      <c r="K353" s="41">
        <f t="shared" si="48"/>
        <v>4552</v>
      </c>
    </row>
    <row r="354" spans="1:11" ht="21.75" customHeight="1" thickBot="1">
      <c r="A354" s="34" t="s">
        <v>23</v>
      </c>
      <c r="B354" s="50">
        <f>B69+B82+B95+B124+B145+B205+B231+B249+B262+B266+B296+B303+B311+B162+B150+B282+B114+B353</f>
        <v>3472357.6</v>
      </c>
      <c r="C354" s="50">
        <f>C69+C82+C95+C124+C145+C205+C231+C249+C262+C266+C296+C303+C311+C162+C150+C282+C114+C353</f>
        <v>1270956.7</v>
      </c>
      <c r="D354" s="50">
        <f>D69+D82+D95+D124+D145+D205+D231+D249+D262+D266+D296+D303+D311+D162+D150+D282+D114</f>
        <v>-49637.200000000026</v>
      </c>
      <c r="E354" s="51">
        <f>E69+E82+E95+E124+E145+E205+E231+E249+E262+E266+E296+E303+E311+E162+E150+E282+E114+E353</f>
        <v>4693677.1</v>
      </c>
      <c r="F354" s="50">
        <f>F69+F82+F95+F124+F145+F205+F231+F249+F262+F266+F296+F303+F311+F162+F150+F282+F114+F353</f>
        <v>1152294.8000000003</v>
      </c>
      <c r="G354" s="50">
        <f>G69+G82+G95+G124+G145+G205+G231+G249+G262+G266+G296+G303+G311+G162+G150+G282+G114</f>
        <v>471967.4</v>
      </c>
      <c r="H354" s="51">
        <f>H69+H82+H95+H124+H145+H205+H231+H249+H262+H266+H296+H303+H311+H162+H150+H282+H114+H353</f>
        <v>6317939.3</v>
      </c>
      <c r="I354" s="50">
        <f>I69+I82+I95+I124+I145+I205+I231+I249+I262+I266+I296+I303+I311+I162+I150+I282+I114+I353</f>
        <v>1133431.7</v>
      </c>
      <c r="J354" s="50">
        <f>J69+J82+J95+J124+J145+J205+J231+J249+J262+J266+J296+J303+J311+J162+J150+J282+J114</f>
        <v>0</v>
      </c>
      <c r="K354" s="51">
        <f>K69+K82+K95+K124+K145+K205+K231+K249+K262+K266+K296+K303+K311+K162+K150+K282+K114+K353</f>
        <v>7451371.000000001</v>
      </c>
    </row>
    <row r="355" spans="1:11" ht="15" customHeight="1" thickBot="1">
      <c r="A355" s="33" t="s">
        <v>165</v>
      </c>
      <c r="B355" s="52">
        <v>-4152</v>
      </c>
      <c r="C355" s="52"/>
      <c r="D355" s="52"/>
      <c r="E355" s="53">
        <f>SUM(B355:D355)</f>
        <v>-4152</v>
      </c>
      <c r="F355" s="52"/>
      <c r="G355" s="52"/>
      <c r="H355" s="53">
        <f>SUM(E355:G355)</f>
        <v>-4152</v>
      </c>
      <c r="I355" s="52"/>
      <c r="J355" s="52"/>
      <c r="K355" s="53">
        <f>SUM(H355:J355)</f>
        <v>-4152</v>
      </c>
    </row>
    <row r="356" spans="1:11" ht="21.75" customHeight="1" thickBot="1">
      <c r="A356" s="25" t="s">
        <v>166</v>
      </c>
      <c r="B356" s="54">
        <f aca="true" t="shared" si="50" ref="B356:H356">B354+B355</f>
        <v>3468205.6</v>
      </c>
      <c r="C356" s="54">
        <f t="shared" si="50"/>
        <v>1270956.7</v>
      </c>
      <c r="D356" s="54">
        <f t="shared" si="50"/>
        <v>-49637.200000000026</v>
      </c>
      <c r="E356" s="55">
        <f t="shared" si="50"/>
        <v>4689525.1</v>
      </c>
      <c r="F356" s="54">
        <f t="shared" si="50"/>
        <v>1152294.8000000003</v>
      </c>
      <c r="G356" s="54">
        <f t="shared" si="50"/>
        <v>471967.4</v>
      </c>
      <c r="H356" s="55">
        <f t="shared" si="50"/>
        <v>6313787.3</v>
      </c>
      <c r="I356" s="54">
        <f>I354+I355</f>
        <v>1133431.7</v>
      </c>
      <c r="J356" s="54">
        <f>J354+J355</f>
        <v>0</v>
      </c>
      <c r="K356" s="55">
        <f>K354+K355</f>
        <v>7447219.000000001</v>
      </c>
    </row>
    <row r="357" spans="1:11" ht="12" customHeight="1">
      <c r="A357" s="29" t="s">
        <v>1</v>
      </c>
      <c r="B357" s="56"/>
      <c r="C357" s="56"/>
      <c r="D357" s="56"/>
      <c r="E357" s="57"/>
      <c r="F357" s="56"/>
      <c r="G357" s="56"/>
      <c r="H357" s="57"/>
      <c r="I357" s="56"/>
      <c r="J357" s="56"/>
      <c r="K357" s="57"/>
    </row>
    <row r="358" spans="1:11" ht="15" customHeight="1">
      <c r="A358" s="28" t="s">
        <v>34</v>
      </c>
      <c r="B358" s="58">
        <f>B70+B83+B96+B125+B146+B163+B206+B232+B250+B262+B267+B297+B304+B313+B151+B283+B115+B353+B355</f>
        <v>2420273</v>
      </c>
      <c r="C358" s="58">
        <f>C70+C83+C96+C125+C146+C163+C206+C232+C250+C262+C267+C297+C304+C313+C151+C283+C115+C353+C355</f>
        <v>1169166.5</v>
      </c>
      <c r="D358" s="58">
        <f>D70+D83+D96+D125+D146+D163+D206+D232+D250+D262+D267+D297+D304+D313+D151+D283+D115</f>
        <v>39349.4</v>
      </c>
      <c r="E358" s="59">
        <f>E70+E83+E96+E125+E146+E163+E206+E232+E250+E262+E267+E297+E304+E313+E151+E283+E115+E353+E355</f>
        <v>3628788.9</v>
      </c>
      <c r="F358" s="58">
        <f>F70+F83+F96+F125+F146+F163+F206+F232+F250+F262+F267+F297+F304+F313+F151+F283+F115+F353+F355</f>
        <v>1080905</v>
      </c>
      <c r="G358" s="58">
        <f>G70+G83+G96+G125+G146+G163+G206+G232+G250+G262+G267+G297+G304+G313+G151+G283+G115</f>
        <v>107737.2</v>
      </c>
      <c r="H358" s="59">
        <f>H70+H83+H96+H125+H146+H163+H206+H232+H250+H262+H267+H297+H304+H313+H151+H283+H115+H353+H355</f>
        <v>4817431.100000001</v>
      </c>
      <c r="I358" s="58">
        <f>I70+I83+I96+I125+I146+I163+I206+I232+I250+I262+I267+I297+I304+I313+I151+I283+I115+I353+I355</f>
        <v>1062103</v>
      </c>
      <c r="J358" s="58">
        <f>J70+J83+J96+J125+J146+J163+J206+J232+J250+J262+J267+J297+J304+J313+J151+J283+J115</f>
        <v>0</v>
      </c>
      <c r="K358" s="59">
        <f>K70+K83+K96+K125+K146+K163+K206+K232+K250+K262+K267+K297+K304+K313+K151+K283+K115+K353+K355</f>
        <v>5879534.100000001</v>
      </c>
    </row>
    <row r="359" spans="1:11" ht="15" customHeight="1" thickBot="1">
      <c r="A359" s="28" t="s">
        <v>35</v>
      </c>
      <c r="B359" s="58">
        <f aca="true" t="shared" si="51" ref="B359:K359">B106+B136+B191+B226+B243+B300+B314+B156+B277+B78+B289+B259+B121</f>
        <v>1047932.6</v>
      </c>
      <c r="C359" s="58">
        <f t="shared" si="51"/>
        <v>101790.20000000001</v>
      </c>
      <c r="D359" s="58">
        <f t="shared" si="51"/>
        <v>-88986.6</v>
      </c>
      <c r="E359" s="59">
        <f t="shared" si="51"/>
        <v>1060736.2</v>
      </c>
      <c r="F359" s="58">
        <f t="shared" si="51"/>
        <v>71389.79999999999</v>
      </c>
      <c r="G359" s="58">
        <f t="shared" si="51"/>
        <v>364230.2</v>
      </c>
      <c r="H359" s="59">
        <f t="shared" si="51"/>
        <v>1496356.2000000002</v>
      </c>
      <c r="I359" s="58">
        <f t="shared" si="51"/>
        <v>71328.7</v>
      </c>
      <c r="J359" s="58">
        <f t="shared" si="51"/>
        <v>0</v>
      </c>
      <c r="K359" s="59">
        <f t="shared" si="51"/>
        <v>1567684.9000000004</v>
      </c>
    </row>
    <row r="360" spans="1:11" ht="19.5" customHeight="1">
      <c r="A360" s="29" t="s">
        <v>51</v>
      </c>
      <c r="B360" s="60">
        <f aca="true" t="shared" si="52" ref="B360:H360">SUM(B362:B365)</f>
        <v>556305.6</v>
      </c>
      <c r="C360" s="60">
        <f t="shared" si="52"/>
        <v>156441.6</v>
      </c>
      <c r="D360" s="60">
        <f t="shared" si="52"/>
        <v>-52462.59999999999</v>
      </c>
      <c r="E360" s="61">
        <f t="shared" si="52"/>
        <v>660284.5999999999</v>
      </c>
      <c r="F360" s="60">
        <f t="shared" si="52"/>
        <v>-58223.3</v>
      </c>
      <c r="G360" s="60">
        <f t="shared" si="52"/>
        <v>455097.1</v>
      </c>
      <c r="H360" s="61">
        <f t="shared" si="52"/>
        <v>1057158.4</v>
      </c>
      <c r="I360" s="60">
        <f>SUM(I362:I365)</f>
        <v>0</v>
      </c>
      <c r="J360" s="60">
        <f>SUM(J362:J365)</f>
        <v>0</v>
      </c>
      <c r="K360" s="61">
        <f>SUM(K362:K365)</f>
        <v>1057158.4</v>
      </c>
    </row>
    <row r="361" spans="1:11" ht="9.75" customHeight="1">
      <c r="A361" s="26" t="s">
        <v>1</v>
      </c>
      <c r="B361" s="62"/>
      <c r="C361" s="62"/>
      <c r="D361" s="62"/>
      <c r="E361" s="63"/>
      <c r="F361" s="62"/>
      <c r="G361" s="62"/>
      <c r="H361" s="63"/>
      <c r="I361" s="62"/>
      <c r="J361" s="62"/>
      <c r="K361" s="63"/>
    </row>
    <row r="362" spans="1:11" ht="12.75" customHeight="1">
      <c r="A362" s="26" t="s">
        <v>74</v>
      </c>
      <c r="B362" s="64">
        <v>556305.6</v>
      </c>
      <c r="C362" s="64">
        <v>26465.2</v>
      </c>
      <c r="D362" s="64">
        <v>-111482.4</v>
      </c>
      <c r="E362" s="63">
        <f>SUM(B362:D362)</f>
        <v>471288.3999999999</v>
      </c>
      <c r="F362" s="64"/>
      <c r="G362" s="64">
        <v>-19135</v>
      </c>
      <c r="H362" s="63">
        <f>SUM(E362:G362)</f>
        <v>452153.3999999999</v>
      </c>
      <c r="I362" s="64"/>
      <c r="J362" s="64"/>
      <c r="K362" s="63">
        <f>SUM(H362:J362)</f>
        <v>452153.3999999999</v>
      </c>
    </row>
    <row r="363" spans="1:11" ht="12.75" customHeight="1">
      <c r="A363" s="26" t="s">
        <v>199</v>
      </c>
      <c r="B363" s="64"/>
      <c r="C363" s="64"/>
      <c r="D363" s="64"/>
      <c r="E363" s="63"/>
      <c r="F363" s="64">
        <v>-65223.3</v>
      </c>
      <c r="G363" s="64"/>
      <c r="H363" s="63">
        <f>SUM(E363:G363)</f>
        <v>-65223.3</v>
      </c>
      <c r="I363" s="64"/>
      <c r="J363" s="64"/>
      <c r="K363" s="63">
        <f>SUM(H363:J363)</f>
        <v>-65223.3</v>
      </c>
    </row>
    <row r="364" spans="1:11" ht="12.75" customHeight="1">
      <c r="A364" s="26" t="s">
        <v>164</v>
      </c>
      <c r="B364" s="62"/>
      <c r="C364" s="64">
        <v>129576.4</v>
      </c>
      <c r="D364" s="64">
        <v>59019.8</v>
      </c>
      <c r="E364" s="63">
        <f>SUM(B364:D364)</f>
        <v>188596.2</v>
      </c>
      <c r="F364" s="64">
        <v>7000</v>
      </c>
      <c r="G364" s="64">
        <v>474232.1</v>
      </c>
      <c r="H364" s="63">
        <f>SUM(E364:G364)</f>
        <v>669828.3</v>
      </c>
      <c r="I364" s="64"/>
      <c r="J364" s="64"/>
      <c r="K364" s="63">
        <f>SUM(H364:J364)</f>
        <v>669828.3</v>
      </c>
    </row>
    <row r="365" spans="1:11" ht="12.75" customHeight="1" thickBot="1">
      <c r="A365" s="27" t="s">
        <v>167</v>
      </c>
      <c r="B365" s="65"/>
      <c r="C365" s="65">
        <v>400</v>
      </c>
      <c r="D365" s="65"/>
      <c r="E365" s="66">
        <f>SUM(B365:D365)</f>
        <v>400</v>
      </c>
      <c r="F365" s="65"/>
      <c r="G365" s="65"/>
      <c r="H365" s="66">
        <f>SUM(E365:G365)</f>
        <v>400</v>
      </c>
      <c r="I365" s="65"/>
      <c r="J365" s="65"/>
      <c r="K365" s="66">
        <f>SUM(H365:J365)</f>
        <v>400</v>
      </c>
    </row>
    <row r="366" spans="1:5" ht="15" customHeight="1">
      <c r="A366" s="15"/>
      <c r="B366" s="22"/>
      <c r="C366" s="21"/>
      <c r="D366" s="21"/>
      <c r="E366" s="22"/>
    </row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spans="1:2" ht="12.75" customHeight="1">
      <c r="A376" s="14"/>
      <c r="B376" s="24"/>
    </row>
    <row r="377" ht="12.75" customHeight="1"/>
    <row r="378" spans="1:2" ht="12.75" customHeight="1">
      <c r="A378" s="14"/>
      <c r="B378" s="24"/>
    </row>
    <row r="379" ht="12.75" customHeight="1"/>
    <row r="380" ht="12.75" customHeight="1">
      <c r="A380" s="23"/>
    </row>
    <row r="381" ht="12.75" customHeight="1">
      <c r="A381" s="23"/>
    </row>
    <row r="382" ht="12.75" customHeight="1">
      <c r="A382" s="23"/>
    </row>
    <row r="383" ht="12.75" customHeight="1">
      <c r="A383" s="23"/>
    </row>
    <row r="384" ht="15" customHeight="1">
      <c r="A384" s="23"/>
    </row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</sheetData>
  <mergeCells count="5">
    <mergeCell ref="A7:A8"/>
    <mergeCell ref="A2:K2"/>
    <mergeCell ref="A3:K3"/>
    <mergeCell ref="A4:K4"/>
    <mergeCell ref="A5:K5"/>
  </mergeCells>
  <printOptions horizontalCentered="1"/>
  <pageMargins left="0.1968503937007874" right="0.1968503937007874" top="0.984251968503937" bottom="0.5905511811023623" header="0.5118110236220472" footer="0.3937007874015748"/>
  <pageSetup horizontalDpi="600" verticalDpi="600" orientation="portrait" paperSize="9" scale="90" r:id="rId1"/>
  <headerFooter alignWithMargins="0">
    <oddHeader>&amp;RPříloha č. 1</oddHeader>
    <oddFooter>&amp;CStránka &amp;P</oddFooter>
  </headerFooter>
  <rowBreaks count="5" manualBreakCount="5">
    <brk id="67" max="255" man="1"/>
    <brk id="123" max="255" man="1"/>
    <brk id="185" max="10" man="1"/>
    <brk id="248" max="255" man="1"/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2007-08-08T05:59:54Z</cp:lastPrinted>
  <dcterms:created xsi:type="dcterms:W3CDTF">1997-01-24T11:07:25Z</dcterms:created>
  <dcterms:modified xsi:type="dcterms:W3CDTF">2007-08-17T07:37:24Z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-435170405</vt:i4>
  </property>
  <property fmtid="{D5CDD505-2E9C-101B-9397-08002B2CF9AE}" pid="3" name="_EmailSubject">
    <vt:lpwstr>3.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-1027124104</vt:i4>
  </property>
</Properties>
</file>