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92" windowHeight="8208" activeTab="1"/>
  </bookViews>
  <sheets>
    <sheet name="1.ZR" sheetId="1" r:id="rId1"/>
    <sheet name="1.ZR vč.PN" sheetId="2" r:id="rId2"/>
    <sheet name="List3" sheetId="3" r:id="rId3"/>
  </sheets>
  <definedNames>
    <definedName name="_xlnm.Print_Titles" localSheetId="0">'1.ZR'!$4:$6</definedName>
    <definedName name="_xlnm.Print_Titles" localSheetId="1">'1.ZR vč.PN'!$4:$6</definedName>
    <definedName name="_xlnm.Print_Area" localSheetId="0">'1.ZR'!$A$1:$AC$132</definedName>
    <definedName name="_xlnm.Print_Area" localSheetId="1">'1.ZR vč.PN'!$A$1:$AC$132</definedName>
  </definedNames>
  <calcPr fullCalcOnLoad="1"/>
</workbook>
</file>

<file path=xl/sharedStrings.xml><?xml version="1.0" encoding="utf-8"?>
<sst xmlns="http://schemas.openxmlformats.org/spreadsheetml/2006/main" count="566" uniqueCount="230">
  <si>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</si>
  <si>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</si>
  <si>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</si>
  <si>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</si>
  <si>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</si>
  <si>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</si>
  <si>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</si>
  <si>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</si>
  <si>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</si>
  <si>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</si>
  <si>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</si>
  <si>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</si>
  <si>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</si>
  <si>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</si>
  <si>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</si>
  <si>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</si>
  <si>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</si>
  <si>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</si>
  <si>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</si>
  <si>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</si>
  <si>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</si>
  <si>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</si>
  <si>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</si>
  <si>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</si>
  <si>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</si>
  <si>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</si>
  <si>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</si>
  <si>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</si>
  <si>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</si>
  <si>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</si>
  <si>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</si>
  <si>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</si>
  <si>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</si>
  <si>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</si>
  <si>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</si>
  <si>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</si>
  <si>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</si>
  <si>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</si>
  <si>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</si>
  <si>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</si>
  <si>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</si>
  <si>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</si>
  <si>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</si>
  <si>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</si>
  <si>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</si>
  <si>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</si>
  <si>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</si>
  <si>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</si>
  <si>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</si>
  <si>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</si>
  <si>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</si>
  <si>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</si>
  <si>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</si>
  <si>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</si>
  <si>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</si>
  <si>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</si>
  <si>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</si>
  <si>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</si>
  <si>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</si>
  <si>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</si>
  <si>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</si>
  <si>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</si>
  <si>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</si>
  <si>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</si>
  <si>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</si>
  <si>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</si>
  <si>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</si>
  <si>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</si>
  <si>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</si>
  <si>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</si>
  <si>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</si>
  <si>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</si>
  <si>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</si>
  <si>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</si>
  <si>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</si>
  <si>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</si>
  <si>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</si>
  <si>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</si>
  <si>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</si>
  <si>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</si>
  <si>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</si>
  <si>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</si>
  <si>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</si>
  <si>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</si>
  <si>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</si>
  <si>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</si>
  <si>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</si>
  <si>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</si>
  <si>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</si>
  <si>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</si>
  <si>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</si>
  <si>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</si>
  <si>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</si>
  <si>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</si>
  <si>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</si>
  <si>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</si>
  <si>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</si>
  <si>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</si>
  <si>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</si>
  <si>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</si>
  <si>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</si>
  <si>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</si>
  <si>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</si>
  <si>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</si>
  <si>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</si>
  <si>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</si>
  <si>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</si>
  <si>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</si>
  <si>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</si>
  <si>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</si>
  <si>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</si>
  <si>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</si>
  <si>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</si>
  <si>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</si>
  <si>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</si>
  <si>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</si>
  <si>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</si>
  <si>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</si>
  <si>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</si>
  <si>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</si>
  <si>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</si>
  <si>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</si>
  <si>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</si>
  <si>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</si>
  <si>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</si>
  <si>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</si>
  <si>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</si>
  <si>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</si>
  <si>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</si>
  <si>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</si>
  <si>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</si>
  <si>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</si>
  <si>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</si>
  <si>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 xml:space="preserve">Schválený rozpočet </t>
  </si>
  <si>
    <t xml:space="preserve">Po 1. změně rozpočtu </t>
  </si>
  <si>
    <t xml:space="preserve">Schválený rozpočet  </t>
  </si>
  <si>
    <t xml:space="preserve">Po 1. ZR </t>
  </si>
  <si>
    <t>Po 1.zm. rozpočtu investiční  transfery</t>
  </si>
  <si>
    <t xml:space="preserve">Schválený rozpočet investiční transfery 
</t>
  </si>
  <si>
    <t xml:space="preserve">Po 1. zm.rozp. neinvest. transfery
</t>
  </si>
  <si>
    <t xml:space="preserve">Schválený rozpočet neinvest. transfery
</t>
  </si>
  <si>
    <t>Investiční transfery PO</t>
  </si>
  <si>
    <t>Závazné ukazatele rozpočtu příspěvkových organizací na rok 2020 z vlastních prostředků kraje</t>
  </si>
  <si>
    <t>Gymnázium, SOŠ a VOŠ Nový Bydžov</t>
  </si>
  <si>
    <t>Školské zařízení pro DVPP KHK, HK, Štefánikova 566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</si>
  <si>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</si>
  <si>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</si>
  <si>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</si>
  <si>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</si>
  <si>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VOŠ zdr.,Stř.zdr. škola a OA,Trutnov</t>
  </si>
  <si>
    <t>SŠ inf.a služeb,Dvůr Králové n.L.,E.Krásnohorské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</si>
  <si>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</si>
  <si>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</si>
  <si>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</si>
  <si>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</si>
  <si>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>SŠ gastronomie a služeb, Trutnov, Volanovská 243</t>
  </si>
  <si>
    <t>v tom:  (v 1.sl. 1843 tis.BV z kap.9; 550 tis. z kap.15)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</si>
  <si>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</si>
  <si>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</si>
  <si>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</si>
  <si>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</si>
  <si>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</si>
  <si>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</si>
  <si>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</si>
  <si>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</si>
  <si>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</si>
  <si>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Školské zařízení pro DVPP KHK, HK (ve sl.1 je 1 843tis.z kap.09)</t>
  </si>
  <si>
    <t>Gymnázium B.Němcové, HK, Pospíšilova tř.324   126,8tis.z kap.9</t>
  </si>
  <si>
    <t>Gymnázium J.K.Tyla,HK,Tylovo nábřeží 682      247tis.z kap.9</t>
  </si>
  <si>
    <t>Gymnázium, SOŠ a VOŠ Nový Bydžov    82tis.z kap.9</t>
  </si>
  <si>
    <t>Střední průmyslová škola stavební,HK,Pospíšilova tř.787      85tis.z kap.9</t>
  </si>
  <si>
    <t>SOŠ veterinární,HK-Kukleny,Pražská 68      126,4tis.z kap.9</t>
  </si>
  <si>
    <t>SPŠ, SOŠ a SOU, HK, Hradební 1029      219,4tis.z kap.9</t>
  </si>
  <si>
    <t>SOŠ a SOU, HK, Vocelova 1338       202tis.z kap.9</t>
  </si>
  <si>
    <t>OA,SOŠ a JŠ s právem st.jaz.zk.,HK,Pospíšilova 365     297tis.z kap.9</t>
  </si>
  <si>
    <t>VOŠ zdravotnická a SZŠ, HK , Komenského 234     142,2tis.z kap.9</t>
  </si>
  <si>
    <t>Stř.uměleckoprům.šk.HNN, HK, 17.listopadu 1202     41tis.z kap.9</t>
  </si>
  <si>
    <t>SŠ služeb,obchodu a gastronomie, HK, Velká 3     91tis.z kap.9</t>
  </si>
  <si>
    <t>SŠ profesní přípravy,Hradec Králové,17.listopadu 1212    207,9tis.z kap.9</t>
  </si>
  <si>
    <t>MŠ, Speciální ZŠ a Praktická škola,HK,Hradecká 1231      26tis.z kap.9</t>
  </si>
  <si>
    <t>Dětský domov a ŠJ, Nechanice,Hrádecká 267     59tis.z kap.9</t>
  </si>
  <si>
    <t>ZŠ, Nový Bydžov, F. Palackého 1240     34tis.z kap.9</t>
  </si>
  <si>
    <t>ZŠ a MŠ při Fakultní nemocnici, HK,Sokolská tř. 581    77,5tis.z kap9</t>
  </si>
  <si>
    <t>Domov mládeže,internát a ŠJ, HK,  Vocelova 1469/5      108,5tis.z kap.9</t>
  </si>
  <si>
    <t>Gymnázium,Broumov,Hradební 218    192tis.z kap.9</t>
  </si>
  <si>
    <t>Gymnázium Jaroslava Žáka,Jaroměř,Lužická 423     62,7tis.z kap.9</t>
  </si>
  <si>
    <t>Jiráskovo gymnázium,Náchod,Řezníčkova 451      251tis.z kap.9</t>
  </si>
  <si>
    <t>SPŠ, OŠ a ZŠ, Nové Město n.Met., Čs. armády 376      29,95tis.z kap.9</t>
  </si>
  <si>
    <t>Dětský domov,ZŠ spec. a PrŠ,Jaroměř,Palackého 142    32,9tis.z kap.9</t>
  </si>
  <si>
    <t>ZŠ logoped.a MŠ logop.,Choustníkovo Hradiště    23,4tis.z kap.9</t>
  </si>
  <si>
    <t>ZŠ a PrŠ,Broumov,Kladská 164     16,3tis.z kap.9</t>
  </si>
  <si>
    <t>PrŠ, ZŠ a MŠ Josefa  Zemana,Náchod,Jiráskova 461    22tis.z kap.9</t>
  </si>
  <si>
    <t>Gymnázium F.M.Pelcla,RK,Hrdinů odboje 36      85,5tis.z kap.9</t>
  </si>
  <si>
    <t>Gymnázium,Dobruška,Pulická 779     72,8tis.z kap.9</t>
  </si>
  <si>
    <t>SPŠ elektrotech.a inf.techn.,Dobruška    66tis.z kap.9</t>
  </si>
  <si>
    <t>OA T.G.Masaryka,Kostelec n.O.,Komenského 522     140tis.z kap.9</t>
  </si>
  <si>
    <t>SZŠ a SOU chlad.a klim.tech.,Kostelec n/O    57,65tis.z kap.9</t>
  </si>
  <si>
    <t>Základní škola,Dobruška,Opočenská 115     83,8tis.z kap.9</t>
  </si>
  <si>
    <t>Dětský domov a ŠJ,Sedloňov 153    37tis.z kap.9</t>
  </si>
  <si>
    <t>ZŠ a PrŠ, Rychnov nad Kněžnou,Kolowratská 485      83,25tis.z kap.9</t>
  </si>
  <si>
    <t>G a SOŠ pedagogická,Nová Paka,Kumburská 740    245,9tis.z kap.9</t>
  </si>
  <si>
    <t>Masarykova obch.akademie,Jičín,17.listopadu 220     90tis.z kap.9</t>
  </si>
  <si>
    <t>VOŠ a SPŠ,Jičín,Pod Koželuhy 100    89tis.z kap.9</t>
  </si>
  <si>
    <t>SPŠ kamenická a sochařská,Hořice,Husova 675     144tis.z kap.9</t>
  </si>
  <si>
    <t>Střední škola zahradnická,Kopidlno, nám.Hilmarovo 1    115tis.z kap.9</t>
  </si>
  <si>
    <t>SŠ gastronomie a sl.,Nová Paka,Masarykovo nám.2      42,2tis.z kap.9</t>
  </si>
  <si>
    <t>Střední škola řemesel a Základní škola, Hořice      89,3tis.z kap.9</t>
  </si>
  <si>
    <t>Gymnázium,Dvůr Králové nad Labem,nám.Odboje 304      81tis.z kap.9</t>
  </si>
  <si>
    <t>Gymnázium,Trutnov,Jiráskovo náměstí 325     72,2tis.z kap.9</t>
  </si>
  <si>
    <t>Krkonošské G a SOŠ,Vrchlabí,Komenského 586      60tis.z kap.9</t>
  </si>
  <si>
    <t>Česká les.akademie Trutnov - SŠ a VOŠ, Lesnická 9    62,7tis.z kap.9</t>
  </si>
  <si>
    <t>VOŠ zdr.,Stř.zdr. škola a OA,Trutnov (v 1.sl.550tis.z kap.15)   250,9tis.z kap.9</t>
  </si>
  <si>
    <t>SŠ inf.a služeb,Dvůr Králové n.L.,E.Krásnohorské     118tis.z kap.9</t>
  </si>
  <si>
    <t>SPŠ,Trutnov,Školní 101      67tis.z kap.9</t>
  </si>
  <si>
    <t>Střední škola a Základní škola Sluneční, Hostinné     71tis.z kap.9</t>
  </si>
  <si>
    <t>ZŠ a PrŠ,Dvůr Králové nad Labem,Přemyslova 479      30tis.z kap.9</t>
  </si>
  <si>
    <t>Dětský domov, ZŠ a ŠJ,Dolní Lánov 240    81tis.z kap.9</t>
  </si>
  <si>
    <t>Spec.ZŠ Augustina Bartoše,Úpice,Nábř.pplk.A.B.660    9,5tis.z kap.9</t>
  </si>
  <si>
    <t>MŠ, ZŠ a Praktická škola, Trutnov    13tis.z kap.9</t>
  </si>
  <si>
    <t>ZŠ a MŠ,Vrchlabí,Krkonošská 230     11tis.z kap.9</t>
  </si>
  <si>
    <t>SŠ technická a řemeslná,Nový Bydžov, M.Tyrše 112     115tis.z kap.9</t>
  </si>
  <si>
    <t>SŠ řemeslná,Jaroměř,Studničkova 260     137,8tis.z kap.9</t>
  </si>
  <si>
    <t>VOŠ a SPŠ, Rychnov nad Kněžnou, U Stadionu 1166    59tis.z kap.9</t>
  </si>
  <si>
    <t>Zemědělská akademie a Gymnázium Hořice-SŠ a VOŠ     188tis.z kap.9</t>
  </si>
  <si>
    <t>SPŠ staveb.a OA arch.J.Letzela, PO, Náchod     83tis.z kap.9</t>
  </si>
  <si>
    <t>SŠ gastronomie a služeb, Trutnov, Volanovská 243     291,8tis.z kap.9</t>
  </si>
  <si>
    <t>DOMOV NA STŘÍBRNÉM VRCHU  Rokytnice v O.h.   Kofi 250tis.z kap.28</t>
  </si>
  <si>
    <t>Domov důchodců Dvůr Králové nad Labem     Kofi 250tis.z kap.28</t>
  </si>
  <si>
    <t>CIRI  Hradec Králové - kofi a předfi    340tis.z kap.2; 400tis.z kap.39; 1003,48tis.z kap.13</t>
  </si>
  <si>
    <t>Sdružení ozdr.a léčeben okr.Trutnov     kofi 15000tis.BV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</si>
</sst>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4" fontId="2" fillId="0" borderId="11" xfId="37" applyFont="1" applyBorder="1" applyAlignment="1">
      <alignment wrapText="1"/>
    </xf>
    <xf numFmtId="44" fontId="13" fillId="0" borderId="11" xfId="37" applyFont="1" applyBorder="1" applyAlignment="1">
      <alignment horizontal="left" vertical="top"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7" applyFont="1" applyBorder="1" applyAlignment="1">
      <alignment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10" fillId="0" borderId="18" xfId="37" applyFont="1" applyBorder="1" applyAlignment="1">
      <alignment/>
    </xf>
    <xf numFmtId="4" fontId="0" fillId="0" borderId="18" xfId="37" applyNumberFormat="1" applyBorder="1" applyAlignment="1">
      <alignment/>
    </xf>
    <xf numFmtId="44" fontId="10" fillId="0" borderId="10" xfId="37" applyFont="1" applyBorder="1" applyAlignment="1">
      <alignment/>
    </xf>
    <xf numFmtId="44" fontId="10" fillId="0" borderId="19" xfId="37" applyFont="1" applyBorder="1" applyAlignment="1">
      <alignment/>
    </xf>
    <xf numFmtId="44" fontId="13" fillId="0" borderId="11" xfId="37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0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4" t="s">
        <v>142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6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5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5" t="s">
        <v>13</v>
      </c>
      <c r="B4" s="87" t="s">
        <v>33</v>
      </c>
      <c r="C4" s="89" t="s">
        <v>0</v>
      </c>
      <c r="D4" s="98" t="s">
        <v>54</v>
      </c>
      <c r="E4" s="92"/>
      <c r="F4" s="92"/>
      <c r="G4" s="92"/>
      <c r="H4" s="93"/>
      <c r="I4" s="14"/>
      <c r="J4" s="98" t="s">
        <v>141</v>
      </c>
      <c r="K4" s="92"/>
      <c r="L4" s="93"/>
      <c r="M4" s="15"/>
      <c r="N4" s="91" t="s">
        <v>88</v>
      </c>
      <c r="O4" s="99"/>
      <c r="P4" s="100"/>
      <c r="Q4" s="30"/>
      <c r="R4" s="85" t="s">
        <v>13</v>
      </c>
      <c r="S4" s="87" t="s">
        <v>33</v>
      </c>
      <c r="T4" s="89" t="s">
        <v>0</v>
      </c>
      <c r="U4" s="91" t="s">
        <v>75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96"/>
      <c r="B5" s="96"/>
      <c r="C5" s="97"/>
      <c r="D5" s="16" t="s">
        <v>133</v>
      </c>
      <c r="E5" s="16" t="s">
        <v>57</v>
      </c>
      <c r="F5" s="16" t="s">
        <v>60</v>
      </c>
      <c r="G5" s="17" t="s">
        <v>55</v>
      </c>
      <c r="H5" s="16" t="s">
        <v>134</v>
      </c>
      <c r="I5" s="16"/>
      <c r="J5" s="18" t="s">
        <v>135</v>
      </c>
      <c r="K5" s="18" t="s">
        <v>61</v>
      </c>
      <c r="L5" s="18" t="s">
        <v>136</v>
      </c>
      <c r="M5" s="18"/>
      <c r="N5" s="37" t="s">
        <v>133</v>
      </c>
      <c r="O5" s="16" t="s">
        <v>57</v>
      </c>
      <c r="P5" s="19" t="s">
        <v>134</v>
      </c>
      <c r="Q5" s="19"/>
      <c r="R5" s="86"/>
      <c r="S5" s="88"/>
      <c r="T5" s="90"/>
      <c r="U5" s="27" t="s">
        <v>140</v>
      </c>
      <c r="V5" s="27" t="s">
        <v>56</v>
      </c>
      <c r="W5" s="27" t="s">
        <v>60</v>
      </c>
      <c r="X5" s="27" t="s">
        <v>139</v>
      </c>
      <c r="Y5" s="18"/>
      <c r="Z5" s="27" t="s">
        <v>138</v>
      </c>
      <c r="AA5" s="27" t="s">
        <v>56</v>
      </c>
      <c r="AB5" s="27" t="s">
        <v>60</v>
      </c>
      <c r="AC5" s="27" t="s">
        <v>137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28000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28000</v>
      </c>
      <c r="I7" s="42">
        <f t="shared" si="0"/>
        <v>0</v>
      </c>
      <c r="J7" s="42">
        <f t="shared" si="0"/>
        <v>2500</v>
      </c>
      <c r="K7" s="42">
        <f t="shared" si="0"/>
        <v>0</v>
      </c>
      <c r="L7" s="42">
        <f t="shared" si="0"/>
        <v>2500</v>
      </c>
      <c r="M7" s="42">
        <f t="shared" si="0"/>
        <v>0</v>
      </c>
      <c r="N7" s="42">
        <f t="shared" si="0"/>
        <v>899.66</v>
      </c>
      <c r="O7" s="42">
        <f t="shared" si="0"/>
        <v>0</v>
      </c>
      <c r="P7" s="42">
        <f t="shared" si="0"/>
        <v>899.66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28000</v>
      </c>
      <c r="E9" s="44"/>
      <c r="F9" s="45"/>
      <c r="G9" s="44"/>
      <c r="H9" s="44">
        <f>D9+E9+F9+G9</f>
        <v>28000</v>
      </c>
      <c r="I9" s="44"/>
      <c r="J9" s="44">
        <v>2500</v>
      </c>
      <c r="K9" s="44"/>
      <c r="L9" s="44">
        <f>J9+K9</f>
        <v>2500</v>
      </c>
      <c r="M9" s="44"/>
      <c r="N9" s="44">
        <v>899.66</v>
      </c>
      <c r="O9" s="44"/>
      <c r="P9" s="44">
        <f>N9+O9</f>
        <v>899.66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49554.41</v>
      </c>
      <c r="E10" s="42">
        <f aca="true" t="shared" si="1" ref="E10:P10">E13+E12</f>
        <v>2350</v>
      </c>
      <c r="F10" s="42">
        <f t="shared" si="1"/>
        <v>0</v>
      </c>
      <c r="G10" s="42">
        <f t="shared" si="1"/>
        <v>1743.48</v>
      </c>
      <c r="H10" s="42">
        <f t="shared" si="1"/>
        <v>53647.89</v>
      </c>
      <c r="I10" s="42">
        <f t="shared" si="1"/>
        <v>0</v>
      </c>
      <c r="J10" s="42">
        <f t="shared" si="1"/>
        <v>1000</v>
      </c>
      <c r="K10" s="42">
        <f t="shared" si="1"/>
        <v>0</v>
      </c>
      <c r="L10" s="42">
        <f t="shared" si="1"/>
        <v>1000</v>
      </c>
      <c r="M10" s="42">
        <f t="shared" si="1"/>
        <v>0</v>
      </c>
      <c r="N10" s="42">
        <f t="shared" si="1"/>
        <v>512.75</v>
      </c>
      <c r="O10" s="42">
        <f t="shared" si="1"/>
        <v>0</v>
      </c>
      <c r="P10" s="42">
        <f t="shared" si="1"/>
        <v>512.75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35554.41</v>
      </c>
      <c r="E12" s="44"/>
      <c r="F12" s="44"/>
      <c r="G12" s="44"/>
      <c r="H12" s="44">
        <f>D12+E12+F12+G12</f>
        <v>35554.41</v>
      </c>
      <c r="I12" s="44"/>
      <c r="J12" s="44"/>
      <c r="K12" s="44"/>
      <c r="L12" s="44">
        <f>J12+K12</f>
        <v>0</v>
      </c>
      <c r="M12" s="44"/>
      <c r="N12" s="44">
        <v>512.75</v>
      </c>
      <c r="O12" s="44"/>
      <c r="P12" s="44">
        <f>N12+O12</f>
        <v>512.75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4.75" customHeight="1">
      <c r="A13" s="36">
        <v>3639</v>
      </c>
      <c r="B13" s="4">
        <v>902</v>
      </c>
      <c r="C13" s="39" t="s">
        <v>228</v>
      </c>
      <c r="D13" s="55">
        <v>14000</v>
      </c>
      <c r="E13" s="48">
        <f>2350</f>
        <v>2350</v>
      </c>
      <c r="F13" s="44"/>
      <c r="G13" s="44">
        <f>340+400+954+49.48</f>
        <v>1743.48</v>
      </c>
      <c r="H13" s="44">
        <f>D13+E13+F13+G13</f>
        <v>18093.48</v>
      </c>
      <c r="I13" s="44"/>
      <c r="J13" s="44">
        <v>1000</v>
      </c>
      <c r="K13" s="44"/>
      <c r="L13" s="44">
        <f>J13+K13</f>
        <v>1000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296650</v>
      </c>
      <c r="E14" s="51">
        <f aca="true" t="shared" si="2" ref="E14:P14">SUM(E16:E20)</f>
        <v>15000</v>
      </c>
      <c r="F14" s="51">
        <f t="shared" si="2"/>
        <v>0</v>
      </c>
      <c r="G14" s="51">
        <f t="shared" si="2"/>
        <v>0</v>
      </c>
      <c r="H14" s="51">
        <f t="shared" si="2"/>
        <v>311650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12500</v>
      </c>
      <c r="N14" s="51">
        <f t="shared" si="2"/>
        <v>23039</v>
      </c>
      <c r="O14" s="51">
        <f t="shared" si="2"/>
        <v>0</v>
      </c>
      <c r="P14" s="51">
        <f t="shared" si="2"/>
        <v>23039</v>
      </c>
      <c r="Q14" s="51"/>
      <c r="R14" s="62"/>
      <c r="S14" s="61"/>
      <c r="T14" s="51" t="s">
        <v>71</v>
      </c>
      <c r="U14" s="51">
        <f>SUM(U16:U20)</f>
        <v>200</v>
      </c>
      <c r="V14" s="51">
        <f>SUM(V16:V20)</f>
        <v>745.74</v>
      </c>
      <c r="W14" s="51">
        <f>SUM(W16:W20)</f>
        <v>0</v>
      </c>
      <c r="X14" s="51">
        <f>SUM(X16:X20)</f>
        <v>945.74</v>
      </c>
      <c r="Y14" s="51"/>
      <c r="Z14" s="51">
        <f>SUM(Z16:Z20)</f>
        <v>28865.11</v>
      </c>
      <c r="AA14" s="51">
        <f>SUM(AA16:AA20)</f>
        <v>9582.01</v>
      </c>
      <c r="AB14" s="51">
        <f>SUM(AB16:AB20)</f>
        <v>0</v>
      </c>
      <c r="AC14" s="51">
        <f>SUM(AC16:AC20)</f>
        <v>38447.119999999995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229</v>
      </c>
      <c r="D16" s="44">
        <v>40762</v>
      </c>
      <c r="E16" s="44">
        <f>7500+7500</f>
        <v>15000</v>
      </c>
      <c r="F16" s="44"/>
      <c r="G16" s="44"/>
      <c r="H16" s="44">
        <f>D16+E16+F16+G16</f>
        <v>55762</v>
      </c>
      <c r="I16" s="44"/>
      <c r="J16" s="44"/>
      <c r="K16" s="48"/>
      <c r="L16" s="44">
        <f>J16+K16</f>
        <v>0</v>
      </c>
      <c r="M16" s="44"/>
      <c r="N16" s="44">
        <v>8861</v>
      </c>
      <c r="O16" s="44"/>
      <c r="P16" s="44">
        <f>N16+O16</f>
        <v>8861</v>
      </c>
      <c r="Q16" s="44"/>
      <c r="R16" s="62">
        <v>3526</v>
      </c>
      <c r="S16" s="4">
        <v>507</v>
      </c>
      <c r="T16" s="52" t="s">
        <v>24</v>
      </c>
      <c r="U16" s="44">
        <v>200</v>
      </c>
      <c r="V16" s="44">
        <f>745.74</f>
        <v>745.74</v>
      </c>
      <c r="W16" s="44"/>
      <c r="X16" s="44">
        <f>SUM(U16:W16)</f>
        <v>945.74</v>
      </c>
      <c r="Y16" s="44"/>
      <c r="Z16" s="44">
        <v>6360.11</v>
      </c>
      <c r="AA16" s="48">
        <f>600</f>
        <v>600</v>
      </c>
      <c r="AB16" s="44"/>
      <c r="AC16" s="44">
        <f>SUM(Z16:AB16)</f>
        <v>6960.11</v>
      </c>
    </row>
    <row r="17" spans="1:29" ht="12.75">
      <c r="A17" s="36">
        <v>3524</v>
      </c>
      <c r="B17" s="4">
        <v>508</v>
      </c>
      <c r="C17" s="7" t="s">
        <v>25</v>
      </c>
      <c r="D17" s="44">
        <v>10190</v>
      </c>
      <c r="E17" s="44"/>
      <c r="F17" s="44"/>
      <c r="G17" s="44"/>
      <c r="H17" s="44">
        <f>D17+E17+F17+G17</f>
        <v>10190</v>
      </c>
      <c r="I17" s="44"/>
      <c r="J17" s="53"/>
      <c r="K17" s="53"/>
      <c r="L17" s="55">
        <f>J17+K17</f>
        <v>0</v>
      </c>
      <c r="M17" s="44"/>
      <c r="N17" s="44">
        <v>325</v>
      </c>
      <c r="O17" s="44"/>
      <c r="P17" s="44">
        <f>N17+O17</f>
        <v>325</v>
      </c>
      <c r="Q17" s="44"/>
      <c r="R17" s="62">
        <v>3524</v>
      </c>
      <c r="S17" s="4">
        <v>508</v>
      </c>
      <c r="T17" s="52" t="s">
        <v>25</v>
      </c>
      <c r="U17" s="44"/>
      <c r="V17" s="44"/>
      <c r="W17" s="44"/>
      <c r="X17" s="44">
        <f>SUM(U17:W17)</f>
        <v>0</v>
      </c>
      <c r="Y17" s="44"/>
      <c r="Z17" s="44"/>
      <c r="AA17" s="44">
        <f>5178.89</f>
        <v>5178.89</v>
      </c>
      <c r="AB17" s="44"/>
      <c r="AC17" s="44">
        <f>SUM(Z17:AB17)</f>
        <v>5178.89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3215</v>
      </c>
      <c r="E18" s="44"/>
      <c r="F18" s="44"/>
      <c r="G18" s="44"/>
      <c r="H18" s="44">
        <f>D18+E18+F18+G18</f>
        <v>3215</v>
      </c>
      <c r="I18" s="44"/>
      <c r="J18" s="44"/>
      <c r="K18" s="54"/>
      <c r="L18" s="44">
        <f>J18+K18</f>
        <v>0</v>
      </c>
      <c r="M18" s="44"/>
      <c r="N18" s="44">
        <v>309</v>
      </c>
      <c r="O18" s="44"/>
      <c r="P18" s="44">
        <f>N18+O18</f>
        <v>309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232698</v>
      </c>
      <c r="E19" s="44"/>
      <c r="F19" s="44"/>
      <c r="G19" s="44"/>
      <c r="H19" s="44">
        <f>D19+E19+F19+G19</f>
        <v>232698</v>
      </c>
      <c r="I19" s="44"/>
      <c r="J19" s="44"/>
      <c r="K19" s="44"/>
      <c r="L19" s="44">
        <f>J19+K19</f>
        <v>0</v>
      </c>
      <c r="M19" s="44">
        <v>12500</v>
      </c>
      <c r="N19" s="44">
        <v>13544</v>
      </c>
      <c r="O19" s="44"/>
      <c r="P19" s="44">
        <f>N19+O19</f>
        <v>13544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22505</v>
      </c>
      <c r="AA19" s="44">
        <f>3803.12</f>
        <v>3803.12</v>
      </c>
      <c r="AB19" s="44"/>
      <c r="AC19" s="44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4">
        <v>9785</v>
      </c>
      <c r="E20" s="44"/>
      <c r="F20" s="44"/>
      <c r="G20" s="44"/>
      <c r="H20" s="44">
        <f>D20+E20+F20+G20</f>
        <v>9785</v>
      </c>
      <c r="I20" s="44"/>
      <c r="J20" s="44"/>
      <c r="K20" s="44"/>
      <c r="L20" s="44">
        <f>J20+K20</f>
        <v>0</v>
      </c>
      <c r="M20" s="44"/>
      <c r="N20" s="44">
        <v>0</v>
      </c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190968.5</v>
      </c>
      <c r="E21" s="42">
        <f aca="true" t="shared" si="3" ref="E21:P21">SUM(E23:E32)</f>
        <v>9879.199999999999</v>
      </c>
      <c r="F21" s="42">
        <f t="shared" si="3"/>
        <v>0</v>
      </c>
      <c r="G21" s="42">
        <f t="shared" si="3"/>
        <v>0</v>
      </c>
      <c r="H21" s="42">
        <f t="shared" si="3"/>
        <v>200847.7</v>
      </c>
      <c r="I21" s="42">
        <f t="shared" si="3"/>
        <v>0</v>
      </c>
      <c r="J21" s="42">
        <f t="shared" si="3"/>
        <v>2850</v>
      </c>
      <c r="K21" s="42">
        <f t="shared" si="3"/>
        <v>0</v>
      </c>
      <c r="L21" s="42">
        <f t="shared" si="3"/>
        <v>2850</v>
      </c>
      <c r="M21" s="42">
        <f t="shared" si="3"/>
        <v>0</v>
      </c>
      <c r="N21" s="42">
        <f t="shared" si="3"/>
        <v>9557.2</v>
      </c>
      <c r="O21" s="43">
        <f t="shared" si="3"/>
        <v>0</v>
      </c>
      <c r="P21" s="42">
        <f t="shared" si="3"/>
        <v>9557.2</v>
      </c>
      <c r="Q21" s="42"/>
      <c r="R21" s="60"/>
      <c r="S21" s="61"/>
      <c r="T21" s="42" t="s">
        <v>72</v>
      </c>
      <c r="U21" s="42">
        <f>SUM(U23:U32)</f>
        <v>99</v>
      </c>
      <c r="V21" s="42">
        <f>SUM(V23:V32)</f>
        <v>0</v>
      </c>
      <c r="W21" s="42">
        <f>SUM(W23:W32)</f>
        <v>0</v>
      </c>
      <c r="X21" s="42">
        <f>SUM(X23:X32)</f>
        <v>99</v>
      </c>
      <c r="Y21" s="42"/>
      <c r="Z21" s="42">
        <f>SUM(Z23:Z32)</f>
        <v>3201</v>
      </c>
      <c r="AA21" s="76">
        <f>SUM(AA23:AA32)</f>
        <v>1700</v>
      </c>
      <c r="AB21" s="42">
        <f>SUM(AB23:AB32)</f>
        <v>0</v>
      </c>
      <c r="AC21" s="42">
        <f>SUM(AC23:AC32)</f>
        <v>4901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16382.4</v>
      </c>
      <c r="E23" s="44">
        <f>296.76</f>
        <v>296.76</v>
      </c>
      <c r="F23" s="44"/>
      <c r="G23" s="44"/>
      <c r="H23" s="44">
        <f>D23+E23+F23+G23</f>
        <v>16679.16</v>
      </c>
      <c r="I23" s="44"/>
      <c r="J23" s="44">
        <v>1500</v>
      </c>
      <c r="K23" s="44"/>
      <c r="L23" s="44">
        <f aca="true" t="shared" si="4" ref="L23:L32">J23+K23</f>
        <v>1500</v>
      </c>
      <c r="M23" s="44"/>
      <c r="N23" s="44">
        <v>784.5</v>
      </c>
      <c r="O23" s="44"/>
      <c r="P23" s="44">
        <f aca="true" t="shared" si="5" ref="P23:P32">N23+O23</f>
        <v>784.5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>
        <v>650</v>
      </c>
      <c r="AA23" s="48"/>
      <c r="AB23" s="44"/>
      <c r="AC23" s="44">
        <f aca="true" t="shared" si="7" ref="AC23:AC32">SUM(Z23:AB23)</f>
        <v>650</v>
      </c>
    </row>
    <row r="24" spans="1:29" ht="12.75">
      <c r="A24" s="36">
        <v>3315</v>
      </c>
      <c r="B24" s="4">
        <v>602</v>
      </c>
      <c r="C24" s="8" t="s">
        <v>64</v>
      </c>
      <c r="D24" s="44">
        <v>7580.5</v>
      </c>
      <c r="E24" s="44">
        <f>248.25</f>
        <v>248.25</v>
      </c>
      <c r="F24" s="44"/>
      <c r="G24" s="44"/>
      <c r="H24" s="44">
        <f aca="true" t="shared" si="8" ref="H24:H32">D24+E24+F24+G24</f>
        <v>7828.75</v>
      </c>
      <c r="I24" s="44"/>
      <c r="J24" s="44">
        <v>500</v>
      </c>
      <c r="K24" s="44"/>
      <c r="L24" s="44">
        <f t="shared" si="4"/>
        <v>500</v>
      </c>
      <c r="M24" s="44"/>
      <c r="N24" s="44">
        <v>177</v>
      </c>
      <c r="O24" s="44"/>
      <c r="P24" s="44">
        <f t="shared" si="5"/>
        <v>177</v>
      </c>
      <c r="Q24" s="44"/>
      <c r="R24" s="62">
        <v>3315</v>
      </c>
      <c r="S24" s="4">
        <v>602</v>
      </c>
      <c r="T24" s="47" t="s">
        <v>5</v>
      </c>
      <c r="U24" s="44"/>
      <c r="V24" s="44"/>
      <c r="W24" s="44"/>
      <c r="X24" s="44">
        <f t="shared" si="6"/>
        <v>0</v>
      </c>
      <c r="Y24" s="44"/>
      <c r="Z24" s="44"/>
      <c r="AA24" s="48"/>
      <c r="AB24" s="44"/>
      <c r="AC24" s="44">
        <f t="shared" si="7"/>
        <v>0</v>
      </c>
    </row>
    <row r="25" spans="1:29" ht="12.75">
      <c r="A25" s="36">
        <v>3315</v>
      </c>
      <c r="B25" s="4">
        <v>603</v>
      </c>
      <c r="C25" s="40" t="s">
        <v>80</v>
      </c>
      <c r="D25" s="44">
        <v>42543.5</v>
      </c>
      <c r="E25" s="44">
        <f>465.6+1805+1286.76</f>
        <v>3557.3599999999997</v>
      </c>
      <c r="F25" s="44"/>
      <c r="G25" s="44"/>
      <c r="H25" s="44">
        <f t="shared" si="8"/>
        <v>46100.86</v>
      </c>
      <c r="I25" s="44"/>
      <c r="J25" s="44">
        <v>300</v>
      </c>
      <c r="K25" s="44"/>
      <c r="L25" s="44">
        <f t="shared" si="4"/>
        <v>300</v>
      </c>
      <c r="M25" s="44"/>
      <c r="N25" s="44">
        <v>1230</v>
      </c>
      <c r="O25" s="44"/>
      <c r="P25" s="44">
        <f t="shared" si="5"/>
        <v>1230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>
        <v>674</v>
      </c>
      <c r="AA25" s="48"/>
      <c r="AB25" s="44"/>
      <c r="AC25" s="44">
        <f t="shared" si="7"/>
        <v>674</v>
      </c>
    </row>
    <row r="26" spans="1:29" ht="12.75">
      <c r="A26" s="36">
        <v>3314</v>
      </c>
      <c r="B26" s="4">
        <v>604</v>
      </c>
      <c r="C26" s="8" t="s">
        <v>39</v>
      </c>
      <c r="D26" s="44">
        <v>62440.7</v>
      </c>
      <c r="E26" s="44">
        <f>309.6+1694.25</f>
        <v>2003.85</v>
      </c>
      <c r="F26" s="44"/>
      <c r="G26" s="44"/>
      <c r="H26" s="44">
        <f t="shared" si="8"/>
        <v>64444.549999999996</v>
      </c>
      <c r="I26" s="44"/>
      <c r="J26" s="44"/>
      <c r="K26" s="44"/>
      <c r="L26" s="44">
        <f t="shared" si="4"/>
        <v>0</v>
      </c>
      <c r="M26" s="44"/>
      <c r="N26" s="44">
        <v>4269.5</v>
      </c>
      <c r="O26" s="44"/>
      <c r="P26" s="44">
        <f t="shared" si="5"/>
        <v>4269.5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/>
      <c r="AA26" s="48">
        <f>1400</f>
        <v>1400</v>
      </c>
      <c r="AB26" s="44"/>
      <c r="AC26" s="44">
        <f t="shared" si="7"/>
        <v>1400</v>
      </c>
    </row>
    <row r="27" spans="1:29" ht="12.75">
      <c r="A27" s="36">
        <v>3319</v>
      </c>
      <c r="B27" s="4">
        <v>605</v>
      </c>
      <c r="C27" s="8" t="s">
        <v>132</v>
      </c>
      <c r="D27" s="44">
        <v>5923.2</v>
      </c>
      <c r="E27" s="44">
        <f>40+106.71</f>
        <v>146.70999999999998</v>
      </c>
      <c r="F27" s="44"/>
      <c r="G27" s="44"/>
      <c r="H27" s="44">
        <f t="shared" si="8"/>
        <v>6069.91</v>
      </c>
      <c r="I27" s="44"/>
      <c r="J27" s="44"/>
      <c r="K27" s="44"/>
      <c r="L27" s="44">
        <f t="shared" si="4"/>
        <v>0</v>
      </c>
      <c r="M27" s="44"/>
      <c r="N27" s="44">
        <v>92.1</v>
      </c>
      <c r="O27" s="44"/>
      <c r="P27" s="44">
        <f t="shared" si="5"/>
        <v>92.1</v>
      </c>
      <c r="Q27" s="44"/>
      <c r="R27" s="62">
        <v>3319</v>
      </c>
      <c r="S27" s="4">
        <v>605</v>
      </c>
      <c r="T27" s="47" t="s">
        <v>132</v>
      </c>
      <c r="U27" s="44">
        <v>99</v>
      </c>
      <c r="V27" s="44"/>
      <c r="W27" s="44"/>
      <c r="X27" s="44">
        <f t="shared" si="6"/>
        <v>99</v>
      </c>
      <c r="Y27" s="44"/>
      <c r="Z27" s="44">
        <v>197</v>
      </c>
      <c r="AA27" s="48"/>
      <c r="AB27" s="44"/>
      <c r="AC27" s="44">
        <f t="shared" si="7"/>
        <v>197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>
        <f>565.25</f>
        <v>565.25</v>
      </c>
      <c r="F28" s="44"/>
      <c r="G28" s="44"/>
      <c r="H28" s="44">
        <f t="shared" si="8"/>
        <v>13552.25</v>
      </c>
      <c r="I28" s="44"/>
      <c r="J28" s="44"/>
      <c r="K28" s="44"/>
      <c r="L28" s="44">
        <f t="shared" si="4"/>
        <v>0</v>
      </c>
      <c r="M28" s="44"/>
      <c r="N28" s="44">
        <v>793.6</v>
      </c>
      <c r="O28" s="44"/>
      <c r="P28" s="44">
        <f t="shared" si="5"/>
        <v>793.6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1000</v>
      </c>
      <c r="AA28" s="48"/>
      <c r="AB28" s="44"/>
      <c r="AC28" s="44">
        <f t="shared" si="7"/>
        <v>1000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>
        <f>175.76</f>
        <v>175.76</v>
      </c>
      <c r="F29" s="44"/>
      <c r="G29" s="44"/>
      <c r="H29" s="44">
        <f t="shared" si="8"/>
        <v>6489.26</v>
      </c>
      <c r="I29" s="44"/>
      <c r="J29" s="44"/>
      <c r="K29" s="44"/>
      <c r="L29" s="44">
        <f t="shared" si="4"/>
        <v>0</v>
      </c>
      <c r="M29" s="44"/>
      <c r="N29" s="44">
        <v>141</v>
      </c>
      <c r="O29" s="44"/>
      <c r="P29" s="44">
        <f t="shared" si="5"/>
        <v>141</v>
      </c>
      <c r="Q29" s="44"/>
      <c r="R29" s="62">
        <v>3319</v>
      </c>
      <c r="S29" s="4">
        <v>607</v>
      </c>
      <c r="T29" s="47" t="s">
        <v>15</v>
      </c>
      <c r="U29" s="44"/>
      <c r="V29" s="44"/>
      <c r="W29" s="44"/>
      <c r="X29" s="44">
        <f t="shared" si="6"/>
        <v>0</v>
      </c>
      <c r="Y29" s="44"/>
      <c r="Z29" s="44">
        <v>380</v>
      </c>
      <c r="AA29" s="44"/>
      <c r="AB29" s="44"/>
      <c r="AC29" s="44">
        <f t="shared" si="7"/>
        <v>380</v>
      </c>
    </row>
    <row r="30" spans="1:29" ht="12.75">
      <c r="A30" s="36">
        <v>3315</v>
      </c>
      <c r="B30" s="4">
        <v>608</v>
      </c>
      <c r="C30" s="8" t="s">
        <v>40</v>
      </c>
      <c r="D30" s="44">
        <v>11040</v>
      </c>
      <c r="E30" s="44">
        <f>644+656.75</f>
        <v>1300.75</v>
      </c>
      <c r="F30" s="44"/>
      <c r="G30" s="44"/>
      <c r="H30" s="44">
        <f t="shared" si="8"/>
        <v>12340.75</v>
      </c>
      <c r="I30" s="44"/>
      <c r="J30" s="44">
        <v>100</v>
      </c>
      <c r="K30" s="44"/>
      <c r="L30" s="44">
        <f t="shared" si="4"/>
        <v>100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/>
      <c r="V30" s="44"/>
      <c r="W30" s="44"/>
      <c r="X30" s="44">
        <f t="shared" si="6"/>
        <v>0</v>
      </c>
      <c r="Y30" s="44"/>
      <c r="Z30" s="44"/>
      <c r="AA30" s="44"/>
      <c r="AB30" s="44"/>
      <c r="AC30" s="44">
        <f t="shared" si="7"/>
        <v>0</v>
      </c>
    </row>
    <row r="31" spans="1:29" ht="12.75">
      <c r="A31" s="36">
        <v>3315</v>
      </c>
      <c r="B31" s="4">
        <v>609</v>
      </c>
      <c r="C31" s="8" t="s">
        <v>128</v>
      </c>
      <c r="D31" s="44">
        <v>11835.7</v>
      </c>
      <c r="E31" s="44">
        <f>615+595.26</f>
        <v>1210.26</v>
      </c>
      <c r="F31" s="44"/>
      <c r="G31" s="44"/>
      <c r="H31" s="44">
        <f t="shared" si="8"/>
        <v>13045.960000000001</v>
      </c>
      <c r="I31" s="44"/>
      <c r="J31" s="44">
        <v>100</v>
      </c>
      <c r="K31" s="44"/>
      <c r="L31" s="44">
        <f t="shared" si="4"/>
        <v>100</v>
      </c>
      <c r="M31" s="44"/>
      <c r="N31" s="44">
        <v>1542.8</v>
      </c>
      <c r="O31" s="44"/>
      <c r="P31" s="44">
        <f t="shared" si="5"/>
        <v>1542.8</v>
      </c>
      <c r="Q31" s="44"/>
      <c r="R31" s="62">
        <v>3315</v>
      </c>
      <c r="S31" s="4">
        <v>609</v>
      </c>
      <c r="T31" s="47" t="s">
        <v>128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13922</v>
      </c>
      <c r="E32" s="44">
        <f>374.25</f>
        <v>374.25</v>
      </c>
      <c r="F32" s="44"/>
      <c r="G32" s="44"/>
      <c r="H32" s="44">
        <f t="shared" si="8"/>
        <v>14296.25</v>
      </c>
      <c r="I32" s="44"/>
      <c r="J32" s="44">
        <v>350</v>
      </c>
      <c r="K32" s="44"/>
      <c r="L32" s="44">
        <f t="shared" si="4"/>
        <v>350</v>
      </c>
      <c r="M32" s="44"/>
      <c r="N32" s="44">
        <v>376</v>
      </c>
      <c r="O32" s="44"/>
      <c r="P32" s="44">
        <f t="shared" si="5"/>
        <v>376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300</v>
      </c>
      <c r="AA32" s="44">
        <f>300</f>
        <v>300</v>
      </c>
      <c r="AB32" s="44"/>
      <c r="AC32" s="44">
        <f t="shared" si="7"/>
        <v>600</v>
      </c>
    </row>
    <row r="33" spans="1:29" ht="12.75">
      <c r="A33" s="36"/>
      <c r="B33" s="4"/>
      <c r="C33" s="10" t="s">
        <v>21</v>
      </c>
      <c r="D33" s="56">
        <f>SUM(D35:D58)</f>
        <v>190000</v>
      </c>
      <c r="E33" s="56">
        <f aca="true" t="shared" si="9" ref="E33:P33">SUM(E35:E58)</f>
        <v>35500</v>
      </c>
      <c r="F33" s="56">
        <f t="shared" si="9"/>
        <v>0</v>
      </c>
      <c r="G33" s="56">
        <f t="shared" si="9"/>
        <v>0</v>
      </c>
      <c r="H33" s="56">
        <f t="shared" si="9"/>
        <v>225500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0</v>
      </c>
      <c r="V33" s="56">
        <f>SUM(V35:V58)</f>
        <v>136</v>
      </c>
      <c r="W33" s="56">
        <f>SUM(W35:W58)</f>
        <v>0</v>
      </c>
      <c r="X33" s="56">
        <f>SUM(X35:X58)</f>
        <v>136</v>
      </c>
      <c r="Y33" s="56"/>
      <c r="Z33" s="56">
        <f>SUM(Z35:Z58)</f>
        <v>2300</v>
      </c>
      <c r="AA33" s="56">
        <f>SUM(AA35:AA58)</f>
        <v>4572.41</v>
      </c>
      <c r="AB33" s="56">
        <f>SUM(AB35:AB58)</f>
        <v>0</v>
      </c>
      <c r="AC33" s="56">
        <f>SUM(AC35:AC58)</f>
        <v>6872.41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6033</v>
      </c>
      <c r="E35" s="44">
        <f>424</f>
        <v>424</v>
      </c>
      <c r="F35" s="44"/>
      <c r="G35" s="44"/>
      <c r="H35" s="44">
        <f>D35+E35+F35+G35</f>
        <v>6457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200</v>
      </c>
      <c r="AA35" s="44"/>
      <c r="AB35" s="44"/>
      <c r="AC35" s="44">
        <f aca="true" t="shared" si="13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4">
        <v>5273</v>
      </c>
      <c r="E36" s="44">
        <f>1348</f>
        <v>1348</v>
      </c>
      <c r="F36" s="44"/>
      <c r="G36" s="44"/>
      <c r="H36" s="44">
        <f aca="true" t="shared" si="14" ref="H36:H58">D36+E36+F36+G36</f>
        <v>6621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/>
      <c r="AA36" s="44"/>
      <c r="AB36" s="44"/>
      <c r="AC36" s="44">
        <f t="shared" si="13"/>
        <v>0</v>
      </c>
    </row>
    <row r="37" spans="1:29" ht="12.75">
      <c r="A37" s="36">
        <v>4357</v>
      </c>
      <c r="B37" s="4">
        <v>803</v>
      </c>
      <c r="C37" s="7" t="s">
        <v>157</v>
      </c>
      <c r="D37" s="44">
        <v>9173</v>
      </c>
      <c r="E37" s="44">
        <f>1240</f>
        <v>1240</v>
      </c>
      <c r="F37" s="44"/>
      <c r="G37" s="44"/>
      <c r="H37" s="44">
        <f t="shared" si="14"/>
        <v>10413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>
        <v>400</v>
      </c>
      <c r="AA37" s="44"/>
      <c r="AB37" s="44"/>
      <c r="AC37" s="44">
        <f t="shared" si="13"/>
        <v>400</v>
      </c>
    </row>
    <row r="38" spans="1:29" ht="12.75">
      <c r="A38" s="36">
        <v>4350</v>
      </c>
      <c r="B38" s="4">
        <v>804</v>
      </c>
      <c r="C38" s="7" t="s">
        <v>227</v>
      </c>
      <c r="D38" s="44">
        <v>6700</v>
      </c>
      <c r="E38" s="44">
        <f>1689+250</f>
        <v>1939</v>
      </c>
      <c r="F38" s="44"/>
      <c r="G38" s="44"/>
      <c r="H38" s="44">
        <f t="shared" si="14"/>
        <v>8639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/>
      <c r="V38" s="44"/>
      <c r="W38" s="44"/>
      <c r="X38" s="44">
        <f t="shared" si="12"/>
        <v>0</v>
      </c>
      <c r="Y38" s="44"/>
      <c r="Z38" s="44"/>
      <c r="AA38" s="44">
        <f>180</f>
        <v>180</v>
      </c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158</v>
      </c>
      <c r="D39" s="44">
        <v>20454</v>
      </c>
      <c r="E39" s="44">
        <f>4058</f>
        <v>4058</v>
      </c>
      <c r="F39" s="44"/>
      <c r="G39" s="44"/>
      <c r="H39" s="44">
        <f t="shared" si="14"/>
        <v>24512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125</v>
      </c>
      <c r="U39" s="44"/>
      <c r="V39" s="44"/>
      <c r="W39" s="44"/>
      <c r="X39" s="44">
        <f t="shared" si="12"/>
        <v>0</v>
      </c>
      <c r="Y39" s="44"/>
      <c r="Z39" s="44"/>
      <c r="AA39" s="44"/>
      <c r="AB39" s="44"/>
      <c r="AC39" s="44">
        <f t="shared" si="13"/>
        <v>0</v>
      </c>
    </row>
    <row r="40" spans="1:29" ht="12.75">
      <c r="A40" s="36">
        <v>4350</v>
      </c>
      <c r="B40" s="4">
        <v>806</v>
      </c>
      <c r="C40" s="7" t="s">
        <v>32</v>
      </c>
      <c r="D40" s="44">
        <v>2768</v>
      </c>
      <c r="E40" s="44">
        <f>1123</f>
        <v>1123</v>
      </c>
      <c r="F40" s="44"/>
      <c r="G40" s="44"/>
      <c r="H40" s="44">
        <f t="shared" si="14"/>
        <v>3891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/>
      <c r="W40" s="44"/>
      <c r="X40" s="44">
        <f t="shared" si="12"/>
        <v>0</v>
      </c>
      <c r="Y40" s="44"/>
      <c r="Z40" s="44">
        <v>300</v>
      </c>
      <c r="AA40" s="44"/>
      <c r="AB40" s="44"/>
      <c r="AC40" s="44">
        <f t="shared" si="13"/>
        <v>300</v>
      </c>
    </row>
    <row r="41" spans="1:29" ht="12.75">
      <c r="A41" s="36">
        <v>4357</v>
      </c>
      <c r="B41" s="4">
        <v>807</v>
      </c>
      <c r="C41" s="7" t="s">
        <v>159</v>
      </c>
      <c r="D41" s="44">
        <v>9218</v>
      </c>
      <c r="E41" s="44">
        <f>1087</f>
        <v>1087</v>
      </c>
      <c r="F41" s="44"/>
      <c r="G41" s="48"/>
      <c r="H41" s="44">
        <f t="shared" si="14"/>
        <v>10305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2"/>
        <v>0</v>
      </c>
      <c r="Y41" s="44"/>
      <c r="Z41" s="44"/>
      <c r="AA41" s="44">
        <f>500</f>
        <v>500</v>
      </c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2678</v>
      </c>
      <c r="E42" s="44">
        <f>688</f>
        <v>688</v>
      </c>
      <c r="F42" s="44"/>
      <c r="G42" s="48"/>
      <c r="H42" s="44">
        <f t="shared" si="14"/>
        <v>3366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10019</v>
      </c>
      <c r="E43" s="44"/>
      <c r="F43" s="44"/>
      <c r="G43" s="48"/>
      <c r="H43" s="44">
        <f t="shared" si="14"/>
        <v>10019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82</v>
      </c>
      <c r="D44" s="44">
        <v>2813</v>
      </c>
      <c r="E44" s="44"/>
      <c r="F44" s="44"/>
      <c r="G44" s="48"/>
      <c r="H44" s="44">
        <f t="shared" si="14"/>
        <v>2813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82</v>
      </c>
      <c r="U44" s="44"/>
      <c r="V44" s="44">
        <f>136</f>
        <v>136</v>
      </c>
      <c r="W44" s="44"/>
      <c r="X44" s="44">
        <f t="shared" si="12"/>
        <v>136</v>
      </c>
      <c r="Y44" s="44"/>
      <c r="Z44" s="44">
        <v>300</v>
      </c>
      <c r="AA44" s="44">
        <f>200-136</f>
        <v>64</v>
      </c>
      <c r="AB44" s="44"/>
      <c r="AC44" s="44">
        <f t="shared" si="13"/>
        <v>364</v>
      </c>
    </row>
    <row r="45" spans="1:29" ht="12.75">
      <c r="A45" s="36">
        <v>4350</v>
      </c>
      <c r="B45" s="4">
        <v>811</v>
      </c>
      <c r="C45" s="7" t="s">
        <v>78</v>
      </c>
      <c r="D45" s="44">
        <v>4666</v>
      </c>
      <c r="E45" s="44"/>
      <c r="F45" s="44"/>
      <c r="G45" s="48"/>
      <c r="H45" s="44">
        <f t="shared" si="14"/>
        <v>4666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>
        <v>200</v>
      </c>
      <c r="AA45" s="44"/>
      <c r="AB45" s="44"/>
      <c r="AC45" s="44">
        <f t="shared" si="13"/>
        <v>200</v>
      </c>
    </row>
    <row r="46" spans="1:29" ht="12.75">
      <c r="A46" s="36">
        <v>4357</v>
      </c>
      <c r="B46" s="4">
        <v>813</v>
      </c>
      <c r="C46" s="7" t="s">
        <v>76</v>
      </c>
      <c r="D46" s="44">
        <v>20212</v>
      </c>
      <c r="E46" s="44">
        <f>4948</f>
        <v>4948</v>
      </c>
      <c r="F46" s="44"/>
      <c r="G46" s="48"/>
      <c r="H46" s="44">
        <f t="shared" si="14"/>
        <v>25160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330</v>
      </c>
      <c r="AA46" s="44">
        <f>1858.41</f>
        <v>1858.41</v>
      </c>
      <c r="AB46" s="44"/>
      <c r="AC46" s="44">
        <f t="shared" si="13"/>
        <v>2188.41</v>
      </c>
    </row>
    <row r="47" spans="1:29" ht="12.75">
      <c r="A47" s="36">
        <v>4357</v>
      </c>
      <c r="B47" s="4">
        <v>814</v>
      </c>
      <c r="C47" s="8" t="s">
        <v>127</v>
      </c>
      <c r="D47" s="44">
        <v>8484</v>
      </c>
      <c r="E47" s="44">
        <f>1523</f>
        <v>1523</v>
      </c>
      <c r="F47" s="44"/>
      <c r="G47" s="48"/>
      <c r="H47" s="44">
        <f t="shared" si="14"/>
        <v>10007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127</v>
      </c>
      <c r="U47" s="44"/>
      <c r="V47" s="44"/>
      <c r="W47" s="44"/>
      <c r="X47" s="44">
        <f t="shared" si="12"/>
        <v>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8" t="s">
        <v>160</v>
      </c>
      <c r="D48" s="44">
        <v>6599</v>
      </c>
      <c r="E48" s="48">
        <f>1673</f>
        <v>1673</v>
      </c>
      <c r="F48" s="44"/>
      <c r="G48" s="48"/>
      <c r="H48" s="44">
        <f t="shared" si="14"/>
        <v>8272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126</v>
      </c>
      <c r="U48" s="44"/>
      <c r="V48" s="44"/>
      <c r="W48" s="44"/>
      <c r="X48" s="44">
        <f t="shared" si="12"/>
        <v>0</v>
      </c>
      <c r="Y48" s="44"/>
      <c r="Z48" s="44"/>
      <c r="AA48" s="44">
        <f>1000</f>
        <v>1000</v>
      </c>
      <c r="AB48" s="44"/>
      <c r="AC48" s="44">
        <f t="shared" si="13"/>
        <v>1000</v>
      </c>
    </row>
    <row r="49" spans="1:29" ht="12.75">
      <c r="A49" s="36">
        <v>4357</v>
      </c>
      <c r="B49" s="4">
        <v>816</v>
      </c>
      <c r="C49" s="8" t="s">
        <v>28</v>
      </c>
      <c r="D49" s="44">
        <v>9626</v>
      </c>
      <c r="E49" s="48">
        <f>5002</f>
        <v>5002</v>
      </c>
      <c r="F49" s="44"/>
      <c r="G49" s="48"/>
      <c r="H49" s="44">
        <f t="shared" si="14"/>
        <v>14628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/>
      <c r="AA49" s="44">
        <f>570</f>
        <v>570</v>
      </c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12624</v>
      </c>
      <c r="E50" s="48">
        <f>3199</f>
        <v>3199</v>
      </c>
      <c r="F50" s="44"/>
      <c r="G50" s="48"/>
      <c r="H50" s="44">
        <f t="shared" si="14"/>
        <v>15823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4" t="s">
        <v>226</v>
      </c>
      <c r="D51" s="44">
        <v>9235</v>
      </c>
      <c r="E51" s="48">
        <f>1035+250</f>
        <v>1285</v>
      </c>
      <c r="F51" s="44"/>
      <c r="G51" s="48"/>
      <c r="H51" s="44">
        <f t="shared" si="14"/>
        <v>10520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161</v>
      </c>
      <c r="D52" s="44">
        <v>8866</v>
      </c>
      <c r="E52" s="48">
        <f>646</f>
        <v>646</v>
      </c>
      <c r="F52" s="44"/>
      <c r="G52" s="48"/>
      <c r="H52" s="44">
        <f t="shared" si="14"/>
        <v>9512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162</v>
      </c>
      <c r="D53" s="44">
        <v>7551</v>
      </c>
      <c r="E53" s="48">
        <f>1920</f>
        <v>1920</v>
      </c>
      <c r="F53" s="44"/>
      <c r="G53" s="48"/>
      <c r="H53" s="44">
        <f t="shared" si="14"/>
        <v>9471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7535</v>
      </c>
      <c r="E54" s="44">
        <f>259</f>
        <v>259</v>
      </c>
      <c r="F54" s="44"/>
      <c r="G54" s="44"/>
      <c r="H54" s="44">
        <f t="shared" si="14"/>
        <v>7794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35</v>
      </c>
      <c r="D55" s="44">
        <v>2770</v>
      </c>
      <c r="E55" s="44">
        <f>630</f>
        <v>630</v>
      </c>
      <c r="F55" s="44"/>
      <c r="G55" s="44"/>
      <c r="H55" s="44">
        <f t="shared" si="14"/>
        <v>3400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200</v>
      </c>
      <c r="AA55" s="44">
        <f>400</f>
        <v>400</v>
      </c>
      <c r="AB55" s="44"/>
      <c r="AC55" s="44">
        <f t="shared" si="13"/>
        <v>600</v>
      </c>
    </row>
    <row r="56" spans="1:29" ht="12.75">
      <c r="A56" s="36">
        <v>4350</v>
      </c>
      <c r="B56" s="4">
        <v>826</v>
      </c>
      <c r="C56" s="8" t="s">
        <v>163</v>
      </c>
      <c r="D56" s="44">
        <v>6386</v>
      </c>
      <c r="E56" s="44">
        <f>474</f>
        <v>474</v>
      </c>
      <c r="F56" s="44"/>
      <c r="G56" s="44"/>
      <c r="H56" s="44">
        <f t="shared" si="14"/>
        <v>6860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370</v>
      </c>
      <c r="AA56" s="44"/>
      <c r="AB56" s="44"/>
      <c r="AC56" s="44">
        <f t="shared" si="13"/>
        <v>370</v>
      </c>
    </row>
    <row r="57" spans="1:29" ht="12.75">
      <c r="A57" s="36">
        <v>4350</v>
      </c>
      <c r="B57" s="4">
        <v>827</v>
      </c>
      <c r="C57" s="8" t="s">
        <v>164</v>
      </c>
      <c r="D57" s="44">
        <v>3655</v>
      </c>
      <c r="E57" s="44">
        <f>856</f>
        <v>856</v>
      </c>
      <c r="F57" s="44"/>
      <c r="G57" s="44"/>
      <c r="H57" s="44">
        <f t="shared" si="14"/>
        <v>4511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165</v>
      </c>
      <c r="D58" s="44">
        <v>6662</v>
      </c>
      <c r="E58" s="44">
        <f>1178</f>
        <v>1178</v>
      </c>
      <c r="F58" s="44"/>
      <c r="G58" s="44"/>
      <c r="H58" s="44">
        <f t="shared" si="14"/>
        <v>7840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 aca="true" t="shared" si="15" ref="D59:P59">SUM(D61:D132)</f>
        <v>364471.94999999995</v>
      </c>
      <c r="E59" s="56">
        <f t="shared" si="15"/>
        <v>18983.220000000005</v>
      </c>
      <c r="F59" s="56">
        <f t="shared" si="15"/>
        <v>0</v>
      </c>
      <c r="G59" s="56">
        <f t="shared" si="15"/>
        <v>6046.25</v>
      </c>
      <c r="H59" s="56">
        <f t="shared" si="15"/>
        <v>389501.41999999987</v>
      </c>
      <c r="I59" s="56">
        <f t="shared" si="15"/>
        <v>0</v>
      </c>
      <c r="J59" s="56">
        <f t="shared" si="15"/>
        <v>740</v>
      </c>
      <c r="K59" s="56">
        <f t="shared" si="15"/>
        <v>519.37</v>
      </c>
      <c r="L59" s="56">
        <f t="shared" si="15"/>
        <v>1259.37</v>
      </c>
      <c r="M59" s="56">
        <f t="shared" si="15"/>
        <v>0</v>
      </c>
      <c r="N59" s="56">
        <f t="shared" si="15"/>
        <v>44302.000000000015</v>
      </c>
      <c r="O59" s="56">
        <f t="shared" si="15"/>
        <v>127.69999999999999</v>
      </c>
      <c r="P59" s="56">
        <f t="shared" si="15"/>
        <v>44429.700000000004</v>
      </c>
      <c r="Q59" s="56"/>
      <c r="R59" s="62"/>
      <c r="S59" s="63"/>
      <c r="T59" s="56" t="s">
        <v>74</v>
      </c>
      <c r="U59" s="56">
        <f aca="true" t="shared" si="16" ref="U59:AC59">SUM(U61:U132)</f>
        <v>15300</v>
      </c>
      <c r="V59" s="56">
        <f t="shared" si="16"/>
        <v>7126.46</v>
      </c>
      <c r="W59" s="56">
        <f t="shared" si="16"/>
        <v>0</v>
      </c>
      <c r="X59" s="56">
        <f t="shared" si="16"/>
        <v>22426.460000000003</v>
      </c>
      <c r="Y59" s="56">
        <f t="shared" si="16"/>
        <v>0</v>
      </c>
      <c r="Z59" s="56">
        <f t="shared" si="16"/>
        <v>64700</v>
      </c>
      <c r="AA59" s="56">
        <f t="shared" si="16"/>
        <v>45466.630000000005</v>
      </c>
      <c r="AB59" s="56">
        <f t="shared" si="16"/>
        <v>0</v>
      </c>
      <c r="AC59" s="56">
        <f t="shared" si="16"/>
        <v>110166.63</v>
      </c>
    </row>
    <row r="60" spans="1:29" ht="15" customHeight="1">
      <c r="A60" s="36"/>
      <c r="B60" s="4"/>
      <c r="C60" s="29" t="s">
        <v>156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77" t="s">
        <v>167</v>
      </c>
      <c r="D61" s="72">
        <v>4107.4</v>
      </c>
      <c r="E61" s="44">
        <f>124.64-22.05</f>
        <v>102.59</v>
      </c>
      <c r="F61" s="44"/>
      <c r="G61" s="48">
        <f>126.8</f>
        <v>126.8</v>
      </c>
      <c r="H61" s="44">
        <f aca="true" t="shared" si="17" ref="H61:H108">D61+E61+F61+G61</f>
        <v>4336.79</v>
      </c>
      <c r="I61" s="44"/>
      <c r="J61" s="72"/>
      <c r="K61" s="44"/>
      <c r="L61" s="44">
        <f aca="true" t="shared" si="18" ref="L61:L99">J61+K61</f>
        <v>0</v>
      </c>
      <c r="M61" s="44"/>
      <c r="N61" s="72">
        <v>380.9</v>
      </c>
      <c r="O61" s="44">
        <f>-17.64</f>
        <v>-17.64</v>
      </c>
      <c r="P61" s="44">
        <f aca="true" t="shared" si="19" ref="P61:P124">N61+O61</f>
        <v>363.26</v>
      </c>
      <c r="Q61" s="44"/>
      <c r="R61" s="36">
        <v>3121</v>
      </c>
      <c r="S61" s="4">
        <v>301</v>
      </c>
      <c r="T61" s="77" t="s">
        <v>6</v>
      </c>
      <c r="U61" s="44">
        <v>300</v>
      </c>
      <c r="V61" s="44"/>
      <c r="W61" s="44"/>
      <c r="X61" s="44">
        <f aca="true" t="shared" si="20" ref="X61:X104">SUM(U61:W61)</f>
        <v>300</v>
      </c>
      <c r="Y61" s="44"/>
      <c r="Z61" s="44"/>
      <c r="AA61" s="44"/>
      <c r="AB61" s="44"/>
      <c r="AC61" s="44">
        <f aca="true" t="shared" si="21" ref="AC61:AC104">SUM(Z61:AB61)</f>
        <v>0</v>
      </c>
    </row>
    <row r="62" spans="1:29" ht="12.75">
      <c r="A62" s="36">
        <v>3121</v>
      </c>
      <c r="B62" s="4">
        <v>302</v>
      </c>
      <c r="C62" s="77" t="s">
        <v>168</v>
      </c>
      <c r="D62" s="72">
        <v>5889.9</v>
      </c>
      <c r="E62" s="44">
        <f>112.4+11.06</f>
        <v>123.46000000000001</v>
      </c>
      <c r="F62" s="44"/>
      <c r="G62" s="48">
        <f>247</f>
        <v>247</v>
      </c>
      <c r="H62" s="44">
        <f t="shared" si="17"/>
        <v>6260.36</v>
      </c>
      <c r="I62" s="44"/>
      <c r="J62" s="72"/>
      <c r="K62" s="44"/>
      <c r="L62" s="44">
        <f t="shared" si="18"/>
        <v>0</v>
      </c>
      <c r="M62" s="44"/>
      <c r="N62" s="72">
        <v>383.2</v>
      </c>
      <c r="O62" s="44">
        <f>4.5</f>
        <v>4.5</v>
      </c>
      <c r="P62" s="44">
        <f t="shared" si="19"/>
        <v>387.7</v>
      </c>
      <c r="Q62" s="44"/>
      <c r="R62" s="36">
        <v>3121</v>
      </c>
      <c r="S62" s="4">
        <v>302</v>
      </c>
      <c r="T62" s="77" t="s">
        <v>92</v>
      </c>
      <c r="U62" s="44"/>
      <c r="V62" s="44"/>
      <c r="W62" s="44"/>
      <c r="X62" s="44">
        <f t="shared" si="20"/>
        <v>0</v>
      </c>
      <c r="Y62" s="44"/>
      <c r="Z62" s="44"/>
      <c r="AA62" s="44">
        <f>401.14</f>
        <v>401.14</v>
      </c>
      <c r="AB62" s="44"/>
      <c r="AC62" s="44">
        <f t="shared" si="21"/>
        <v>401.14</v>
      </c>
    </row>
    <row r="63" spans="1:29" ht="12.75">
      <c r="A63" s="36">
        <v>3121</v>
      </c>
      <c r="B63" s="4">
        <v>303</v>
      </c>
      <c r="C63" s="77" t="s">
        <v>169</v>
      </c>
      <c r="D63" s="72">
        <v>3436.8</v>
      </c>
      <c r="E63" s="44">
        <f>85.4-12.13</f>
        <v>73.27000000000001</v>
      </c>
      <c r="F63" s="44"/>
      <c r="G63" s="48">
        <f>82</f>
        <v>82</v>
      </c>
      <c r="H63" s="44">
        <f t="shared" si="17"/>
        <v>3592.07</v>
      </c>
      <c r="I63" s="44"/>
      <c r="J63" s="72"/>
      <c r="K63" s="44"/>
      <c r="L63" s="44">
        <f t="shared" si="18"/>
        <v>0</v>
      </c>
      <c r="M63" s="44"/>
      <c r="N63" s="72">
        <v>385.5</v>
      </c>
      <c r="O63" s="44">
        <f>-9.7</f>
        <v>-9.7</v>
      </c>
      <c r="P63" s="44">
        <f t="shared" si="19"/>
        <v>375.8</v>
      </c>
      <c r="Q63" s="44"/>
      <c r="R63" s="36">
        <v>3121</v>
      </c>
      <c r="S63" s="4">
        <v>303</v>
      </c>
      <c r="T63" s="77" t="s">
        <v>143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77" t="s">
        <v>170</v>
      </c>
      <c r="D64" s="72">
        <v>5625.3</v>
      </c>
      <c r="E64" s="44">
        <f>136.9-45.6</f>
        <v>91.30000000000001</v>
      </c>
      <c r="F64" s="44"/>
      <c r="G64" s="48">
        <f>85</f>
        <v>85</v>
      </c>
      <c r="H64" s="44">
        <f t="shared" si="17"/>
        <v>5801.6</v>
      </c>
      <c r="I64" s="44"/>
      <c r="J64" s="72"/>
      <c r="K64" s="44"/>
      <c r="L64" s="44">
        <f t="shared" si="18"/>
        <v>0</v>
      </c>
      <c r="M64" s="44"/>
      <c r="N64" s="72">
        <v>1120.4</v>
      </c>
      <c r="O64" s="44">
        <f>-36.48</f>
        <v>-36.48</v>
      </c>
      <c r="P64" s="44">
        <f t="shared" si="19"/>
        <v>1083.92</v>
      </c>
      <c r="Q64" s="44"/>
      <c r="R64" s="36">
        <v>3122</v>
      </c>
      <c r="S64" s="4">
        <v>305</v>
      </c>
      <c r="T64" s="7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77" t="s">
        <v>171</v>
      </c>
      <c r="D65" s="72">
        <v>4640.2</v>
      </c>
      <c r="E65" s="44">
        <f>92.3-250.5</f>
        <v>-158.2</v>
      </c>
      <c r="F65" s="44"/>
      <c r="G65" s="48">
        <f>126.4</f>
        <v>126.4</v>
      </c>
      <c r="H65" s="44">
        <f t="shared" si="17"/>
        <v>4608.4</v>
      </c>
      <c r="I65" s="44"/>
      <c r="J65" s="72">
        <v>185</v>
      </c>
      <c r="K65" s="44"/>
      <c r="L65" s="44">
        <f t="shared" si="18"/>
        <v>185</v>
      </c>
      <c r="M65" s="44"/>
      <c r="N65" s="72">
        <v>737.6</v>
      </c>
      <c r="O65" s="44">
        <f>-200.4</f>
        <v>-200.4</v>
      </c>
      <c r="P65" s="44">
        <f t="shared" si="19"/>
        <v>537.2</v>
      </c>
      <c r="Q65" s="44"/>
      <c r="R65" s="36">
        <v>3122</v>
      </c>
      <c r="S65" s="4">
        <v>307</v>
      </c>
      <c r="T65" s="77" t="s">
        <v>94</v>
      </c>
      <c r="U65" s="44"/>
      <c r="V65" s="48">
        <f>164</f>
        <v>164</v>
      </c>
      <c r="W65" s="44"/>
      <c r="X65" s="44">
        <f t="shared" si="20"/>
        <v>164</v>
      </c>
      <c r="Y65" s="44"/>
      <c r="Z65" s="44"/>
      <c r="AA65" s="48"/>
      <c r="AB65" s="44"/>
      <c r="AC65" s="44">
        <f t="shared" si="21"/>
        <v>0</v>
      </c>
    </row>
    <row r="66" spans="1:29" ht="12.75">
      <c r="A66" s="36">
        <v>3127</v>
      </c>
      <c r="B66" s="4">
        <v>308</v>
      </c>
      <c r="C66" s="77" t="s">
        <v>172</v>
      </c>
      <c r="D66" s="72">
        <v>16234.7</v>
      </c>
      <c r="E66" s="44">
        <f>125+2525.25</f>
        <v>2650.25</v>
      </c>
      <c r="F66" s="44"/>
      <c r="G66" s="48">
        <f>219.4</f>
        <v>219.4</v>
      </c>
      <c r="H66" s="44">
        <f t="shared" si="17"/>
        <v>19104.350000000002</v>
      </c>
      <c r="I66" s="44"/>
      <c r="J66" s="72"/>
      <c r="K66" s="44"/>
      <c r="L66" s="44">
        <f t="shared" si="18"/>
        <v>0</v>
      </c>
      <c r="M66" s="44"/>
      <c r="N66" s="72">
        <v>1160</v>
      </c>
      <c r="O66" s="44">
        <f>1.08</f>
        <v>1.08</v>
      </c>
      <c r="P66" s="44">
        <f t="shared" si="19"/>
        <v>1161.08</v>
      </c>
      <c r="Q66" s="44"/>
      <c r="R66" s="36">
        <v>3127</v>
      </c>
      <c r="S66" s="4">
        <v>308</v>
      </c>
      <c r="T66" s="77" t="s">
        <v>95</v>
      </c>
      <c r="U66" s="44"/>
      <c r="V66" s="44"/>
      <c r="W66" s="44"/>
      <c r="X66" s="44">
        <f t="shared" si="20"/>
        <v>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173</v>
      </c>
      <c r="D67" s="72">
        <v>7326.7</v>
      </c>
      <c r="E67" s="44">
        <f>120.1+861.09</f>
        <v>981.19</v>
      </c>
      <c r="F67" s="44"/>
      <c r="G67" s="48">
        <f>202</f>
        <v>202</v>
      </c>
      <c r="H67" s="44">
        <f t="shared" si="17"/>
        <v>8509.89</v>
      </c>
      <c r="I67" s="44"/>
      <c r="J67" s="72"/>
      <c r="K67" s="44"/>
      <c r="L67" s="44">
        <f t="shared" si="18"/>
        <v>0</v>
      </c>
      <c r="M67" s="44"/>
      <c r="N67" s="72">
        <v>1322.6</v>
      </c>
      <c r="O67" s="44">
        <f>50.79</f>
        <v>50.79</v>
      </c>
      <c r="P67" s="44">
        <f t="shared" si="19"/>
        <v>1373.3899999999999</v>
      </c>
      <c r="Q67" s="44"/>
      <c r="R67" s="36">
        <v>3127</v>
      </c>
      <c r="S67" s="4">
        <v>309</v>
      </c>
      <c r="T67" s="77" t="s">
        <v>41</v>
      </c>
      <c r="U67" s="44"/>
      <c r="V67" s="44"/>
      <c r="W67" s="44"/>
      <c r="X67" s="44">
        <f t="shared" si="20"/>
        <v>0</v>
      </c>
      <c r="Y67" s="44"/>
      <c r="Z67" s="44">
        <v>5000</v>
      </c>
      <c r="AA67" s="44">
        <f>4053.15</f>
        <v>4053.15</v>
      </c>
      <c r="AB67" s="44"/>
      <c r="AC67" s="44">
        <f t="shared" si="21"/>
        <v>9053.15</v>
      </c>
    </row>
    <row r="68" spans="1:29" ht="12.75">
      <c r="A68" s="36">
        <v>3122</v>
      </c>
      <c r="B68" s="4">
        <v>312</v>
      </c>
      <c r="C68" s="77" t="s">
        <v>174</v>
      </c>
      <c r="D68" s="72">
        <v>6083.1</v>
      </c>
      <c r="E68" s="44">
        <f>90+2.38</f>
        <v>92.38</v>
      </c>
      <c r="F68" s="44"/>
      <c r="G68" s="48">
        <f>297</f>
        <v>297</v>
      </c>
      <c r="H68" s="44">
        <f t="shared" si="17"/>
        <v>6472.4800000000005</v>
      </c>
      <c r="I68" s="44"/>
      <c r="J68" s="72"/>
      <c r="K68" s="44"/>
      <c r="L68" s="44">
        <f t="shared" si="18"/>
        <v>0</v>
      </c>
      <c r="M68" s="44"/>
      <c r="N68" s="72">
        <v>1262.8</v>
      </c>
      <c r="O68" s="44">
        <f>1.9</f>
        <v>1.9</v>
      </c>
      <c r="P68" s="44">
        <f t="shared" si="19"/>
        <v>1264.7</v>
      </c>
      <c r="Q68" s="44"/>
      <c r="R68" s="36">
        <v>3122</v>
      </c>
      <c r="S68" s="4">
        <v>312</v>
      </c>
      <c r="T68" s="7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77" t="s">
        <v>175</v>
      </c>
      <c r="D69" s="72">
        <v>6404.3</v>
      </c>
      <c r="E69" s="44">
        <f>63.3+329.88</f>
        <v>393.18</v>
      </c>
      <c r="F69" s="44"/>
      <c r="G69" s="48">
        <f>142.2</f>
        <v>142.2</v>
      </c>
      <c r="H69" s="44">
        <f t="shared" si="17"/>
        <v>6939.68</v>
      </c>
      <c r="I69" s="44"/>
      <c r="J69" s="72"/>
      <c r="K69" s="44"/>
      <c r="L69" s="44">
        <f t="shared" si="18"/>
        <v>0</v>
      </c>
      <c r="M69" s="44"/>
      <c r="N69" s="72">
        <v>660.4</v>
      </c>
      <c r="O69" s="44">
        <f>42.3</f>
        <v>42.3</v>
      </c>
      <c r="P69" s="44">
        <f t="shared" si="19"/>
        <v>702.6999999999999</v>
      </c>
      <c r="Q69" s="44"/>
      <c r="R69" s="36">
        <v>3122</v>
      </c>
      <c r="S69" s="4">
        <v>314</v>
      </c>
      <c r="T69" s="77" t="s">
        <v>97</v>
      </c>
      <c r="U69" s="44"/>
      <c r="V69" s="44"/>
      <c r="W69" s="44"/>
      <c r="X69" s="44">
        <f t="shared" si="20"/>
        <v>0</v>
      </c>
      <c r="Y69" s="44"/>
      <c r="Z69" s="44">
        <v>5000</v>
      </c>
      <c r="AA69" s="44">
        <f>4030.5-500+500</f>
        <v>4030.5</v>
      </c>
      <c r="AB69" s="44"/>
      <c r="AC69" s="44">
        <f t="shared" si="21"/>
        <v>9030.5</v>
      </c>
    </row>
    <row r="70" spans="1:29" ht="12.75">
      <c r="A70" s="36">
        <v>3127</v>
      </c>
      <c r="B70" s="5">
        <v>317</v>
      </c>
      <c r="C70" s="67" t="s">
        <v>176</v>
      </c>
      <c r="D70" s="72">
        <v>6806.7</v>
      </c>
      <c r="E70" s="49">
        <f>25.04+7.95</f>
        <v>32.99</v>
      </c>
      <c r="F70" s="49"/>
      <c r="G70" s="58">
        <f>41</f>
        <v>41</v>
      </c>
      <c r="H70" s="44">
        <f t="shared" si="17"/>
        <v>6880.69</v>
      </c>
      <c r="I70" s="49"/>
      <c r="J70" s="72"/>
      <c r="K70" s="49"/>
      <c r="L70" s="44">
        <f t="shared" si="18"/>
        <v>0</v>
      </c>
      <c r="M70" s="49"/>
      <c r="N70" s="72">
        <v>1123.6</v>
      </c>
      <c r="O70" s="49">
        <f>6.36</f>
        <v>6.36</v>
      </c>
      <c r="P70" s="44">
        <f t="shared" si="19"/>
        <v>1129.9599999999998</v>
      </c>
      <c r="Q70" s="49"/>
      <c r="R70" s="36">
        <v>3127</v>
      </c>
      <c r="S70" s="5">
        <v>317</v>
      </c>
      <c r="T70" s="67" t="s">
        <v>98</v>
      </c>
      <c r="U70" s="49"/>
      <c r="V70" s="49">
        <f>280</f>
        <v>280</v>
      </c>
      <c r="W70" s="49"/>
      <c r="X70" s="44">
        <f t="shared" si="20"/>
        <v>280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77" t="s">
        <v>177</v>
      </c>
      <c r="D71" s="72">
        <v>10426.5</v>
      </c>
      <c r="E71" s="44">
        <f>214.7</f>
        <v>214.7</v>
      </c>
      <c r="F71" s="44"/>
      <c r="G71" s="48">
        <f>91</f>
        <v>91</v>
      </c>
      <c r="H71" s="44">
        <f t="shared" si="17"/>
        <v>10732.2</v>
      </c>
      <c r="I71" s="44"/>
      <c r="J71" s="72"/>
      <c r="K71" s="44"/>
      <c r="L71" s="44">
        <f t="shared" si="18"/>
        <v>0</v>
      </c>
      <c r="M71" s="44"/>
      <c r="N71" s="72">
        <v>657.6</v>
      </c>
      <c r="O71" s="44">
        <f>0.16</f>
        <v>0.16</v>
      </c>
      <c r="P71" s="44">
        <f t="shared" si="19"/>
        <v>657.76</v>
      </c>
      <c r="Q71" s="44"/>
      <c r="R71" s="36">
        <v>3127</v>
      </c>
      <c r="S71" s="4">
        <v>318</v>
      </c>
      <c r="T71" s="7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178</v>
      </c>
      <c r="D72" s="72">
        <v>5877.2</v>
      </c>
      <c r="E72" s="44">
        <f>72.2+398.46</f>
        <v>470.65999999999997</v>
      </c>
      <c r="F72" s="44"/>
      <c r="G72" s="48">
        <f>207.9</f>
        <v>207.9</v>
      </c>
      <c r="H72" s="44">
        <f t="shared" si="17"/>
        <v>6555.759999999999</v>
      </c>
      <c r="I72" s="44"/>
      <c r="J72" s="72"/>
      <c r="K72" s="44"/>
      <c r="L72" s="44">
        <f t="shared" si="18"/>
        <v>0</v>
      </c>
      <c r="M72" s="44"/>
      <c r="N72" s="72">
        <v>1130.4</v>
      </c>
      <c r="O72" s="44">
        <f>18.69</f>
        <v>18.69</v>
      </c>
      <c r="P72" s="44">
        <f t="shared" si="19"/>
        <v>1149.0900000000001</v>
      </c>
      <c r="Q72" s="44"/>
      <c r="R72" s="36">
        <v>3124</v>
      </c>
      <c r="S72" s="4">
        <v>319</v>
      </c>
      <c r="T72" s="77" t="s">
        <v>100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3114</v>
      </c>
      <c r="B73" s="4">
        <v>320</v>
      </c>
      <c r="C73" s="77" t="s">
        <v>179</v>
      </c>
      <c r="D73" s="72">
        <v>5138.5</v>
      </c>
      <c r="E73" s="44">
        <f>40-67.37</f>
        <v>-27.370000000000005</v>
      </c>
      <c r="F73" s="44"/>
      <c r="G73" s="48">
        <f>26</f>
        <v>26</v>
      </c>
      <c r="H73" s="44">
        <f t="shared" si="17"/>
        <v>5137.13</v>
      </c>
      <c r="I73" s="44"/>
      <c r="J73" s="72"/>
      <c r="K73" s="44"/>
      <c r="L73" s="44">
        <f t="shared" si="18"/>
        <v>0</v>
      </c>
      <c r="M73" s="44"/>
      <c r="N73" s="72">
        <v>510.6</v>
      </c>
      <c r="O73" s="44">
        <f>-53.9</f>
        <v>-53.9</v>
      </c>
      <c r="P73" s="44">
        <f t="shared" si="19"/>
        <v>456.70000000000005</v>
      </c>
      <c r="Q73" s="44"/>
      <c r="R73" s="36">
        <v>3114</v>
      </c>
      <c r="S73" s="4">
        <v>320</v>
      </c>
      <c r="T73" s="77" t="s">
        <v>101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77" t="s">
        <v>90</v>
      </c>
      <c r="D74" s="72">
        <v>8141.7</v>
      </c>
      <c r="E74" s="44">
        <f>99.4+9.82</f>
        <v>109.22</v>
      </c>
      <c r="F74" s="44"/>
      <c r="G74" s="48"/>
      <c r="H74" s="44">
        <f t="shared" si="17"/>
        <v>8250.92</v>
      </c>
      <c r="I74" s="44"/>
      <c r="J74" s="72"/>
      <c r="K74" s="44"/>
      <c r="L74" s="44">
        <f t="shared" si="18"/>
        <v>0</v>
      </c>
      <c r="M74" s="44"/>
      <c r="N74" s="72">
        <v>680.8</v>
      </c>
      <c r="O74" s="44">
        <f>7.86</f>
        <v>7.86</v>
      </c>
      <c r="P74" s="44">
        <f t="shared" si="19"/>
        <v>688.66</v>
      </c>
      <c r="Q74" s="44"/>
      <c r="R74" s="36">
        <v>3114</v>
      </c>
      <c r="S74" s="4">
        <v>321</v>
      </c>
      <c r="T74" s="77" t="s">
        <v>90</v>
      </c>
      <c r="U74" s="44">
        <v>2250</v>
      </c>
      <c r="V74" s="44"/>
      <c r="W74" s="44"/>
      <c r="X74" s="44">
        <f t="shared" si="20"/>
        <v>2250</v>
      </c>
      <c r="Y74" s="44"/>
      <c r="Z74" s="44"/>
      <c r="AA74" s="44">
        <f>200</f>
        <v>200</v>
      </c>
      <c r="AB74" s="44"/>
      <c r="AC74" s="44">
        <f t="shared" si="21"/>
        <v>200</v>
      </c>
    </row>
    <row r="75" spans="1:29" ht="12.75">
      <c r="A75" s="36">
        <v>3133</v>
      </c>
      <c r="B75" s="4">
        <v>322</v>
      </c>
      <c r="C75" s="77" t="s">
        <v>180</v>
      </c>
      <c r="D75" s="72">
        <v>3632.1</v>
      </c>
      <c r="E75" s="44">
        <f>5.93</f>
        <v>5.93</v>
      </c>
      <c r="F75" s="44"/>
      <c r="G75" s="48">
        <f>59</f>
        <v>59</v>
      </c>
      <c r="H75" s="44">
        <f t="shared" si="17"/>
        <v>3697.0299999999997</v>
      </c>
      <c r="I75" s="44"/>
      <c r="J75" s="72"/>
      <c r="K75" s="44"/>
      <c r="L75" s="44">
        <f t="shared" si="18"/>
        <v>0</v>
      </c>
      <c r="M75" s="44"/>
      <c r="N75" s="72">
        <v>180.7</v>
      </c>
      <c r="O75" s="44">
        <f>4.74</f>
        <v>4.74</v>
      </c>
      <c r="P75" s="44">
        <f t="shared" si="19"/>
        <v>185.44</v>
      </c>
      <c r="Q75" s="44"/>
      <c r="R75" s="36">
        <v>3133</v>
      </c>
      <c r="S75" s="4">
        <v>322</v>
      </c>
      <c r="T75" s="7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77" t="s">
        <v>181</v>
      </c>
      <c r="D76" s="72">
        <v>1221.8</v>
      </c>
      <c r="E76" s="44"/>
      <c r="F76" s="44"/>
      <c r="G76" s="48">
        <f>34</f>
        <v>34</v>
      </c>
      <c r="H76" s="44">
        <f t="shared" si="17"/>
        <v>1255.8</v>
      </c>
      <c r="I76" s="44"/>
      <c r="J76" s="72"/>
      <c r="K76" s="44"/>
      <c r="L76" s="44">
        <f t="shared" si="18"/>
        <v>0</v>
      </c>
      <c r="M76" s="44"/>
      <c r="N76" s="72">
        <v>4.3</v>
      </c>
      <c r="O76" s="44"/>
      <c r="P76" s="44">
        <f t="shared" si="19"/>
        <v>4.3</v>
      </c>
      <c r="Q76" s="44"/>
      <c r="R76" s="36">
        <v>3114</v>
      </c>
      <c r="S76" s="4">
        <v>325</v>
      </c>
      <c r="T76" s="7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77" t="s">
        <v>182</v>
      </c>
      <c r="D77" s="72">
        <v>368.2</v>
      </c>
      <c r="E77" s="44">
        <f>60</f>
        <v>60</v>
      </c>
      <c r="F77" s="44"/>
      <c r="G77" s="48">
        <f>77.5</f>
        <v>77.5</v>
      </c>
      <c r="H77" s="44">
        <f t="shared" si="17"/>
        <v>505.7</v>
      </c>
      <c r="I77" s="44"/>
      <c r="J77" s="72"/>
      <c r="K77" s="44"/>
      <c r="L77" s="44">
        <f t="shared" si="18"/>
        <v>0</v>
      </c>
      <c r="M77" s="44"/>
      <c r="N77" s="72">
        <v>0.4</v>
      </c>
      <c r="O77" s="44"/>
      <c r="P77" s="44">
        <f t="shared" si="19"/>
        <v>0.4</v>
      </c>
      <c r="Q77" s="44"/>
      <c r="R77" s="36">
        <v>3114</v>
      </c>
      <c r="S77" s="4">
        <v>327</v>
      </c>
      <c r="T77" s="7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77" t="s">
        <v>183</v>
      </c>
      <c r="D78" s="72">
        <v>4322.4</v>
      </c>
      <c r="E78" s="44">
        <f>25-18.93</f>
        <v>6.07</v>
      </c>
      <c r="F78" s="44"/>
      <c r="G78" s="64">
        <f>108.5</f>
        <v>108.5</v>
      </c>
      <c r="H78" s="44">
        <f t="shared" si="17"/>
        <v>4436.969999999999</v>
      </c>
      <c r="I78" s="44"/>
      <c r="J78" s="72"/>
      <c r="K78" s="44"/>
      <c r="L78" s="44">
        <f t="shared" si="18"/>
        <v>0</v>
      </c>
      <c r="M78" s="44"/>
      <c r="N78" s="72">
        <v>1105</v>
      </c>
      <c r="O78" s="44">
        <f>-15.14</f>
        <v>-15.14</v>
      </c>
      <c r="P78" s="44">
        <f t="shared" si="19"/>
        <v>1089.86</v>
      </c>
      <c r="Q78" s="44"/>
      <c r="R78" s="36">
        <v>3147</v>
      </c>
      <c r="S78" s="4">
        <v>332</v>
      </c>
      <c r="T78" s="77" t="s">
        <v>44</v>
      </c>
      <c r="U78" s="44"/>
      <c r="V78" s="44"/>
      <c r="W78" s="44"/>
      <c r="X78" s="44">
        <f t="shared" si="20"/>
        <v>0</v>
      </c>
      <c r="Y78" s="44"/>
      <c r="Z78" s="44">
        <v>1800</v>
      </c>
      <c r="AA78" s="48">
        <f>743.53</f>
        <v>743.53</v>
      </c>
      <c r="AB78" s="44"/>
      <c r="AC78" s="44">
        <f t="shared" si="21"/>
        <v>2543.5299999999997</v>
      </c>
    </row>
    <row r="79" spans="1:29" ht="12.75">
      <c r="A79" s="36">
        <v>3141</v>
      </c>
      <c r="B79" s="4">
        <v>335</v>
      </c>
      <c r="C79" s="77" t="s">
        <v>42</v>
      </c>
      <c r="D79" s="72">
        <v>2836.3</v>
      </c>
      <c r="E79" s="44"/>
      <c r="F79" s="44"/>
      <c r="G79" s="48"/>
      <c r="H79" s="44">
        <f t="shared" si="17"/>
        <v>2836.3</v>
      </c>
      <c r="I79" s="44"/>
      <c r="J79" s="72"/>
      <c r="K79" s="44"/>
      <c r="L79" s="44">
        <f t="shared" si="18"/>
        <v>0</v>
      </c>
      <c r="M79" s="44"/>
      <c r="N79" s="72">
        <v>730.8</v>
      </c>
      <c r="O79" s="44"/>
      <c r="P79" s="44">
        <f t="shared" si="19"/>
        <v>730.8</v>
      </c>
      <c r="Q79" s="44"/>
      <c r="R79" s="36">
        <v>3141</v>
      </c>
      <c r="S79" s="4">
        <v>335</v>
      </c>
      <c r="T79" s="7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77" t="s">
        <v>184</v>
      </c>
      <c r="D80" s="72">
        <v>2465.2</v>
      </c>
      <c r="E80" s="44">
        <f>99</f>
        <v>99</v>
      </c>
      <c r="F80" s="44"/>
      <c r="G80" s="48">
        <f>192</f>
        <v>192</v>
      </c>
      <c r="H80" s="44">
        <f t="shared" si="17"/>
        <v>2756.2</v>
      </c>
      <c r="I80" s="44"/>
      <c r="J80" s="72"/>
      <c r="K80" s="44"/>
      <c r="L80" s="44">
        <f t="shared" si="18"/>
        <v>0</v>
      </c>
      <c r="M80" s="44"/>
      <c r="N80" s="72">
        <v>91.7</v>
      </c>
      <c r="O80" s="44"/>
      <c r="P80" s="44">
        <f t="shared" si="19"/>
        <v>91.7</v>
      </c>
      <c r="Q80" s="44"/>
      <c r="R80" s="36">
        <v>3121</v>
      </c>
      <c r="S80" s="4">
        <v>338</v>
      </c>
      <c r="T80" s="77" t="s">
        <v>7</v>
      </c>
      <c r="U80" s="44"/>
      <c r="V80" s="48">
        <f>987.8</f>
        <v>987.8</v>
      </c>
      <c r="W80" s="44"/>
      <c r="X80" s="44">
        <f t="shared" si="20"/>
        <v>987.8</v>
      </c>
      <c r="Y80" s="44"/>
      <c r="Z80" s="44">
        <v>2000</v>
      </c>
      <c r="AA80" s="44">
        <f>1650</f>
        <v>1650</v>
      </c>
      <c r="AB80" s="44"/>
      <c r="AC80" s="44">
        <f t="shared" si="21"/>
        <v>3650</v>
      </c>
    </row>
    <row r="81" spans="1:29" ht="12.75">
      <c r="A81" s="36">
        <v>3121</v>
      </c>
      <c r="B81" s="4">
        <v>339</v>
      </c>
      <c r="C81" s="77" t="s">
        <v>185</v>
      </c>
      <c r="D81" s="72">
        <v>3055.8</v>
      </c>
      <c r="E81" s="44">
        <f>44.7</f>
        <v>44.7</v>
      </c>
      <c r="F81" s="44"/>
      <c r="G81" s="48">
        <f>62.7</f>
        <v>62.7</v>
      </c>
      <c r="H81" s="44">
        <f t="shared" si="17"/>
        <v>3163.2</v>
      </c>
      <c r="I81" s="44"/>
      <c r="J81" s="72"/>
      <c r="K81" s="44"/>
      <c r="L81" s="44">
        <f t="shared" si="18"/>
        <v>0</v>
      </c>
      <c r="M81" s="44"/>
      <c r="N81" s="72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77" t="s">
        <v>104</v>
      </c>
      <c r="U81" s="44"/>
      <c r="V81" s="48"/>
      <c r="W81" s="44"/>
      <c r="X81" s="44">
        <f t="shared" si="20"/>
        <v>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77" t="s">
        <v>186</v>
      </c>
      <c r="D82" s="72">
        <v>3755.5</v>
      </c>
      <c r="E82" s="44">
        <f>120.95</f>
        <v>120.95</v>
      </c>
      <c r="F82" s="44"/>
      <c r="G82" s="48">
        <f>251</f>
        <v>251</v>
      </c>
      <c r="H82" s="44">
        <f t="shared" si="17"/>
        <v>4127.45</v>
      </c>
      <c r="I82" s="44"/>
      <c r="J82" s="72"/>
      <c r="K82" s="44"/>
      <c r="L82" s="44">
        <f t="shared" si="18"/>
        <v>0</v>
      </c>
      <c r="M82" s="44"/>
      <c r="N82" s="72">
        <v>324.8</v>
      </c>
      <c r="O82" s="44"/>
      <c r="P82" s="44">
        <f t="shared" si="19"/>
        <v>324.8</v>
      </c>
      <c r="Q82" s="44"/>
      <c r="R82" s="36">
        <v>3121</v>
      </c>
      <c r="S82" s="4">
        <v>340</v>
      </c>
      <c r="T82" s="77" t="s">
        <v>8</v>
      </c>
      <c r="U82" s="44">
        <v>1000</v>
      </c>
      <c r="V82" s="48">
        <f>-1000</f>
        <v>-1000</v>
      </c>
      <c r="W82" s="44"/>
      <c r="X82" s="44">
        <f t="shared" si="20"/>
        <v>0</v>
      </c>
      <c r="Y82" s="44"/>
      <c r="Z82" s="44"/>
      <c r="AA82" s="44">
        <f>1900</f>
        <v>1900</v>
      </c>
      <c r="AB82" s="44"/>
      <c r="AC82" s="44">
        <f t="shared" si="21"/>
        <v>1900</v>
      </c>
    </row>
    <row r="83" spans="1:29" ht="12.75">
      <c r="A83" s="36">
        <v>3124</v>
      </c>
      <c r="B83" s="4">
        <v>345</v>
      </c>
      <c r="C83" s="77" t="s">
        <v>187</v>
      </c>
      <c r="D83" s="72">
        <v>17130.6</v>
      </c>
      <c r="E83" s="44">
        <f>54.96+945.76</f>
        <v>1000.72</v>
      </c>
      <c r="F83" s="44"/>
      <c r="G83" s="48">
        <f>29.95</f>
        <v>29.95</v>
      </c>
      <c r="H83" s="44">
        <f t="shared" si="17"/>
        <v>18161.27</v>
      </c>
      <c r="I83" s="44"/>
      <c r="J83" s="72"/>
      <c r="K83" s="44">
        <f>63</f>
        <v>63</v>
      </c>
      <c r="L83" s="44">
        <f t="shared" si="18"/>
        <v>63</v>
      </c>
      <c r="M83" s="44"/>
      <c r="N83" s="72">
        <v>2041.6</v>
      </c>
      <c r="O83" s="44">
        <f>112.13</f>
        <v>112.13</v>
      </c>
      <c r="P83" s="44">
        <f t="shared" si="19"/>
        <v>2153.73</v>
      </c>
      <c r="Q83" s="44"/>
      <c r="R83" s="36">
        <v>3124</v>
      </c>
      <c r="S83" s="4">
        <v>345</v>
      </c>
      <c r="T83" s="77" t="s">
        <v>129</v>
      </c>
      <c r="U83" s="44"/>
      <c r="V83" s="44"/>
      <c r="W83" s="44"/>
      <c r="X83" s="44">
        <f t="shared" si="20"/>
        <v>0</v>
      </c>
      <c r="Y83" s="44"/>
      <c r="Z83" s="44">
        <v>2200</v>
      </c>
      <c r="AA83" s="44">
        <f>2054.6</f>
        <v>2054.6</v>
      </c>
      <c r="AB83" s="44"/>
      <c r="AC83" s="44">
        <f t="shared" si="21"/>
        <v>4254.6</v>
      </c>
    </row>
    <row r="84" spans="1:29" ht="12.75">
      <c r="A84" s="36">
        <v>3114</v>
      </c>
      <c r="B84" s="4">
        <v>346</v>
      </c>
      <c r="C84" s="77" t="s">
        <v>188</v>
      </c>
      <c r="D84" s="72">
        <v>3127</v>
      </c>
      <c r="E84" s="44">
        <f>-20.72</f>
        <v>-20.72</v>
      </c>
      <c r="F84" s="44"/>
      <c r="G84" s="48">
        <f>32.9</f>
        <v>32.9</v>
      </c>
      <c r="H84" s="44">
        <f t="shared" si="17"/>
        <v>3139.1800000000003</v>
      </c>
      <c r="I84" s="44"/>
      <c r="J84" s="72"/>
      <c r="K84" s="44"/>
      <c r="L84" s="44">
        <f t="shared" si="18"/>
        <v>0</v>
      </c>
      <c r="M84" s="44"/>
      <c r="N84" s="72">
        <v>304.5</v>
      </c>
      <c r="O84" s="44">
        <f>-16.58</f>
        <v>-16.58</v>
      </c>
      <c r="P84" s="44">
        <f t="shared" si="19"/>
        <v>287.92</v>
      </c>
      <c r="Q84" s="44"/>
      <c r="R84" s="36">
        <v>3114</v>
      </c>
      <c r="S84" s="4">
        <v>346</v>
      </c>
      <c r="T84" s="77" t="s">
        <v>105</v>
      </c>
      <c r="U84" s="44"/>
      <c r="V84" s="44"/>
      <c r="W84" s="44"/>
      <c r="X84" s="44">
        <f t="shared" si="20"/>
        <v>0</v>
      </c>
      <c r="Y84" s="44"/>
      <c r="Z84" s="44"/>
      <c r="AA84" s="44">
        <f>200</f>
        <v>200</v>
      </c>
      <c r="AB84" s="44"/>
      <c r="AC84" s="44">
        <f t="shared" si="21"/>
        <v>200</v>
      </c>
    </row>
    <row r="85" spans="1:29" ht="12.75">
      <c r="A85" s="36">
        <v>3114</v>
      </c>
      <c r="B85" s="4">
        <v>347</v>
      </c>
      <c r="C85" s="67" t="s">
        <v>189</v>
      </c>
      <c r="D85" s="72">
        <v>1762.6</v>
      </c>
      <c r="E85" s="44">
        <f>14.7</f>
        <v>14.7</v>
      </c>
      <c r="F85" s="44"/>
      <c r="G85" s="48">
        <f>23.4</f>
        <v>23.4</v>
      </c>
      <c r="H85" s="44">
        <f t="shared" si="17"/>
        <v>1800.7</v>
      </c>
      <c r="I85" s="44"/>
      <c r="J85" s="72"/>
      <c r="K85" s="44"/>
      <c r="L85" s="44">
        <f t="shared" si="18"/>
        <v>0</v>
      </c>
      <c r="M85" s="44"/>
      <c r="N85" s="72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7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77" t="s">
        <v>45</v>
      </c>
      <c r="D86" s="72">
        <v>5691.1</v>
      </c>
      <c r="E86" s="44">
        <f>-36</f>
        <v>-36</v>
      </c>
      <c r="F86" s="44"/>
      <c r="G86" s="48"/>
      <c r="H86" s="44">
        <f t="shared" si="17"/>
        <v>5655.1</v>
      </c>
      <c r="I86" s="44"/>
      <c r="J86" s="72"/>
      <c r="K86" s="44"/>
      <c r="L86" s="44">
        <f t="shared" si="18"/>
        <v>0</v>
      </c>
      <c r="M86" s="44"/>
      <c r="N86" s="72">
        <v>358</v>
      </c>
      <c r="O86" s="44">
        <f>-28.8</f>
        <v>-28.8</v>
      </c>
      <c r="P86" s="44">
        <f t="shared" si="19"/>
        <v>329.2</v>
      </c>
      <c r="Q86" s="44"/>
      <c r="R86" s="36">
        <v>3133</v>
      </c>
      <c r="S86" s="4">
        <v>349</v>
      </c>
      <c r="T86" s="7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/>
      <c r="AB86" s="44"/>
      <c r="AC86" s="44">
        <f t="shared" si="21"/>
        <v>600</v>
      </c>
    </row>
    <row r="87" spans="1:29" ht="12.75">
      <c r="A87" s="36">
        <v>3294</v>
      </c>
      <c r="B87" s="1">
        <v>352</v>
      </c>
      <c r="C87" s="77" t="s">
        <v>166</v>
      </c>
      <c r="D87" s="72">
        <f>2242.8+1843</f>
        <v>4085.8</v>
      </c>
      <c r="E87" s="44">
        <f>200</f>
        <v>200</v>
      </c>
      <c r="F87" s="44"/>
      <c r="G87" s="48"/>
      <c r="H87" s="44">
        <f t="shared" si="17"/>
        <v>4285.8</v>
      </c>
      <c r="I87" s="44"/>
      <c r="J87" s="72"/>
      <c r="K87" s="44"/>
      <c r="L87" s="44">
        <f t="shared" si="18"/>
        <v>0</v>
      </c>
      <c r="M87" s="44"/>
      <c r="N87" s="72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77" t="s">
        <v>144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77" t="s">
        <v>190</v>
      </c>
      <c r="D88" s="72">
        <v>1107</v>
      </c>
      <c r="E88" s="44">
        <f>6.35</f>
        <v>6.35</v>
      </c>
      <c r="F88" s="44"/>
      <c r="G88" s="48">
        <f>16.3</f>
        <v>16.3</v>
      </c>
      <c r="H88" s="44">
        <f t="shared" si="17"/>
        <v>1129.6499999999999</v>
      </c>
      <c r="I88" s="44"/>
      <c r="J88" s="72"/>
      <c r="K88" s="44"/>
      <c r="L88" s="44">
        <f t="shared" si="18"/>
        <v>0</v>
      </c>
      <c r="M88" s="44"/>
      <c r="N88" s="72">
        <v>101.5</v>
      </c>
      <c r="O88" s="44">
        <f>5.08</f>
        <v>5.08</v>
      </c>
      <c r="P88" s="44">
        <f t="shared" si="19"/>
        <v>106.58</v>
      </c>
      <c r="Q88" s="44"/>
      <c r="R88" s="36">
        <v>3114</v>
      </c>
      <c r="S88" s="4">
        <v>358</v>
      </c>
      <c r="T88" s="77" t="s">
        <v>130</v>
      </c>
      <c r="U88" s="44">
        <v>550</v>
      </c>
      <c r="V88" s="44"/>
      <c r="W88" s="44"/>
      <c r="X88" s="44">
        <f t="shared" si="20"/>
        <v>550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363</v>
      </c>
      <c r="C89" s="77" t="s">
        <v>191</v>
      </c>
      <c r="D89" s="72">
        <v>2619.7</v>
      </c>
      <c r="E89" s="44">
        <f>42.1</f>
        <v>42.1</v>
      </c>
      <c r="F89" s="44"/>
      <c r="G89" s="48">
        <f>22</f>
        <v>22</v>
      </c>
      <c r="H89" s="44">
        <f t="shared" si="17"/>
        <v>2683.7999999999997</v>
      </c>
      <c r="I89" s="44"/>
      <c r="J89" s="72"/>
      <c r="K89" s="44"/>
      <c r="L89" s="44">
        <f t="shared" si="18"/>
        <v>0</v>
      </c>
      <c r="M89" s="44"/>
      <c r="N89" s="72">
        <v>11.6</v>
      </c>
      <c r="O89" s="44"/>
      <c r="P89" s="44">
        <f t="shared" si="19"/>
        <v>11.6</v>
      </c>
      <c r="Q89" s="44"/>
      <c r="R89" s="36">
        <v>3114</v>
      </c>
      <c r="S89" s="4">
        <v>363</v>
      </c>
      <c r="T89" s="7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7" t="s">
        <v>192</v>
      </c>
      <c r="D90" s="72">
        <v>4312.3</v>
      </c>
      <c r="E90" s="44">
        <f>21.46+65.23</f>
        <v>86.69</v>
      </c>
      <c r="F90" s="44"/>
      <c r="G90" s="48">
        <f>85.5</f>
        <v>85.5</v>
      </c>
      <c r="H90" s="44">
        <f t="shared" si="17"/>
        <v>4484.49</v>
      </c>
      <c r="I90" s="44"/>
      <c r="J90" s="72"/>
      <c r="K90" s="44"/>
      <c r="L90" s="44">
        <f t="shared" si="18"/>
        <v>0</v>
      </c>
      <c r="M90" s="44"/>
      <c r="N90" s="72">
        <v>396</v>
      </c>
      <c r="O90" s="44">
        <f>52.18</f>
        <v>52.18</v>
      </c>
      <c r="P90" s="44">
        <f t="shared" si="19"/>
        <v>448.18</v>
      </c>
      <c r="Q90" s="44"/>
      <c r="R90" s="36">
        <v>3121</v>
      </c>
      <c r="S90" s="4">
        <v>367</v>
      </c>
      <c r="T90" s="67" t="s">
        <v>145</v>
      </c>
      <c r="U90" s="44"/>
      <c r="V90" s="44"/>
      <c r="W90" s="44"/>
      <c r="X90" s="44">
        <f t="shared" si="20"/>
        <v>0</v>
      </c>
      <c r="Y90" s="44"/>
      <c r="Z90" s="44"/>
      <c r="AA90" s="44"/>
      <c r="AB90" s="44"/>
      <c r="AC90" s="44">
        <f t="shared" si="21"/>
        <v>0</v>
      </c>
    </row>
    <row r="91" spans="1:29" ht="12.75">
      <c r="A91" s="36">
        <v>3121</v>
      </c>
      <c r="B91" s="4">
        <v>368</v>
      </c>
      <c r="C91" s="77" t="s">
        <v>193</v>
      </c>
      <c r="D91" s="72">
        <v>2446.5</v>
      </c>
      <c r="E91" s="49">
        <f>33.9+0.33</f>
        <v>34.23</v>
      </c>
      <c r="F91" s="49"/>
      <c r="G91" s="58">
        <f>72.8</f>
        <v>72.8</v>
      </c>
      <c r="H91" s="44">
        <f t="shared" si="17"/>
        <v>2553.53</v>
      </c>
      <c r="I91" s="49"/>
      <c r="J91" s="72"/>
      <c r="K91" s="49"/>
      <c r="L91" s="44">
        <f t="shared" si="18"/>
        <v>0</v>
      </c>
      <c r="M91" s="49"/>
      <c r="N91" s="72">
        <v>346.4</v>
      </c>
      <c r="O91" s="49">
        <f>0.26</f>
        <v>0.26</v>
      </c>
      <c r="P91" s="44">
        <f t="shared" si="19"/>
        <v>346.65999999999997</v>
      </c>
      <c r="Q91" s="49"/>
      <c r="R91" s="36">
        <v>3121</v>
      </c>
      <c r="S91" s="4">
        <v>368</v>
      </c>
      <c r="T91" s="7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7" t="s">
        <v>194</v>
      </c>
      <c r="D92" s="72">
        <v>3032.6</v>
      </c>
      <c r="E92" s="55">
        <f>306.01</f>
        <v>306.01</v>
      </c>
      <c r="F92" s="44"/>
      <c r="G92" s="48">
        <f>66</f>
        <v>66</v>
      </c>
      <c r="H92" s="44">
        <f t="shared" si="17"/>
        <v>3404.6099999999997</v>
      </c>
      <c r="I92" s="44"/>
      <c r="J92" s="72"/>
      <c r="K92" s="44">
        <f>120</f>
        <v>120</v>
      </c>
      <c r="L92" s="44">
        <f t="shared" si="18"/>
        <v>120</v>
      </c>
      <c r="M92" s="44"/>
      <c r="N92" s="72">
        <v>332</v>
      </c>
      <c r="O92" s="44">
        <f>6.33</f>
        <v>6.33</v>
      </c>
      <c r="P92" s="44">
        <f t="shared" si="19"/>
        <v>338.33</v>
      </c>
      <c r="Q92" s="44"/>
      <c r="R92" s="36">
        <v>3122</v>
      </c>
      <c r="S92" s="5">
        <v>370</v>
      </c>
      <c r="T92" s="67" t="s">
        <v>146</v>
      </c>
      <c r="U92" s="44">
        <v>1000</v>
      </c>
      <c r="V92" s="44"/>
      <c r="W92" s="44"/>
      <c r="X92" s="44">
        <f t="shared" si="20"/>
        <v>1000</v>
      </c>
      <c r="Y92" s="44"/>
      <c r="Z92" s="44"/>
      <c r="AA92" s="44"/>
      <c r="AB92" s="44"/>
      <c r="AC92" s="44">
        <f t="shared" si="21"/>
        <v>0</v>
      </c>
    </row>
    <row r="93" spans="1:29" ht="12.75">
      <c r="A93" s="36">
        <v>3122</v>
      </c>
      <c r="B93" s="4">
        <v>371</v>
      </c>
      <c r="C93" s="67" t="s">
        <v>195</v>
      </c>
      <c r="D93" s="72">
        <v>2835.9</v>
      </c>
      <c r="E93" s="44">
        <f>100.66+73.31</f>
        <v>173.97</v>
      </c>
      <c r="F93" s="44"/>
      <c r="G93" s="48">
        <f>140</f>
        <v>140</v>
      </c>
      <c r="H93" s="44">
        <f t="shared" si="17"/>
        <v>3149.87</v>
      </c>
      <c r="I93" s="44"/>
      <c r="J93" s="72"/>
      <c r="K93" s="44"/>
      <c r="L93" s="44">
        <f t="shared" si="18"/>
        <v>0</v>
      </c>
      <c r="M93" s="44"/>
      <c r="N93" s="72">
        <v>36</v>
      </c>
      <c r="O93" s="44">
        <f>56.04</f>
        <v>56.04</v>
      </c>
      <c r="P93" s="44">
        <f t="shared" si="19"/>
        <v>92.03999999999999</v>
      </c>
      <c r="Q93" s="44"/>
      <c r="R93" s="36">
        <v>3122</v>
      </c>
      <c r="S93" s="4">
        <v>371</v>
      </c>
      <c r="T93" s="67" t="s">
        <v>108</v>
      </c>
      <c r="U93" s="44"/>
      <c r="V93" s="55"/>
      <c r="W93" s="44"/>
      <c r="X93" s="44">
        <f t="shared" si="20"/>
        <v>0</v>
      </c>
      <c r="Y93" s="44"/>
      <c r="Z93" s="44"/>
      <c r="AA93" s="48"/>
      <c r="AB93" s="48"/>
      <c r="AC93" s="44">
        <f t="shared" si="21"/>
        <v>0</v>
      </c>
    </row>
    <row r="94" spans="1:29" ht="12.75">
      <c r="A94" s="36">
        <v>3127</v>
      </c>
      <c r="B94" s="4">
        <v>372</v>
      </c>
      <c r="C94" s="67" t="s">
        <v>196</v>
      </c>
      <c r="D94" s="72">
        <v>7577.2</v>
      </c>
      <c r="E94" s="44">
        <f>107.74+103.32</f>
        <v>211.06</v>
      </c>
      <c r="F94" s="44"/>
      <c r="G94" s="48">
        <f>57.65</f>
        <v>57.65</v>
      </c>
      <c r="H94" s="44">
        <f t="shared" si="17"/>
        <v>7845.91</v>
      </c>
      <c r="I94" s="44"/>
      <c r="J94" s="72">
        <v>185</v>
      </c>
      <c r="K94" s="44"/>
      <c r="L94" s="44">
        <f t="shared" si="18"/>
        <v>185</v>
      </c>
      <c r="M94" s="44"/>
      <c r="N94" s="72">
        <v>1379</v>
      </c>
      <c r="O94" s="44">
        <f>-497.82</f>
        <v>-497.82</v>
      </c>
      <c r="P94" s="44">
        <f t="shared" si="19"/>
        <v>881.1800000000001</v>
      </c>
      <c r="Q94" s="44"/>
      <c r="R94" s="36">
        <v>3127</v>
      </c>
      <c r="S94" s="4">
        <v>372</v>
      </c>
      <c r="T94" s="67" t="s">
        <v>131</v>
      </c>
      <c r="U94" s="44"/>
      <c r="V94" s="44">
        <f>915.1</f>
        <v>915.1</v>
      </c>
      <c r="W94" s="44"/>
      <c r="X94" s="44">
        <f t="shared" si="20"/>
        <v>915.1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77" t="s">
        <v>63</v>
      </c>
      <c r="D95" s="72">
        <v>2061.3</v>
      </c>
      <c r="E95" s="44"/>
      <c r="F95" s="44"/>
      <c r="G95" s="48"/>
      <c r="H95" s="44">
        <f t="shared" si="17"/>
        <v>2061.3</v>
      </c>
      <c r="I95" s="44"/>
      <c r="J95" s="72"/>
      <c r="K95" s="44"/>
      <c r="L95" s="44">
        <f t="shared" si="18"/>
        <v>0</v>
      </c>
      <c r="M95" s="44"/>
      <c r="N95" s="72">
        <v>76.3</v>
      </c>
      <c r="O95" s="44"/>
      <c r="P95" s="44">
        <f t="shared" si="19"/>
        <v>76.3</v>
      </c>
      <c r="Q95" s="44"/>
      <c r="R95" s="36">
        <v>3133</v>
      </c>
      <c r="S95" s="4">
        <v>374</v>
      </c>
      <c r="T95" s="77" t="s">
        <v>63</v>
      </c>
      <c r="U95" s="44"/>
      <c r="V95" s="44"/>
      <c r="W95" s="44"/>
      <c r="X95" s="44">
        <f t="shared" si="20"/>
        <v>0</v>
      </c>
      <c r="Y95" s="44"/>
      <c r="Z95" s="44">
        <v>2000</v>
      </c>
      <c r="AA95" s="44"/>
      <c r="AB95" s="44"/>
      <c r="AC95" s="44">
        <f t="shared" si="21"/>
        <v>2000</v>
      </c>
    </row>
    <row r="96" spans="1:29" ht="12.75">
      <c r="A96" s="36">
        <v>3114</v>
      </c>
      <c r="B96" s="4">
        <v>379</v>
      </c>
      <c r="C96" s="77" t="s">
        <v>197</v>
      </c>
      <c r="D96" s="72">
        <v>613</v>
      </c>
      <c r="E96" s="44">
        <f>12+1.26</f>
        <v>13.26</v>
      </c>
      <c r="F96" s="44"/>
      <c r="G96" s="48">
        <f>83.8</f>
        <v>83.8</v>
      </c>
      <c r="H96" s="44">
        <f t="shared" si="17"/>
        <v>710.06</v>
      </c>
      <c r="I96" s="44"/>
      <c r="J96" s="72"/>
      <c r="K96" s="44"/>
      <c r="L96" s="44">
        <f t="shared" si="18"/>
        <v>0</v>
      </c>
      <c r="M96" s="44"/>
      <c r="N96" s="72">
        <v>28.4</v>
      </c>
      <c r="O96" s="44">
        <f>1.01</f>
        <v>1.01</v>
      </c>
      <c r="P96" s="44">
        <f t="shared" si="19"/>
        <v>29.41</v>
      </c>
      <c r="Q96" s="44"/>
      <c r="R96" s="36">
        <v>3114</v>
      </c>
      <c r="S96" s="4">
        <v>379</v>
      </c>
      <c r="T96" s="77" t="s">
        <v>53</v>
      </c>
      <c r="U96" s="44"/>
      <c r="V96" s="44"/>
      <c r="W96" s="44"/>
      <c r="X96" s="44">
        <f t="shared" si="20"/>
        <v>0</v>
      </c>
      <c r="Y96" s="44"/>
      <c r="Z96" s="44">
        <v>1200</v>
      </c>
      <c r="AA96" s="44"/>
      <c r="AB96" s="44"/>
      <c r="AC96" s="44">
        <f t="shared" si="21"/>
        <v>1200</v>
      </c>
    </row>
    <row r="97" spans="1:29" ht="12.75">
      <c r="A97" s="36">
        <v>3133</v>
      </c>
      <c r="B97" s="4">
        <v>380</v>
      </c>
      <c r="C97" s="77" t="s">
        <v>198</v>
      </c>
      <c r="D97" s="72">
        <v>3402.6</v>
      </c>
      <c r="E97" s="44">
        <f>-1</f>
        <v>-1</v>
      </c>
      <c r="F97" s="44"/>
      <c r="G97" s="48">
        <f>37</f>
        <v>37</v>
      </c>
      <c r="H97" s="44">
        <f t="shared" si="17"/>
        <v>3438.6</v>
      </c>
      <c r="I97" s="44"/>
      <c r="J97" s="72"/>
      <c r="K97" s="44"/>
      <c r="L97" s="44">
        <f t="shared" si="18"/>
        <v>0</v>
      </c>
      <c r="M97" s="44"/>
      <c r="N97" s="72">
        <v>153.8</v>
      </c>
      <c r="O97" s="44">
        <f>-0.8</f>
        <v>-0.8</v>
      </c>
      <c r="P97" s="44">
        <f t="shared" si="19"/>
        <v>153</v>
      </c>
      <c r="Q97" s="44"/>
      <c r="R97" s="36">
        <v>3133</v>
      </c>
      <c r="S97" s="4">
        <v>380</v>
      </c>
      <c r="T97" s="77" t="s">
        <v>46</v>
      </c>
      <c r="U97" s="44"/>
      <c r="V97" s="44"/>
      <c r="W97" s="44"/>
      <c r="X97" s="44">
        <f t="shared" si="20"/>
        <v>0</v>
      </c>
      <c r="Y97" s="44"/>
      <c r="Z97" s="44"/>
      <c r="AA97" s="44">
        <f>200</f>
        <v>200</v>
      </c>
      <c r="AB97" s="44"/>
      <c r="AC97" s="44">
        <f t="shared" si="21"/>
        <v>200</v>
      </c>
    </row>
    <row r="98" spans="1:29" ht="12.75">
      <c r="A98" s="36">
        <v>3114</v>
      </c>
      <c r="B98" s="4">
        <v>381</v>
      </c>
      <c r="C98" s="77" t="s">
        <v>199</v>
      </c>
      <c r="D98" s="72">
        <v>1960.1</v>
      </c>
      <c r="E98" s="44">
        <f>30-18.39</f>
        <v>11.61</v>
      </c>
      <c r="F98" s="44"/>
      <c r="G98" s="48">
        <f>83.25</f>
        <v>83.25</v>
      </c>
      <c r="H98" s="44">
        <f t="shared" si="17"/>
        <v>2054.96</v>
      </c>
      <c r="I98" s="44"/>
      <c r="J98" s="72"/>
      <c r="K98" s="44"/>
      <c r="L98" s="44">
        <f t="shared" si="18"/>
        <v>0</v>
      </c>
      <c r="M98" s="44"/>
      <c r="N98" s="72">
        <v>19.6</v>
      </c>
      <c r="O98" s="44">
        <f>-14.71</f>
        <v>-14.71</v>
      </c>
      <c r="P98" s="44">
        <f t="shared" si="19"/>
        <v>4.890000000000001</v>
      </c>
      <c r="Q98" s="44"/>
      <c r="R98" s="36">
        <v>3114</v>
      </c>
      <c r="S98" s="4">
        <v>381</v>
      </c>
      <c r="T98" s="77" t="s">
        <v>109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77" t="s">
        <v>29</v>
      </c>
      <c r="D99" s="72">
        <v>3321.7</v>
      </c>
      <c r="E99" s="44">
        <f>86.8-61.17</f>
        <v>25.629999999999995</v>
      </c>
      <c r="F99" s="44"/>
      <c r="G99" s="48"/>
      <c r="H99" s="44">
        <f t="shared" si="17"/>
        <v>3347.33</v>
      </c>
      <c r="I99" s="44"/>
      <c r="J99" s="72"/>
      <c r="K99" s="53"/>
      <c r="L99" s="53">
        <f t="shared" si="18"/>
        <v>0</v>
      </c>
      <c r="M99" s="44"/>
      <c r="N99" s="72">
        <v>268.8</v>
      </c>
      <c r="O99" s="44">
        <f>-48.94</f>
        <v>-48.94</v>
      </c>
      <c r="P99" s="44">
        <f t="shared" si="19"/>
        <v>219.86</v>
      </c>
      <c r="Q99" s="44"/>
      <c r="R99" s="36">
        <v>3121</v>
      </c>
      <c r="S99" s="4">
        <v>390</v>
      </c>
      <c r="T99" s="77" t="s">
        <v>29</v>
      </c>
      <c r="U99" s="44"/>
      <c r="V99" s="44"/>
      <c r="W99" s="44"/>
      <c r="X99" s="44">
        <f t="shared" si="20"/>
        <v>0</v>
      </c>
      <c r="Y99" s="44"/>
      <c r="Z99" s="44"/>
      <c r="AA99" s="44">
        <f>6692.25</f>
        <v>6692.25</v>
      </c>
      <c r="AB99" s="44"/>
      <c r="AC99" s="44">
        <f t="shared" si="21"/>
        <v>6692.25</v>
      </c>
    </row>
    <row r="100" spans="1:29" ht="12.75">
      <c r="A100" s="36">
        <v>3127</v>
      </c>
      <c r="B100" s="4">
        <v>392</v>
      </c>
      <c r="C100" s="67" t="s">
        <v>200</v>
      </c>
      <c r="D100" s="72">
        <v>3668.4</v>
      </c>
      <c r="E100" s="44">
        <f>82.37+33.34</f>
        <v>115.71000000000001</v>
      </c>
      <c r="F100" s="44"/>
      <c r="G100" s="48">
        <f>245.9</f>
        <v>245.9</v>
      </c>
      <c r="H100" s="44">
        <f t="shared" si="17"/>
        <v>4030.01</v>
      </c>
      <c r="I100" s="44"/>
      <c r="J100" s="72"/>
      <c r="K100" s="44"/>
      <c r="L100" s="44">
        <f aca="true" t="shared" si="22" ref="L100:L127">J100+K100</f>
        <v>0</v>
      </c>
      <c r="M100" s="44"/>
      <c r="N100" s="72">
        <v>767.2</v>
      </c>
      <c r="O100" s="44">
        <f>26.67</f>
        <v>26.67</v>
      </c>
      <c r="P100" s="44">
        <f t="shared" si="19"/>
        <v>793.87</v>
      </c>
      <c r="Q100" s="44"/>
      <c r="R100" s="36">
        <v>3127</v>
      </c>
      <c r="S100" s="4">
        <v>392</v>
      </c>
      <c r="T100" s="67" t="s">
        <v>110</v>
      </c>
      <c r="U100" s="44"/>
      <c r="V100" s="44">
        <f>615</f>
        <v>615</v>
      </c>
      <c r="W100" s="44"/>
      <c r="X100" s="44">
        <f t="shared" si="20"/>
        <v>615</v>
      </c>
      <c r="Y100" s="44"/>
      <c r="Z100" s="44"/>
      <c r="AA100" s="44"/>
      <c r="AB100" s="44"/>
      <c r="AC100" s="44">
        <f t="shared" si="21"/>
        <v>0</v>
      </c>
    </row>
    <row r="101" spans="1:29" ht="12.75">
      <c r="A101" s="36">
        <v>3122</v>
      </c>
      <c r="B101" s="4">
        <v>393</v>
      </c>
      <c r="C101" s="77" t="s">
        <v>201</v>
      </c>
      <c r="D101" s="72">
        <v>2077.7</v>
      </c>
      <c r="E101" s="44">
        <f>111.91+0.71</f>
        <v>112.61999999999999</v>
      </c>
      <c r="F101" s="44"/>
      <c r="G101" s="48">
        <f>90</f>
        <v>90</v>
      </c>
      <c r="H101" s="44">
        <f t="shared" si="17"/>
        <v>2280.3199999999997</v>
      </c>
      <c r="I101" s="44"/>
      <c r="J101" s="72"/>
      <c r="K101" s="44"/>
      <c r="L101" s="44">
        <f t="shared" si="22"/>
        <v>0</v>
      </c>
      <c r="M101" s="44"/>
      <c r="N101" s="72">
        <v>360.6</v>
      </c>
      <c r="O101" s="44">
        <f>0.57</f>
        <v>0.57</v>
      </c>
      <c r="P101" s="44">
        <f t="shared" si="19"/>
        <v>361.17</v>
      </c>
      <c r="Q101" s="44"/>
      <c r="R101" s="36">
        <v>3122</v>
      </c>
      <c r="S101" s="4">
        <v>393</v>
      </c>
      <c r="T101" s="77" t="s">
        <v>10</v>
      </c>
      <c r="U101" s="44"/>
      <c r="V101" s="44"/>
      <c r="W101" s="44"/>
      <c r="X101" s="44">
        <f t="shared" si="20"/>
        <v>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77" t="s">
        <v>202</v>
      </c>
      <c r="D102" s="72">
        <v>5267.8</v>
      </c>
      <c r="E102" s="44">
        <f>80+1361.65</f>
        <v>1441.65</v>
      </c>
      <c r="F102" s="44"/>
      <c r="G102" s="48">
        <f>89</f>
        <v>89</v>
      </c>
      <c r="H102" s="44">
        <f t="shared" si="17"/>
        <v>6798.450000000001</v>
      </c>
      <c r="I102" s="44"/>
      <c r="J102" s="72"/>
      <c r="K102" s="44"/>
      <c r="L102" s="44">
        <f t="shared" si="22"/>
        <v>0</v>
      </c>
      <c r="M102" s="44"/>
      <c r="N102" s="72">
        <v>827.9</v>
      </c>
      <c r="O102" s="44">
        <f>49.16</f>
        <v>49.16</v>
      </c>
      <c r="P102" s="44">
        <f t="shared" si="19"/>
        <v>877.06</v>
      </c>
      <c r="Q102" s="44"/>
      <c r="R102" s="36">
        <v>3127</v>
      </c>
      <c r="S102" s="4">
        <v>394</v>
      </c>
      <c r="T102" s="77" t="s">
        <v>147</v>
      </c>
      <c r="U102" s="44"/>
      <c r="V102" s="44"/>
      <c r="W102" s="44"/>
      <c r="X102" s="44">
        <f t="shared" si="20"/>
        <v>0</v>
      </c>
      <c r="Y102" s="44"/>
      <c r="Z102" s="44"/>
      <c r="AA102" s="44"/>
      <c r="AB102" s="44"/>
      <c r="AC102" s="44">
        <f t="shared" si="21"/>
        <v>0</v>
      </c>
    </row>
    <row r="103" spans="1:29" ht="12.75">
      <c r="A103" s="36">
        <v>3122</v>
      </c>
      <c r="B103" s="4">
        <v>395</v>
      </c>
      <c r="C103" s="77" t="s">
        <v>203</v>
      </c>
      <c r="D103" s="72">
        <v>3973.5</v>
      </c>
      <c r="E103" s="44">
        <f>50+185.76</f>
        <v>235.76</v>
      </c>
      <c r="F103" s="44"/>
      <c r="G103" s="48">
        <f>144</f>
        <v>144</v>
      </c>
      <c r="H103" s="44">
        <f t="shared" si="17"/>
        <v>4353.26</v>
      </c>
      <c r="I103" s="44"/>
      <c r="J103" s="72"/>
      <c r="K103" s="44">
        <f>90</f>
        <v>90</v>
      </c>
      <c r="L103" s="44">
        <f t="shared" si="22"/>
        <v>90</v>
      </c>
      <c r="M103" s="44"/>
      <c r="N103" s="72">
        <v>359.6</v>
      </c>
      <c r="O103" s="44">
        <f>16.13</f>
        <v>16.13</v>
      </c>
      <c r="P103" s="44">
        <f t="shared" si="19"/>
        <v>375.73</v>
      </c>
      <c r="Q103" s="44"/>
      <c r="R103" s="36">
        <v>3122</v>
      </c>
      <c r="S103" s="4">
        <v>395</v>
      </c>
      <c r="T103" s="77" t="s">
        <v>47</v>
      </c>
      <c r="U103" s="44"/>
      <c r="V103" s="44">
        <f>800</f>
        <v>800</v>
      </c>
      <c r="W103" s="44"/>
      <c r="X103" s="44">
        <f t="shared" si="20"/>
        <v>800</v>
      </c>
      <c r="Y103" s="44"/>
      <c r="Z103" s="44">
        <v>3000</v>
      </c>
      <c r="AA103" s="44"/>
      <c r="AB103" s="44"/>
      <c r="AC103" s="44">
        <f t="shared" si="21"/>
        <v>3000</v>
      </c>
    </row>
    <row r="104" spans="1:29" ht="12.75">
      <c r="A104" s="36">
        <v>3127</v>
      </c>
      <c r="B104" s="4">
        <v>397</v>
      </c>
      <c r="C104" s="67" t="s">
        <v>204</v>
      </c>
      <c r="D104" s="72">
        <v>5494.1</v>
      </c>
      <c r="E104" s="44">
        <f>113.8-20.91</f>
        <v>92.89</v>
      </c>
      <c r="F104" s="44"/>
      <c r="G104" s="48">
        <f>115</f>
        <v>115</v>
      </c>
      <c r="H104" s="44">
        <f t="shared" si="17"/>
        <v>5701.990000000001</v>
      </c>
      <c r="I104" s="44"/>
      <c r="J104" s="72"/>
      <c r="K104" s="44"/>
      <c r="L104" s="44">
        <f t="shared" si="22"/>
        <v>0</v>
      </c>
      <c r="M104" s="44"/>
      <c r="N104" s="72">
        <v>774.4</v>
      </c>
      <c r="O104" s="44">
        <f>-21.13</f>
        <v>-21.13</v>
      </c>
      <c r="P104" s="44">
        <f t="shared" si="19"/>
        <v>753.27</v>
      </c>
      <c r="Q104" s="44"/>
      <c r="R104" s="36">
        <v>3127</v>
      </c>
      <c r="S104" s="4">
        <v>397</v>
      </c>
      <c r="T104" s="67" t="s">
        <v>111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3127</v>
      </c>
      <c r="B105" s="4">
        <v>400</v>
      </c>
      <c r="C105" s="67" t="s">
        <v>205</v>
      </c>
      <c r="D105" s="72">
        <v>4006.4</v>
      </c>
      <c r="E105" s="44">
        <f>125-72.23</f>
        <v>52.769999999999996</v>
      </c>
      <c r="F105" s="44"/>
      <c r="G105" s="48">
        <f>42.2</f>
        <v>42.2</v>
      </c>
      <c r="H105" s="44">
        <f t="shared" si="17"/>
        <v>4101.37</v>
      </c>
      <c r="I105" s="44"/>
      <c r="J105" s="72"/>
      <c r="K105" s="44"/>
      <c r="L105" s="44">
        <f t="shared" si="22"/>
        <v>0</v>
      </c>
      <c r="M105" s="44"/>
      <c r="N105" s="72">
        <v>652.1</v>
      </c>
      <c r="O105" s="44">
        <f>-100.66</f>
        <v>-100.66</v>
      </c>
      <c r="P105" s="44">
        <f t="shared" si="19"/>
        <v>551.44</v>
      </c>
      <c r="Q105" s="44"/>
      <c r="R105" s="36">
        <v>3127</v>
      </c>
      <c r="S105" s="4">
        <v>400</v>
      </c>
      <c r="T105" s="67" t="s">
        <v>112</v>
      </c>
      <c r="U105" s="44"/>
      <c r="V105" s="44"/>
      <c r="W105" s="44"/>
      <c r="X105" s="44">
        <f aca="true" t="shared" si="23" ref="X105:X127">SUM(U105:W105)</f>
        <v>0</v>
      </c>
      <c r="Y105" s="44"/>
      <c r="Z105" s="44"/>
      <c r="AA105" s="44"/>
      <c r="AB105" s="44"/>
      <c r="AC105" s="44">
        <f aca="true" t="shared" si="24" ref="AC105:AC127">SUM(Z105:AB105)</f>
        <v>0</v>
      </c>
    </row>
    <row r="106" spans="1:29" ht="12.75">
      <c r="A106" s="36">
        <v>3124</v>
      </c>
      <c r="B106" s="4">
        <v>401</v>
      </c>
      <c r="C106" s="77" t="s">
        <v>206</v>
      </c>
      <c r="D106" s="72">
        <v>3337.6</v>
      </c>
      <c r="E106" s="44">
        <f>202.03</f>
        <v>202.03</v>
      </c>
      <c r="F106" s="44"/>
      <c r="G106" s="48">
        <f>89.3</f>
        <v>89.3</v>
      </c>
      <c r="H106" s="44">
        <f t="shared" si="17"/>
        <v>3628.9300000000003</v>
      </c>
      <c r="I106" s="44"/>
      <c r="J106" s="72"/>
      <c r="K106" s="44"/>
      <c r="L106" s="44">
        <f t="shared" si="22"/>
        <v>0</v>
      </c>
      <c r="M106" s="44"/>
      <c r="N106" s="72">
        <v>129.7</v>
      </c>
      <c r="O106" s="44">
        <f>6.42</f>
        <v>6.42</v>
      </c>
      <c r="P106" s="44">
        <f t="shared" si="19"/>
        <v>136.11999999999998</v>
      </c>
      <c r="Q106" s="44"/>
      <c r="R106" s="36">
        <v>3124</v>
      </c>
      <c r="S106" s="4">
        <v>401</v>
      </c>
      <c r="T106" s="77" t="s">
        <v>113</v>
      </c>
      <c r="U106" s="44"/>
      <c r="V106" s="44"/>
      <c r="W106" s="44"/>
      <c r="X106" s="44">
        <f t="shared" si="23"/>
        <v>0</v>
      </c>
      <c r="Y106" s="44"/>
      <c r="Z106" s="44"/>
      <c r="AA106" s="44"/>
      <c r="AB106" s="44"/>
      <c r="AC106" s="44">
        <f t="shared" si="24"/>
        <v>0</v>
      </c>
    </row>
    <row r="107" spans="1:29" ht="12.75">
      <c r="A107" s="36">
        <v>3121</v>
      </c>
      <c r="B107" s="4">
        <v>409</v>
      </c>
      <c r="C107" s="77" t="s">
        <v>207</v>
      </c>
      <c r="D107" s="72">
        <v>2521.7</v>
      </c>
      <c r="E107" s="44">
        <f>-6.73</f>
        <v>-6.73</v>
      </c>
      <c r="F107" s="44"/>
      <c r="G107" s="48">
        <f>81</f>
        <v>81</v>
      </c>
      <c r="H107" s="44">
        <f t="shared" si="17"/>
        <v>2595.97</v>
      </c>
      <c r="I107" s="44"/>
      <c r="J107" s="72"/>
      <c r="K107" s="44"/>
      <c r="L107" s="44">
        <f t="shared" si="22"/>
        <v>0</v>
      </c>
      <c r="M107" s="44"/>
      <c r="N107" s="72">
        <v>30</v>
      </c>
      <c r="O107" s="44">
        <f>-5.38</f>
        <v>-5.38</v>
      </c>
      <c r="P107" s="44">
        <f t="shared" si="19"/>
        <v>24.62</v>
      </c>
      <c r="Q107" s="44"/>
      <c r="R107" s="36">
        <v>3121</v>
      </c>
      <c r="S107" s="4">
        <v>409</v>
      </c>
      <c r="T107" s="77" t="s">
        <v>11</v>
      </c>
      <c r="U107" s="44"/>
      <c r="V107" s="44"/>
      <c r="W107" s="44"/>
      <c r="X107" s="44">
        <f t="shared" si="23"/>
        <v>0</v>
      </c>
      <c r="Y107" s="44"/>
      <c r="Z107" s="44"/>
      <c r="AA107" s="44"/>
      <c r="AB107" s="44"/>
      <c r="AC107" s="44">
        <f t="shared" si="24"/>
        <v>0</v>
      </c>
    </row>
    <row r="108" spans="1:29" ht="12.75">
      <c r="A108" s="36">
        <v>3121</v>
      </c>
      <c r="B108" s="4">
        <v>410</v>
      </c>
      <c r="C108" s="77" t="s">
        <v>208</v>
      </c>
      <c r="D108" s="72">
        <v>6669.7</v>
      </c>
      <c r="E108" s="44">
        <f>118.2-150.42</f>
        <v>-32.219999999999985</v>
      </c>
      <c r="F108" s="44"/>
      <c r="G108" s="48">
        <f>72.2</f>
        <v>72.2</v>
      </c>
      <c r="H108" s="44">
        <f t="shared" si="17"/>
        <v>6709.679999999999</v>
      </c>
      <c r="I108" s="44"/>
      <c r="J108" s="72"/>
      <c r="K108" s="44"/>
      <c r="L108" s="44">
        <f t="shared" si="22"/>
        <v>0</v>
      </c>
      <c r="M108" s="44"/>
      <c r="N108" s="72">
        <v>1186.4</v>
      </c>
      <c r="O108" s="44">
        <f>-120.34</f>
        <v>-120.34</v>
      </c>
      <c r="P108" s="44">
        <f t="shared" si="19"/>
        <v>1066.0600000000002</v>
      </c>
      <c r="Q108" s="44"/>
      <c r="R108" s="36">
        <v>3121</v>
      </c>
      <c r="S108" s="4">
        <v>410</v>
      </c>
      <c r="T108" s="77" t="s">
        <v>12</v>
      </c>
      <c r="U108" s="44">
        <v>5200</v>
      </c>
      <c r="V108" s="44"/>
      <c r="W108" s="44"/>
      <c r="X108" s="44">
        <f t="shared" si="23"/>
        <v>5200</v>
      </c>
      <c r="Y108" s="44"/>
      <c r="Z108" s="44"/>
      <c r="AA108" s="44"/>
      <c r="AB108" s="44"/>
      <c r="AC108" s="44">
        <f t="shared" si="24"/>
        <v>0</v>
      </c>
    </row>
    <row r="109" spans="1:29" ht="12.75">
      <c r="A109" s="36">
        <v>3121</v>
      </c>
      <c r="B109" s="4">
        <v>413</v>
      </c>
      <c r="C109" s="77" t="s">
        <v>209</v>
      </c>
      <c r="D109" s="72">
        <v>6512</v>
      </c>
      <c r="E109" s="44">
        <f>118.46+46.47</f>
        <v>164.93</v>
      </c>
      <c r="F109" s="44"/>
      <c r="G109" s="48">
        <f>60</f>
        <v>60</v>
      </c>
      <c r="H109" s="44">
        <f aca="true" t="shared" si="25" ref="H109:H127">D109+E109+F109+G109</f>
        <v>6736.93</v>
      </c>
      <c r="I109" s="44"/>
      <c r="J109" s="72"/>
      <c r="K109" s="44"/>
      <c r="L109" s="44">
        <f t="shared" si="22"/>
        <v>0</v>
      </c>
      <c r="M109" s="44"/>
      <c r="N109" s="72">
        <v>591.7</v>
      </c>
      <c r="O109" s="44">
        <f>37.18</f>
        <v>37.18</v>
      </c>
      <c r="P109" s="44">
        <f t="shared" si="19"/>
        <v>628.88</v>
      </c>
      <c r="Q109" s="44"/>
      <c r="R109" s="36">
        <v>3121</v>
      </c>
      <c r="S109" s="4">
        <v>413</v>
      </c>
      <c r="T109" s="77" t="s">
        <v>148</v>
      </c>
      <c r="U109" s="44">
        <v>2000</v>
      </c>
      <c r="V109" s="44">
        <f>1579.34</f>
        <v>1579.34</v>
      </c>
      <c r="W109" s="44"/>
      <c r="X109" s="44">
        <f t="shared" si="23"/>
        <v>3579.34</v>
      </c>
      <c r="Y109" s="44"/>
      <c r="Z109" s="44"/>
      <c r="AA109" s="44"/>
      <c r="AB109" s="44"/>
      <c r="AC109" s="44">
        <f t="shared" si="24"/>
        <v>0</v>
      </c>
    </row>
    <row r="110" spans="1:29" ht="12.75">
      <c r="A110" s="36">
        <v>3122</v>
      </c>
      <c r="B110" s="4">
        <v>415</v>
      </c>
      <c r="C110" s="67" t="s">
        <v>211</v>
      </c>
      <c r="D110" s="72">
        <f>4657.9+550</f>
        <v>5207.9</v>
      </c>
      <c r="E110" s="44">
        <f>11.57+149.18</f>
        <v>160.75</v>
      </c>
      <c r="F110" s="44"/>
      <c r="G110" s="48">
        <f>250.9</f>
        <v>250.9</v>
      </c>
      <c r="H110" s="44">
        <f t="shared" si="25"/>
        <v>5619.549999999999</v>
      </c>
      <c r="I110" s="44"/>
      <c r="J110" s="72"/>
      <c r="K110" s="44">
        <f>104</f>
        <v>104</v>
      </c>
      <c r="L110" s="44">
        <f t="shared" si="22"/>
        <v>104</v>
      </c>
      <c r="M110" s="44"/>
      <c r="N110" s="72">
        <v>466.1</v>
      </c>
      <c r="O110" s="44">
        <f>13.74</f>
        <v>13.74</v>
      </c>
      <c r="P110" s="44">
        <f t="shared" si="19"/>
        <v>479.84000000000003</v>
      </c>
      <c r="Q110" s="44"/>
      <c r="R110" s="36">
        <v>3122</v>
      </c>
      <c r="S110" s="4">
        <v>415</v>
      </c>
      <c r="T110" s="67" t="s">
        <v>149</v>
      </c>
      <c r="U110" s="44"/>
      <c r="V110" s="44">
        <f>600</f>
        <v>600</v>
      </c>
      <c r="W110" s="44"/>
      <c r="X110" s="44">
        <f t="shared" si="23"/>
        <v>600</v>
      </c>
      <c r="Y110" s="44"/>
      <c r="Z110" s="44"/>
      <c r="AA110" s="44">
        <f>210</f>
        <v>210</v>
      </c>
      <c r="AB110" s="44"/>
      <c r="AC110" s="44">
        <f t="shared" si="24"/>
        <v>210</v>
      </c>
    </row>
    <row r="111" spans="1:29" ht="12.75">
      <c r="A111" s="36">
        <v>3127</v>
      </c>
      <c r="B111" s="4">
        <v>416</v>
      </c>
      <c r="C111" s="77" t="s">
        <v>210</v>
      </c>
      <c r="D111" s="72">
        <v>13817.1</v>
      </c>
      <c r="E111" s="44">
        <f>121+422.28</f>
        <v>543.28</v>
      </c>
      <c r="F111" s="44"/>
      <c r="G111" s="48">
        <f>62.7</f>
        <v>62.7</v>
      </c>
      <c r="H111" s="44">
        <f t="shared" si="25"/>
        <v>14423.080000000002</v>
      </c>
      <c r="I111" s="44"/>
      <c r="J111" s="72">
        <v>185</v>
      </c>
      <c r="K111" s="55"/>
      <c r="L111" s="44">
        <f t="shared" si="22"/>
        <v>185</v>
      </c>
      <c r="M111" s="44"/>
      <c r="N111" s="72">
        <v>2376.9</v>
      </c>
      <c r="O111" s="44">
        <f>83.66</f>
        <v>83.66</v>
      </c>
      <c r="P111" s="44">
        <f t="shared" si="19"/>
        <v>2460.56</v>
      </c>
      <c r="Q111" s="44"/>
      <c r="R111" s="36">
        <v>3127</v>
      </c>
      <c r="S111" s="4">
        <v>416</v>
      </c>
      <c r="T111" s="77" t="s">
        <v>114</v>
      </c>
      <c r="U111" s="44"/>
      <c r="V111" s="44">
        <f>610</f>
        <v>610</v>
      </c>
      <c r="W111" s="44"/>
      <c r="X111" s="44">
        <f t="shared" si="23"/>
        <v>610</v>
      </c>
      <c r="Y111" s="44"/>
      <c r="Z111" s="44"/>
      <c r="AA111" s="48">
        <f>4000</f>
        <v>4000</v>
      </c>
      <c r="AB111" s="48"/>
      <c r="AC111" s="44">
        <f t="shared" si="24"/>
        <v>4000</v>
      </c>
    </row>
    <row r="112" spans="1:29" ht="12.75">
      <c r="A112" s="36">
        <v>3127</v>
      </c>
      <c r="B112" s="4">
        <v>418</v>
      </c>
      <c r="C112" s="67" t="s">
        <v>212</v>
      </c>
      <c r="D112" s="72">
        <v>6870.9</v>
      </c>
      <c r="E112" s="44">
        <f>121.3-163.96</f>
        <v>-42.66000000000001</v>
      </c>
      <c r="F112" s="44"/>
      <c r="G112" s="48">
        <f>118</f>
        <v>118</v>
      </c>
      <c r="H112" s="44">
        <f t="shared" si="25"/>
        <v>6946.24</v>
      </c>
      <c r="I112" s="44"/>
      <c r="J112" s="72"/>
      <c r="K112" s="44"/>
      <c r="L112" s="44">
        <f t="shared" si="22"/>
        <v>0</v>
      </c>
      <c r="M112" s="44"/>
      <c r="N112" s="72">
        <v>933.6</v>
      </c>
      <c r="O112" s="44">
        <f>-131.17</f>
        <v>-131.17</v>
      </c>
      <c r="P112" s="44">
        <f t="shared" si="19"/>
        <v>802.4300000000001</v>
      </c>
      <c r="Q112" s="44"/>
      <c r="R112" s="36">
        <v>3127</v>
      </c>
      <c r="S112" s="4">
        <v>418</v>
      </c>
      <c r="T112" s="67" t="s">
        <v>150</v>
      </c>
      <c r="U112" s="44"/>
      <c r="V112" s="48"/>
      <c r="W112" s="48"/>
      <c r="X112" s="44">
        <f t="shared" si="23"/>
        <v>0</v>
      </c>
      <c r="Y112" s="44"/>
      <c r="Z112" s="44">
        <v>3300</v>
      </c>
      <c r="AA112" s="44">
        <f>1522.47</f>
        <v>1522.47</v>
      </c>
      <c r="AB112" s="44"/>
      <c r="AC112" s="44">
        <f t="shared" si="24"/>
        <v>4822.47</v>
      </c>
    </row>
    <row r="113" spans="1:29" ht="12.75">
      <c r="A113" s="36">
        <v>3127</v>
      </c>
      <c r="B113" s="4">
        <v>419</v>
      </c>
      <c r="C113" s="77" t="s">
        <v>213</v>
      </c>
      <c r="D113" s="72">
        <v>7900</v>
      </c>
      <c r="E113" s="44">
        <f>130+1615.11</f>
        <v>1745.11</v>
      </c>
      <c r="F113" s="44"/>
      <c r="G113" s="48">
        <f>67</f>
        <v>67</v>
      </c>
      <c r="H113" s="44">
        <f t="shared" si="25"/>
        <v>9712.11</v>
      </c>
      <c r="I113" s="44"/>
      <c r="J113" s="72"/>
      <c r="K113" s="44"/>
      <c r="L113" s="44">
        <f t="shared" si="22"/>
        <v>0</v>
      </c>
      <c r="M113" s="44"/>
      <c r="N113" s="72">
        <v>1536</v>
      </c>
      <c r="O113" s="44">
        <f>82.73</f>
        <v>82.73</v>
      </c>
      <c r="P113" s="44">
        <f t="shared" si="19"/>
        <v>1618.73</v>
      </c>
      <c r="Q113" s="44"/>
      <c r="R113" s="36">
        <v>3127</v>
      </c>
      <c r="S113" s="4">
        <v>419</v>
      </c>
      <c r="T113" s="77" t="s">
        <v>48</v>
      </c>
      <c r="U113" s="44"/>
      <c r="V113" s="44"/>
      <c r="W113" s="44"/>
      <c r="X113" s="44">
        <f t="shared" si="23"/>
        <v>0</v>
      </c>
      <c r="Y113" s="44"/>
      <c r="Z113" s="44"/>
      <c r="AA113" s="44">
        <f>2471.3</f>
        <v>2471.3</v>
      </c>
      <c r="AB113" s="44"/>
      <c r="AC113" s="44">
        <f t="shared" si="24"/>
        <v>2471.3</v>
      </c>
    </row>
    <row r="114" spans="1:29" ht="12.75">
      <c r="A114" s="36">
        <v>3124</v>
      </c>
      <c r="B114" s="4">
        <v>423</v>
      </c>
      <c r="C114" s="77" t="s">
        <v>214</v>
      </c>
      <c r="D114" s="72">
        <v>3927.3</v>
      </c>
      <c r="E114" s="44">
        <f>42.38</f>
        <v>42.38</v>
      </c>
      <c r="F114" s="44"/>
      <c r="G114" s="48">
        <f>71</f>
        <v>71</v>
      </c>
      <c r="H114" s="44">
        <f t="shared" si="25"/>
        <v>4040.6800000000003</v>
      </c>
      <c r="I114" s="44"/>
      <c r="J114" s="72"/>
      <c r="K114" s="44"/>
      <c r="L114" s="44">
        <f t="shared" si="22"/>
        <v>0</v>
      </c>
      <c r="M114" s="44"/>
      <c r="N114" s="72">
        <v>370.4</v>
      </c>
      <c r="O114" s="44">
        <f>-5.46</f>
        <v>-5.46</v>
      </c>
      <c r="P114" s="44">
        <f t="shared" si="19"/>
        <v>364.94</v>
      </c>
      <c r="Q114" s="44"/>
      <c r="R114" s="36">
        <v>3124</v>
      </c>
      <c r="S114" s="4">
        <v>423</v>
      </c>
      <c r="T114" s="77" t="s">
        <v>115</v>
      </c>
      <c r="U114" s="44"/>
      <c r="V114" s="44">
        <f>1040</f>
        <v>1040</v>
      </c>
      <c r="W114" s="44"/>
      <c r="X114" s="44">
        <f t="shared" si="23"/>
        <v>1040</v>
      </c>
      <c r="Y114" s="44"/>
      <c r="Z114" s="44"/>
      <c r="AA114" s="44"/>
      <c r="AB114" s="44"/>
      <c r="AC114" s="44">
        <f t="shared" si="24"/>
        <v>0</v>
      </c>
    </row>
    <row r="115" spans="1:29" ht="12.75">
      <c r="A115" s="36">
        <v>3112</v>
      </c>
      <c r="B115" s="4">
        <v>425</v>
      </c>
      <c r="C115" s="77" t="s">
        <v>116</v>
      </c>
      <c r="D115" s="72">
        <v>1329.4</v>
      </c>
      <c r="E115" s="44">
        <f>-0.05</f>
        <v>-0.05</v>
      </c>
      <c r="F115" s="44"/>
      <c r="G115" s="48"/>
      <c r="H115" s="44">
        <f t="shared" si="25"/>
        <v>1329.3500000000001</v>
      </c>
      <c r="I115" s="44"/>
      <c r="J115" s="72"/>
      <c r="K115" s="44"/>
      <c r="L115" s="44">
        <f t="shared" si="22"/>
        <v>0</v>
      </c>
      <c r="M115" s="44"/>
      <c r="N115" s="72">
        <v>35.4</v>
      </c>
      <c r="O115" s="44">
        <f>-0.04</f>
        <v>-0.04</v>
      </c>
      <c r="P115" s="44">
        <f t="shared" si="19"/>
        <v>35.36</v>
      </c>
      <c r="Q115" s="44"/>
      <c r="R115" s="36">
        <v>3112</v>
      </c>
      <c r="S115" s="4">
        <v>425</v>
      </c>
      <c r="T115" s="77" t="s">
        <v>116</v>
      </c>
      <c r="U115" s="44"/>
      <c r="V115" s="44"/>
      <c r="W115" s="44"/>
      <c r="X115" s="44">
        <f t="shared" si="23"/>
        <v>0</v>
      </c>
      <c r="Y115" s="44"/>
      <c r="Z115" s="44"/>
      <c r="AA115" s="44"/>
      <c r="AB115" s="44"/>
      <c r="AC115" s="44">
        <f t="shared" si="24"/>
        <v>0</v>
      </c>
    </row>
    <row r="116" spans="1:29" ht="12.75">
      <c r="A116" s="36">
        <v>3114</v>
      </c>
      <c r="B116" s="4">
        <v>426</v>
      </c>
      <c r="C116" s="77" t="s">
        <v>215</v>
      </c>
      <c r="D116" s="72">
        <v>989.8</v>
      </c>
      <c r="E116" s="44">
        <f>21.7</f>
        <v>21.7</v>
      </c>
      <c r="F116" s="44"/>
      <c r="G116" s="48">
        <f>30</f>
        <v>30</v>
      </c>
      <c r="H116" s="44">
        <f t="shared" si="25"/>
        <v>1041.5</v>
      </c>
      <c r="I116" s="44"/>
      <c r="J116" s="72"/>
      <c r="K116" s="44"/>
      <c r="L116" s="44">
        <f t="shared" si="22"/>
        <v>0</v>
      </c>
      <c r="M116" s="44"/>
      <c r="N116" s="72">
        <v>0</v>
      </c>
      <c r="O116" s="44"/>
      <c r="P116" s="44">
        <f t="shared" si="19"/>
        <v>0</v>
      </c>
      <c r="Q116" s="44"/>
      <c r="R116" s="36">
        <v>3114</v>
      </c>
      <c r="S116" s="4">
        <v>426</v>
      </c>
      <c r="T116" s="77" t="s">
        <v>49</v>
      </c>
      <c r="U116" s="44"/>
      <c r="V116" s="44"/>
      <c r="W116" s="44"/>
      <c r="X116" s="44">
        <f t="shared" si="23"/>
        <v>0</v>
      </c>
      <c r="Y116" s="44"/>
      <c r="Z116" s="44"/>
      <c r="AA116" s="44"/>
      <c r="AB116" s="44"/>
      <c r="AC116" s="44">
        <f t="shared" si="24"/>
        <v>0</v>
      </c>
    </row>
    <row r="117" spans="1:29" ht="12.75" customHeight="1">
      <c r="A117" s="36">
        <v>3133</v>
      </c>
      <c r="B117" s="4">
        <v>427</v>
      </c>
      <c r="C117" s="77" t="s">
        <v>50</v>
      </c>
      <c r="D117" s="72">
        <v>2562.05</v>
      </c>
      <c r="E117" s="44"/>
      <c r="F117" s="44"/>
      <c r="G117" s="48"/>
      <c r="H117" s="44">
        <f t="shared" si="25"/>
        <v>2562.05</v>
      </c>
      <c r="I117" s="44"/>
      <c r="J117" s="72"/>
      <c r="K117" s="44"/>
      <c r="L117" s="44">
        <f t="shared" si="22"/>
        <v>0</v>
      </c>
      <c r="M117" s="44"/>
      <c r="N117" s="72">
        <v>63.9</v>
      </c>
      <c r="O117" s="44"/>
      <c r="P117" s="44">
        <f t="shared" si="19"/>
        <v>63.9</v>
      </c>
      <c r="Q117" s="44"/>
      <c r="R117" s="36">
        <v>3133</v>
      </c>
      <c r="S117" s="4">
        <v>427</v>
      </c>
      <c r="T117" s="77" t="s">
        <v>50</v>
      </c>
      <c r="U117" s="44"/>
      <c r="V117" s="44"/>
      <c r="W117" s="44"/>
      <c r="X117" s="44">
        <f t="shared" si="23"/>
        <v>0</v>
      </c>
      <c r="Y117" s="44"/>
      <c r="Z117" s="44"/>
      <c r="AA117" s="44"/>
      <c r="AB117" s="44"/>
      <c r="AC117" s="44">
        <f t="shared" si="24"/>
        <v>0</v>
      </c>
    </row>
    <row r="118" spans="1:29" ht="12.75">
      <c r="A118" s="36">
        <v>3133</v>
      </c>
      <c r="B118" s="4">
        <v>428</v>
      </c>
      <c r="C118" s="77" t="s">
        <v>216</v>
      </c>
      <c r="D118" s="72">
        <v>3187.6</v>
      </c>
      <c r="E118" s="44">
        <f>-0.07</f>
        <v>-0.07</v>
      </c>
      <c r="F118" s="44"/>
      <c r="G118" s="48">
        <f>81</f>
        <v>81</v>
      </c>
      <c r="H118" s="44">
        <f t="shared" si="25"/>
        <v>3268.5299999999997</v>
      </c>
      <c r="I118" s="44"/>
      <c r="J118" s="72"/>
      <c r="K118" s="44"/>
      <c r="L118" s="44">
        <f t="shared" si="22"/>
        <v>0</v>
      </c>
      <c r="M118" s="44"/>
      <c r="N118" s="72">
        <v>241.2</v>
      </c>
      <c r="O118" s="44">
        <f>-0.06</f>
        <v>-0.06</v>
      </c>
      <c r="P118" s="44">
        <f t="shared" si="19"/>
        <v>241.14</v>
      </c>
      <c r="Q118" s="44"/>
      <c r="R118" s="36">
        <v>3133</v>
      </c>
      <c r="S118" s="4">
        <v>428</v>
      </c>
      <c r="T118" s="77" t="s">
        <v>117</v>
      </c>
      <c r="U118" s="44"/>
      <c r="V118" s="44"/>
      <c r="W118" s="44"/>
      <c r="X118" s="44">
        <f t="shared" si="23"/>
        <v>0</v>
      </c>
      <c r="Y118" s="44"/>
      <c r="Z118" s="44"/>
      <c r="AA118" s="44"/>
      <c r="AB118" s="44"/>
      <c r="AC118" s="44">
        <f t="shared" si="24"/>
        <v>0</v>
      </c>
    </row>
    <row r="119" spans="1:29" ht="12.75">
      <c r="A119" s="36">
        <v>3114</v>
      </c>
      <c r="B119" s="4">
        <v>431</v>
      </c>
      <c r="C119" s="67" t="s">
        <v>217</v>
      </c>
      <c r="D119" s="72">
        <v>1660</v>
      </c>
      <c r="E119" s="44">
        <f>30+0.04</f>
        <v>30.04</v>
      </c>
      <c r="F119" s="44"/>
      <c r="G119" s="48">
        <f>9.5</f>
        <v>9.5</v>
      </c>
      <c r="H119" s="44">
        <f t="shared" si="25"/>
        <v>1699.54</v>
      </c>
      <c r="I119" s="44"/>
      <c r="J119" s="72"/>
      <c r="K119" s="44"/>
      <c r="L119" s="44">
        <f t="shared" si="22"/>
        <v>0</v>
      </c>
      <c r="M119" s="44"/>
      <c r="N119" s="72">
        <v>122.8</v>
      </c>
      <c r="O119" s="44">
        <f>0.03</f>
        <v>0.03</v>
      </c>
      <c r="P119" s="44">
        <f t="shared" si="19"/>
        <v>122.83</v>
      </c>
      <c r="Q119" s="44"/>
      <c r="R119" s="36">
        <v>3114</v>
      </c>
      <c r="S119" s="4">
        <v>431</v>
      </c>
      <c r="T119" s="67" t="s">
        <v>118</v>
      </c>
      <c r="U119" s="44"/>
      <c r="V119" s="44"/>
      <c r="W119" s="44"/>
      <c r="X119" s="44">
        <f t="shared" si="23"/>
        <v>0</v>
      </c>
      <c r="Y119" s="44"/>
      <c r="Z119" s="44">
        <v>2000</v>
      </c>
      <c r="AA119" s="44">
        <f>250</f>
        <v>250</v>
      </c>
      <c r="AB119" s="44"/>
      <c r="AC119" s="44">
        <f t="shared" si="24"/>
        <v>2250</v>
      </c>
    </row>
    <row r="120" spans="1:29" ht="12.75">
      <c r="A120" s="36">
        <v>3114</v>
      </c>
      <c r="B120" s="4">
        <v>432</v>
      </c>
      <c r="C120" s="77" t="s">
        <v>218</v>
      </c>
      <c r="D120" s="72">
        <v>2449.4</v>
      </c>
      <c r="E120" s="44"/>
      <c r="F120" s="44"/>
      <c r="G120" s="48">
        <f>13</f>
        <v>13</v>
      </c>
      <c r="H120" s="44">
        <f t="shared" si="25"/>
        <v>2462.4</v>
      </c>
      <c r="I120" s="44"/>
      <c r="J120" s="72"/>
      <c r="K120" s="44"/>
      <c r="L120" s="44">
        <f t="shared" si="22"/>
        <v>0</v>
      </c>
      <c r="M120" s="44"/>
      <c r="N120" s="72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77" t="s">
        <v>119</v>
      </c>
      <c r="U120" s="44"/>
      <c r="V120" s="44"/>
      <c r="W120" s="44"/>
      <c r="X120" s="44">
        <f t="shared" si="23"/>
        <v>0</v>
      </c>
      <c r="Y120" s="44"/>
      <c r="Z120" s="44"/>
      <c r="AA120" s="44"/>
      <c r="AB120" s="44"/>
      <c r="AC120" s="44">
        <f t="shared" si="24"/>
        <v>0</v>
      </c>
    </row>
    <row r="121" spans="1:29" ht="12.75">
      <c r="A121" s="36">
        <v>3114</v>
      </c>
      <c r="B121" s="4">
        <v>433</v>
      </c>
      <c r="C121" s="77" t="s">
        <v>219</v>
      </c>
      <c r="D121" s="72">
        <v>827.5</v>
      </c>
      <c r="E121" s="44">
        <f>20</f>
        <v>20</v>
      </c>
      <c r="F121" s="44"/>
      <c r="G121" s="48">
        <f>11</f>
        <v>11</v>
      </c>
      <c r="H121" s="44">
        <f t="shared" si="25"/>
        <v>858.5</v>
      </c>
      <c r="I121" s="44"/>
      <c r="J121" s="72"/>
      <c r="K121" s="44"/>
      <c r="L121" s="44">
        <f t="shared" si="22"/>
        <v>0</v>
      </c>
      <c r="M121" s="44"/>
      <c r="N121" s="72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77" t="s">
        <v>51</v>
      </c>
      <c r="U121" s="44"/>
      <c r="V121" s="44"/>
      <c r="W121" s="44"/>
      <c r="X121" s="44">
        <f t="shared" si="23"/>
        <v>0</v>
      </c>
      <c r="Y121" s="44"/>
      <c r="Z121" s="44"/>
      <c r="AA121" s="44"/>
      <c r="AB121" s="44"/>
      <c r="AC121" s="44">
        <f t="shared" si="24"/>
        <v>0</v>
      </c>
    </row>
    <row r="122" spans="1:29" ht="12.75">
      <c r="A122" s="36">
        <v>3114</v>
      </c>
      <c r="B122" s="4">
        <v>436</v>
      </c>
      <c r="C122" s="67" t="s">
        <v>120</v>
      </c>
      <c r="D122" s="72">
        <v>2146.7</v>
      </c>
      <c r="E122" s="44"/>
      <c r="F122" s="44"/>
      <c r="G122" s="48"/>
      <c r="H122" s="44">
        <f t="shared" si="25"/>
        <v>2146.7</v>
      </c>
      <c r="I122" s="44"/>
      <c r="J122" s="72"/>
      <c r="K122" s="44"/>
      <c r="L122" s="44">
        <f t="shared" si="22"/>
        <v>0</v>
      </c>
      <c r="M122" s="44"/>
      <c r="N122" s="72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7" t="s">
        <v>120</v>
      </c>
      <c r="U122" s="44"/>
      <c r="V122" s="44"/>
      <c r="W122" s="44"/>
      <c r="X122" s="44">
        <f t="shared" si="23"/>
        <v>0</v>
      </c>
      <c r="Y122" s="44"/>
      <c r="Z122" s="44"/>
      <c r="AA122" s="44"/>
      <c r="AB122" s="44"/>
      <c r="AC122" s="44">
        <f t="shared" si="24"/>
        <v>0</v>
      </c>
    </row>
    <row r="123" spans="1:29" ht="12.75">
      <c r="A123" s="36">
        <v>3127</v>
      </c>
      <c r="B123" s="4">
        <v>445</v>
      </c>
      <c r="C123" s="67" t="s">
        <v>220</v>
      </c>
      <c r="D123" s="72">
        <v>7897.3</v>
      </c>
      <c r="E123" s="44">
        <f>37.08+1120.32</f>
        <v>1157.3999999999999</v>
      </c>
      <c r="F123" s="44"/>
      <c r="G123" s="48">
        <f>115</f>
        <v>115</v>
      </c>
      <c r="H123" s="44">
        <f t="shared" si="25"/>
        <v>9169.7</v>
      </c>
      <c r="I123" s="44"/>
      <c r="J123" s="72"/>
      <c r="K123" s="44">
        <f>81.12</f>
        <v>81.12</v>
      </c>
      <c r="L123" s="44">
        <f t="shared" si="22"/>
        <v>81.12</v>
      </c>
      <c r="M123" s="44"/>
      <c r="N123" s="72">
        <v>1038.4</v>
      </c>
      <c r="O123" s="44">
        <f>40.98</f>
        <v>40.98</v>
      </c>
      <c r="P123" s="44">
        <f t="shared" si="19"/>
        <v>1079.38</v>
      </c>
      <c r="Q123" s="44"/>
      <c r="R123" s="36">
        <v>3127</v>
      </c>
      <c r="S123" s="4">
        <v>445</v>
      </c>
      <c r="T123" s="67" t="s">
        <v>121</v>
      </c>
      <c r="U123" s="44"/>
      <c r="V123" s="44">
        <f>149</f>
        <v>149</v>
      </c>
      <c r="W123" s="44"/>
      <c r="X123" s="44">
        <f t="shared" si="23"/>
        <v>149</v>
      </c>
      <c r="Y123" s="44"/>
      <c r="Z123" s="44">
        <v>1200</v>
      </c>
      <c r="AA123" s="44">
        <f>230</f>
        <v>230</v>
      </c>
      <c r="AB123" s="44"/>
      <c r="AC123" s="44">
        <f t="shared" si="24"/>
        <v>1430</v>
      </c>
    </row>
    <row r="124" spans="1:29" ht="12.75">
      <c r="A124" s="36">
        <v>3127</v>
      </c>
      <c r="B124" s="4">
        <v>447</v>
      </c>
      <c r="C124" s="77" t="s">
        <v>221</v>
      </c>
      <c r="D124" s="72">
        <v>3913.2</v>
      </c>
      <c r="E124" s="59">
        <f>84.8+176.79</f>
        <v>261.59</v>
      </c>
      <c r="F124" s="59"/>
      <c r="G124" s="59">
        <f>137.8</f>
        <v>137.8</v>
      </c>
      <c r="H124" s="44">
        <f t="shared" si="25"/>
        <v>4312.59</v>
      </c>
      <c r="I124" s="59"/>
      <c r="J124" s="72"/>
      <c r="K124" s="59"/>
      <c r="L124" s="44">
        <f t="shared" si="22"/>
        <v>0</v>
      </c>
      <c r="M124" s="59"/>
      <c r="N124" s="72">
        <v>458.3</v>
      </c>
      <c r="O124" s="59">
        <f>49.11</f>
        <v>49.11</v>
      </c>
      <c r="P124" s="44">
        <f t="shared" si="19"/>
        <v>507.41</v>
      </c>
      <c r="Q124" s="59"/>
      <c r="R124" s="36">
        <v>3127</v>
      </c>
      <c r="S124" s="4">
        <v>447</v>
      </c>
      <c r="T124" s="77" t="s">
        <v>52</v>
      </c>
      <c r="U124" s="59"/>
      <c r="V124" s="59">
        <f>236.22</f>
        <v>236.22</v>
      </c>
      <c r="W124" s="59"/>
      <c r="X124" s="44">
        <f t="shared" si="23"/>
        <v>236.22</v>
      </c>
      <c r="Y124" s="59"/>
      <c r="Z124" s="59"/>
      <c r="AA124" s="59"/>
      <c r="AB124" s="59"/>
      <c r="AC124" s="44">
        <f t="shared" si="24"/>
        <v>0</v>
      </c>
    </row>
    <row r="125" spans="1:29" ht="12.75">
      <c r="A125" s="36">
        <v>3114</v>
      </c>
      <c r="B125" s="4">
        <v>452</v>
      </c>
      <c r="C125" s="77" t="s">
        <v>122</v>
      </c>
      <c r="D125" s="72">
        <v>1851.6</v>
      </c>
      <c r="E125" s="44"/>
      <c r="F125" s="44"/>
      <c r="G125" s="44"/>
      <c r="H125" s="44">
        <f t="shared" si="25"/>
        <v>1851.6</v>
      </c>
      <c r="I125" s="44"/>
      <c r="J125" s="72"/>
      <c r="K125" s="44"/>
      <c r="L125" s="44">
        <f t="shared" si="22"/>
        <v>0</v>
      </c>
      <c r="M125" s="44"/>
      <c r="N125" s="72">
        <v>16.8</v>
      </c>
      <c r="O125" s="44"/>
      <c r="P125" s="44">
        <f aca="true" t="shared" si="26" ref="P125:P132">N125+O125</f>
        <v>16.8</v>
      </c>
      <c r="Q125" s="44"/>
      <c r="R125" s="36">
        <v>3114</v>
      </c>
      <c r="S125" s="4">
        <v>452</v>
      </c>
      <c r="T125" s="77" t="s">
        <v>122</v>
      </c>
      <c r="U125" s="44"/>
      <c r="V125" s="44"/>
      <c r="W125" s="44"/>
      <c r="X125" s="44">
        <f t="shared" si="23"/>
        <v>0</v>
      </c>
      <c r="Y125" s="44"/>
      <c r="Z125" s="44"/>
      <c r="AA125" s="44"/>
      <c r="AB125" s="44"/>
      <c r="AC125" s="44">
        <f t="shared" si="24"/>
        <v>0</v>
      </c>
    </row>
    <row r="126" spans="1:29" ht="12.75">
      <c r="A126" s="36">
        <v>3127</v>
      </c>
      <c r="B126" s="4">
        <v>454</v>
      </c>
      <c r="C126" s="77" t="s">
        <v>222</v>
      </c>
      <c r="D126" s="72">
        <v>13337.6</v>
      </c>
      <c r="E126" s="44">
        <f>45.19+1554.9</f>
        <v>1600.0900000000001</v>
      </c>
      <c r="F126" s="44"/>
      <c r="G126" s="44">
        <f>59</f>
        <v>59</v>
      </c>
      <c r="H126" s="44">
        <f t="shared" si="25"/>
        <v>14996.69</v>
      </c>
      <c r="I126" s="44"/>
      <c r="J126" s="72"/>
      <c r="K126" s="44">
        <f>61.25</f>
        <v>61.25</v>
      </c>
      <c r="L126" s="44">
        <f>J126+K126</f>
        <v>61.25</v>
      </c>
      <c r="M126" s="44"/>
      <c r="N126" s="72">
        <v>3960</v>
      </c>
      <c r="O126" s="44">
        <f>440.2</f>
        <v>440.2</v>
      </c>
      <c r="P126" s="44">
        <f t="shared" si="26"/>
        <v>4400.2</v>
      </c>
      <c r="Q126" s="44"/>
      <c r="R126" s="36">
        <v>3127</v>
      </c>
      <c r="S126" s="4">
        <v>454</v>
      </c>
      <c r="T126" s="77" t="s">
        <v>123</v>
      </c>
      <c r="U126" s="44"/>
      <c r="V126" s="44"/>
      <c r="W126" s="44"/>
      <c r="X126" s="44">
        <f t="shared" si="23"/>
        <v>0</v>
      </c>
      <c r="Y126" s="44"/>
      <c r="Z126" s="44">
        <v>5300</v>
      </c>
      <c r="AA126" s="44">
        <f>1246.13</f>
        <v>1246.13</v>
      </c>
      <c r="AB126" s="44"/>
      <c r="AC126" s="44">
        <f t="shared" si="24"/>
        <v>6546.13</v>
      </c>
    </row>
    <row r="127" spans="1:29" ht="12.75">
      <c r="A127" s="36">
        <v>3146</v>
      </c>
      <c r="B127" s="4">
        <v>455</v>
      </c>
      <c r="C127" s="77" t="s">
        <v>124</v>
      </c>
      <c r="D127" s="72">
        <v>6427.7</v>
      </c>
      <c r="E127" s="68">
        <f>4.37</f>
        <v>4.37</v>
      </c>
      <c r="F127" s="68"/>
      <c r="G127" s="68"/>
      <c r="H127" s="59">
        <f t="shared" si="25"/>
        <v>6432.07</v>
      </c>
      <c r="I127" s="68"/>
      <c r="J127" s="72"/>
      <c r="K127" s="68"/>
      <c r="L127" s="68">
        <f t="shared" si="22"/>
        <v>0</v>
      </c>
      <c r="M127" s="68"/>
      <c r="N127" s="72">
        <v>228</v>
      </c>
      <c r="O127" s="68">
        <f>3.5</f>
        <v>3.5</v>
      </c>
      <c r="P127" s="44">
        <f t="shared" si="26"/>
        <v>231.5</v>
      </c>
      <c r="Q127" s="68"/>
      <c r="R127" s="36">
        <v>3146</v>
      </c>
      <c r="S127" s="4">
        <v>455</v>
      </c>
      <c r="T127" s="77" t="s">
        <v>124</v>
      </c>
      <c r="U127" s="68"/>
      <c r="V127" s="68"/>
      <c r="W127" s="68"/>
      <c r="X127" s="59">
        <f t="shared" si="23"/>
        <v>0</v>
      </c>
      <c r="Y127" s="59"/>
      <c r="Z127" s="59"/>
      <c r="AA127" s="59"/>
      <c r="AB127" s="59"/>
      <c r="AC127" s="59">
        <f t="shared" si="24"/>
        <v>0</v>
      </c>
    </row>
    <row r="128" spans="1:29" ht="12.75">
      <c r="A128" s="78">
        <v>3127</v>
      </c>
      <c r="B128" s="79">
        <v>456</v>
      </c>
      <c r="C128" s="80" t="s">
        <v>223</v>
      </c>
      <c r="D128" s="81">
        <v>13960.6</v>
      </c>
      <c r="E128" s="44">
        <f>87.8+439.45</f>
        <v>527.25</v>
      </c>
      <c r="F128" s="44"/>
      <c r="G128" s="44">
        <f>188</f>
        <v>188</v>
      </c>
      <c r="H128" s="44">
        <f>D128+E128+F128+G128</f>
        <v>14675.85</v>
      </c>
      <c r="I128" s="44"/>
      <c r="J128" s="81">
        <v>185</v>
      </c>
      <c r="K128" s="44"/>
      <c r="L128" s="44">
        <f>J128+K128</f>
        <v>185</v>
      </c>
      <c r="M128" s="44"/>
      <c r="N128" s="81">
        <v>2000.8</v>
      </c>
      <c r="O128" s="44">
        <f>228.52</f>
        <v>228.52</v>
      </c>
      <c r="P128" s="44">
        <f t="shared" si="26"/>
        <v>2229.32</v>
      </c>
      <c r="Q128" s="44"/>
      <c r="R128" s="78">
        <v>3127</v>
      </c>
      <c r="S128" s="79">
        <v>456</v>
      </c>
      <c r="T128" s="80" t="s">
        <v>151</v>
      </c>
      <c r="U128" s="44">
        <v>3000</v>
      </c>
      <c r="V128" s="44">
        <f>150</f>
        <v>150</v>
      </c>
      <c r="W128" s="44"/>
      <c r="X128" s="44">
        <f>SUM(U128:W128)</f>
        <v>3150</v>
      </c>
      <c r="Y128" s="44"/>
      <c r="Z128" s="44">
        <v>4600</v>
      </c>
      <c r="AA128" s="44">
        <f>516</f>
        <v>516</v>
      </c>
      <c r="AB128" s="44"/>
      <c r="AC128" s="44">
        <f>SUM(Z128:AB128)</f>
        <v>5116</v>
      </c>
    </row>
    <row r="129" spans="1:29" ht="12.75">
      <c r="A129" s="35">
        <v>3127</v>
      </c>
      <c r="B129" s="2">
        <v>457</v>
      </c>
      <c r="C129" s="82" t="s">
        <v>152</v>
      </c>
      <c r="D129" s="73">
        <v>5224.5</v>
      </c>
      <c r="E129" s="44">
        <f>133.3+1340.08</f>
        <v>1473.3799999999999</v>
      </c>
      <c r="F129" s="44"/>
      <c r="G129" s="44"/>
      <c r="H129" s="44">
        <f>D129+E129+F129+G129</f>
        <v>6697.88</v>
      </c>
      <c r="I129" s="44"/>
      <c r="J129" s="73"/>
      <c r="K129" s="44"/>
      <c r="L129" s="44">
        <f>J129+K129</f>
        <v>0</v>
      </c>
      <c r="M129" s="44"/>
      <c r="N129" s="73">
        <v>312</v>
      </c>
      <c r="O129" s="44">
        <f>6.7</f>
        <v>6.7</v>
      </c>
      <c r="P129" s="44">
        <f t="shared" si="26"/>
        <v>318.7</v>
      </c>
      <c r="Q129" s="44"/>
      <c r="R129" s="35">
        <v>3127</v>
      </c>
      <c r="S129" s="2">
        <v>457</v>
      </c>
      <c r="T129" s="82" t="s">
        <v>152</v>
      </c>
      <c r="U129" s="44"/>
      <c r="V129" s="44"/>
      <c r="W129" s="44"/>
      <c r="X129" s="44">
        <f>SUM(U129:W129)</f>
        <v>0</v>
      </c>
      <c r="Y129" s="44"/>
      <c r="Z129" s="44"/>
      <c r="AA129" s="44">
        <f>200</f>
        <v>200</v>
      </c>
      <c r="AB129" s="44"/>
      <c r="AC129" s="44">
        <f>SUM(Z129:AB129)</f>
        <v>200</v>
      </c>
    </row>
    <row r="130" spans="1:29" ht="12.75">
      <c r="A130" s="35">
        <v>3127</v>
      </c>
      <c r="B130" s="2">
        <v>458</v>
      </c>
      <c r="C130" s="82" t="s">
        <v>153</v>
      </c>
      <c r="D130" s="73">
        <v>11805.5</v>
      </c>
      <c r="E130" s="44">
        <f>136.5+795.16</f>
        <v>931.66</v>
      </c>
      <c r="F130" s="44"/>
      <c r="G130" s="44"/>
      <c r="H130" s="44">
        <f>D130+E130+F130+G130</f>
        <v>12737.16</v>
      </c>
      <c r="I130" s="44"/>
      <c r="J130" s="73"/>
      <c r="K130" s="44"/>
      <c r="L130" s="44">
        <f>J130+K130</f>
        <v>0</v>
      </c>
      <c r="M130" s="44"/>
      <c r="N130" s="73">
        <v>1909.5</v>
      </c>
      <c r="O130" s="44">
        <f>-9.31</f>
        <v>-9.31</v>
      </c>
      <c r="P130" s="44">
        <f t="shared" si="26"/>
        <v>1900.19</v>
      </c>
      <c r="Q130" s="44"/>
      <c r="R130" s="35">
        <v>3127</v>
      </c>
      <c r="S130" s="2">
        <v>458</v>
      </c>
      <c r="T130" s="82" t="s">
        <v>153</v>
      </c>
      <c r="U130" s="44"/>
      <c r="V130" s="44"/>
      <c r="W130" s="44"/>
      <c r="X130" s="44">
        <f>SUM(U130:W130)</f>
        <v>0</v>
      </c>
      <c r="Y130" s="44"/>
      <c r="Z130" s="44">
        <v>15000</v>
      </c>
      <c r="AA130" s="44">
        <f>15361.92</f>
        <v>15361.92</v>
      </c>
      <c r="AB130" s="44"/>
      <c r="AC130" s="44">
        <f>SUM(Z130:AB130)</f>
        <v>30361.92</v>
      </c>
    </row>
    <row r="131" spans="1:29" ht="12.75">
      <c r="A131" s="35">
        <v>3127</v>
      </c>
      <c r="B131" s="2">
        <v>459</v>
      </c>
      <c r="C131" s="82" t="s">
        <v>224</v>
      </c>
      <c r="D131" s="73">
        <v>8918.6</v>
      </c>
      <c r="E131" s="44">
        <f>120+205.14</f>
        <v>325.14</v>
      </c>
      <c r="F131" s="44"/>
      <c r="G131" s="44">
        <f>83</f>
        <v>83</v>
      </c>
      <c r="H131" s="44">
        <f>D131+E131+F131+G131</f>
        <v>9326.74</v>
      </c>
      <c r="I131" s="44"/>
      <c r="J131" s="73"/>
      <c r="K131" s="44"/>
      <c r="L131" s="44">
        <f>J131+K131</f>
        <v>0</v>
      </c>
      <c r="M131" s="44"/>
      <c r="N131" s="73">
        <v>1451.8</v>
      </c>
      <c r="O131" s="44">
        <f>11.55</f>
        <v>11.55</v>
      </c>
      <c r="P131" s="44">
        <f t="shared" si="26"/>
        <v>1463.35</v>
      </c>
      <c r="Q131" s="44"/>
      <c r="R131" s="35">
        <v>3127</v>
      </c>
      <c r="S131" s="2">
        <v>459</v>
      </c>
      <c r="T131" s="82" t="s">
        <v>154</v>
      </c>
      <c r="U131" s="44"/>
      <c r="V131" s="44"/>
      <c r="W131" s="44"/>
      <c r="X131" s="44">
        <f>SUM(U131:W131)</f>
        <v>0</v>
      </c>
      <c r="Y131" s="44"/>
      <c r="Z131" s="44">
        <v>8000</v>
      </c>
      <c r="AA131" s="44">
        <f>-2666.36</f>
        <v>-2666.36</v>
      </c>
      <c r="AB131" s="44"/>
      <c r="AC131" s="44">
        <f>SUM(Z131:AB131)</f>
        <v>5333.639999999999</v>
      </c>
    </row>
    <row r="132" spans="1:29" ht="13.5" thickBot="1">
      <c r="A132" s="69">
        <v>3127</v>
      </c>
      <c r="B132" s="70">
        <v>460</v>
      </c>
      <c r="C132" s="83" t="s">
        <v>225</v>
      </c>
      <c r="D132" s="74">
        <v>9847.5</v>
      </c>
      <c r="E132" s="71">
        <f>100+147.57</f>
        <v>247.57</v>
      </c>
      <c r="F132" s="71"/>
      <c r="G132" s="71">
        <f>291.8</f>
        <v>291.8</v>
      </c>
      <c r="H132" s="71">
        <f>D132+E132+F132+G132</f>
        <v>10386.869999999999</v>
      </c>
      <c r="I132" s="71"/>
      <c r="J132" s="74"/>
      <c r="K132" s="71"/>
      <c r="L132" s="71">
        <f>J132+K132</f>
        <v>0</v>
      </c>
      <c r="M132" s="71"/>
      <c r="N132" s="74">
        <v>876</v>
      </c>
      <c r="O132" s="71">
        <f>-6.1</f>
        <v>-6.1</v>
      </c>
      <c r="P132" s="44">
        <f t="shared" si="26"/>
        <v>869.9</v>
      </c>
      <c r="Q132" s="71"/>
      <c r="R132" s="69">
        <v>3127</v>
      </c>
      <c r="S132" s="70">
        <v>460</v>
      </c>
      <c r="T132" s="83" t="s">
        <v>155</v>
      </c>
      <c r="U132" s="71"/>
      <c r="V132" s="71"/>
      <c r="W132" s="71"/>
      <c r="X132" s="71">
        <f>SUM(U132:W132)</f>
        <v>0</v>
      </c>
      <c r="Y132" s="71"/>
      <c r="Z132" s="71"/>
      <c r="AA132" s="71"/>
      <c r="AB132" s="71"/>
      <c r="AC132" s="71">
        <f>SUM(Z132:AB132)</f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14:15" ht="12.75"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U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12" sqref="AF1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8.8515625" style="0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9.140625" style="0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59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58</v>
      </c>
    </row>
    <row r="2" spans="1:29" ht="21" customHeight="1">
      <c r="A2" s="94" t="s">
        <v>142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6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37</v>
      </c>
      <c r="Q3" s="13"/>
      <c r="R3" s="13"/>
      <c r="S3" s="13"/>
      <c r="T3" s="13"/>
      <c r="U3" s="65"/>
      <c r="V3" s="26"/>
      <c r="W3" s="26"/>
      <c r="X3" s="26"/>
      <c r="Y3" s="13"/>
      <c r="Z3" s="26"/>
      <c r="AA3" s="26"/>
      <c r="AB3" s="26"/>
      <c r="AC3" s="26" t="s">
        <v>37</v>
      </c>
    </row>
    <row r="4" spans="1:29" ht="13.5" customHeight="1" thickBot="1">
      <c r="A4" s="85" t="s">
        <v>13</v>
      </c>
      <c r="B4" s="87" t="s">
        <v>33</v>
      </c>
      <c r="C4" s="89" t="s">
        <v>0</v>
      </c>
      <c r="D4" s="98" t="s">
        <v>54</v>
      </c>
      <c r="E4" s="92"/>
      <c r="F4" s="92"/>
      <c r="G4" s="92"/>
      <c r="H4" s="93"/>
      <c r="I4" s="14"/>
      <c r="J4" s="98" t="s">
        <v>141</v>
      </c>
      <c r="K4" s="92"/>
      <c r="L4" s="93"/>
      <c r="M4" s="15"/>
      <c r="N4" s="91" t="s">
        <v>88</v>
      </c>
      <c r="O4" s="99"/>
      <c r="P4" s="100"/>
      <c r="Q4" s="30"/>
      <c r="R4" s="85" t="s">
        <v>13</v>
      </c>
      <c r="S4" s="87" t="s">
        <v>33</v>
      </c>
      <c r="T4" s="89" t="s">
        <v>0</v>
      </c>
      <c r="U4" s="91" t="s">
        <v>75</v>
      </c>
      <c r="V4" s="92"/>
      <c r="W4" s="92"/>
      <c r="X4" s="92"/>
      <c r="Y4" s="92"/>
      <c r="Z4" s="92"/>
      <c r="AA4" s="92"/>
      <c r="AB4" s="92"/>
      <c r="AC4" s="93"/>
    </row>
    <row r="5" spans="1:29" ht="75.75" customHeight="1" thickBot="1">
      <c r="A5" s="96"/>
      <c r="B5" s="96"/>
      <c r="C5" s="97"/>
      <c r="D5" s="16" t="s">
        <v>133</v>
      </c>
      <c r="E5" s="16" t="s">
        <v>57</v>
      </c>
      <c r="F5" s="16" t="s">
        <v>60</v>
      </c>
      <c r="G5" s="17" t="s">
        <v>55</v>
      </c>
      <c r="H5" s="16" t="s">
        <v>134</v>
      </c>
      <c r="I5" s="16"/>
      <c r="J5" s="18" t="s">
        <v>135</v>
      </c>
      <c r="K5" s="18" t="s">
        <v>61</v>
      </c>
      <c r="L5" s="18" t="s">
        <v>136</v>
      </c>
      <c r="M5" s="18"/>
      <c r="N5" s="37" t="s">
        <v>133</v>
      </c>
      <c r="O5" s="16" t="s">
        <v>57</v>
      </c>
      <c r="P5" s="19" t="s">
        <v>134</v>
      </c>
      <c r="Q5" s="19"/>
      <c r="R5" s="86"/>
      <c r="S5" s="88"/>
      <c r="T5" s="90"/>
      <c r="U5" s="27" t="s">
        <v>140</v>
      </c>
      <c r="V5" s="27" t="s">
        <v>56</v>
      </c>
      <c r="W5" s="27" t="s">
        <v>60</v>
      </c>
      <c r="X5" s="27" t="s">
        <v>139</v>
      </c>
      <c r="Y5" s="18"/>
      <c r="Z5" s="27" t="s">
        <v>138</v>
      </c>
      <c r="AA5" s="27" t="s">
        <v>56</v>
      </c>
      <c r="AB5" s="27" t="s">
        <v>60</v>
      </c>
      <c r="AC5" s="27" t="s">
        <v>137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18</v>
      </c>
      <c r="D7" s="42">
        <f>D9</f>
        <v>28000</v>
      </c>
      <c r="E7" s="42">
        <f aca="true" t="shared" si="0" ref="E7:P7">E9</f>
        <v>0</v>
      </c>
      <c r="F7" s="42">
        <f t="shared" si="0"/>
        <v>0</v>
      </c>
      <c r="G7" s="42">
        <f t="shared" si="0"/>
        <v>0</v>
      </c>
      <c r="H7" s="42">
        <f t="shared" si="0"/>
        <v>28000</v>
      </c>
      <c r="I7" s="42">
        <f t="shared" si="0"/>
        <v>0</v>
      </c>
      <c r="J7" s="42">
        <f t="shared" si="0"/>
        <v>2500</v>
      </c>
      <c r="K7" s="42">
        <f t="shared" si="0"/>
        <v>0</v>
      </c>
      <c r="L7" s="42">
        <f t="shared" si="0"/>
        <v>2500</v>
      </c>
      <c r="M7" s="42">
        <f t="shared" si="0"/>
        <v>0</v>
      </c>
      <c r="N7" s="42">
        <f t="shared" si="0"/>
        <v>899.66</v>
      </c>
      <c r="O7" s="42">
        <f t="shared" si="0"/>
        <v>0</v>
      </c>
      <c r="P7" s="42">
        <f t="shared" si="0"/>
        <v>899.66</v>
      </c>
      <c r="Q7" s="42"/>
      <c r="R7" s="60"/>
      <c r="S7" s="61"/>
      <c r="T7" s="42" t="s">
        <v>70</v>
      </c>
      <c r="U7" s="42">
        <f>U9</f>
        <v>0</v>
      </c>
      <c r="V7" s="42">
        <f>V9</f>
        <v>0</v>
      </c>
      <c r="W7" s="42">
        <f>W9</f>
        <v>0</v>
      </c>
      <c r="X7" s="42">
        <f>X9</f>
        <v>0</v>
      </c>
      <c r="Y7" s="42"/>
      <c r="Z7" s="42">
        <f>Z9</f>
        <v>0</v>
      </c>
      <c r="AA7" s="43">
        <f>AA9</f>
        <v>0</v>
      </c>
      <c r="AB7" s="42">
        <f>AB9</f>
        <v>0</v>
      </c>
      <c r="AC7" s="42">
        <f>AC9</f>
        <v>0</v>
      </c>
    </row>
    <row r="8" spans="1:29" ht="12.75" customHeight="1">
      <c r="A8" s="36"/>
      <c r="B8" s="4"/>
      <c r="C8" s="6" t="s">
        <v>38</v>
      </c>
      <c r="D8" s="44"/>
      <c r="E8" s="44"/>
      <c r="F8" s="45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62"/>
      <c r="S8" s="63"/>
      <c r="T8" s="46" t="s">
        <v>1</v>
      </c>
      <c r="U8" s="44"/>
      <c r="V8" s="44"/>
      <c r="W8" s="44"/>
      <c r="X8" s="44"/>
      <c r="Y8" s="44"/>
      <c r="Z8" s="44"/>
      <c r="AA8" s="44"/>
      <c r="AB8" s="44"/>
      <c r="AC8" s="44"/>
    </row>
    <row r="9" spans="1:29" ht="12.75">
      <c r="A9" s="36">
        <v>2212</v>
      </c>
      <c r="B9" s="4">
        <v>901</v>
      </c>
      <c r="C9" s="8" t="s">
        <v>86</v>
      </c>
      <c r="D9" s="44">
        <v>28000</v>
      </c>
      <c r="E9" s="44"/>
      <c r="F9" s="45"/>
      <c r="G9" s="44"/>
      <c r="H9" s="44">
        <f>D9+E9+F9+G9</f>
        <v>28000</v>
      </c>
      <c r="I9" s="44"/>
      <c r="J9" s="44">
        <v>2500</v>
      </c>
      <c r="K9" s="44"/>
      <c r="L9" s="44">
        <f>J9+K9</f>
        <v>2500</v>
      </c>
      <c r="M9" s="44"/>
      <c r="N9" s="44">
        <v>899.66</v>
      </c>
      <c r="O9" s="44"/>
      <c r="P9" s="44">
        <f>N9+O9</f>
        <v>899.66</v>
      </c>
      <c r="Q9" s="44"/>
      <c r="R9" s="62">
        <v>2212</v>
      </c>
      <c r="S9" s="63">
        <v>901</v>
      </c>
      <c r="T9" s="47" t="s">
        <v>86</v>
      </c>
      <c r="U9" s="44"/>
      <c r="V9" s="44"/>
      <c r="W9" s="44"/>
      <c r="X9" s="44">
        <f>U9+V9</f>
        <v>0</v>
      </c>
      <c r="Y9" s="44"/>
      <c r="Z9" s="44"/>
      <c r="AA9" s="45"/>
      <c r="AB9" s="44"/>
      <c r="AC9" s="44">
        <f>SUM(Z9:AB9)</f>
        <v>0</v>
      </c>
    </row>
    <row r="10" spans="1:29" ht="14.25" customHeight="1">
      <c r="A10" s="35"/>
      <c r="B10" s="2"/>
      <c r="C10" s="41" t="s">
        <v>81</v>
      </c>
      <c r="D10" s="42">
        <f>D13+D12</f>
        <v>49554.41</v>
      </c>
      <c r="E10" s="42">
        <f aca="true" t="shared" si="1" ref="E10:P10">E13+E12</f>
        <v>2350</v>
      </c>
      <c r="F10" s="42">
        <f t="shared" si="1"/>
        <v>0</v>
      </c>
      <c r="G10" s="42">
        <f t="shared" si="1"/>
        <v>1743.48</v>
      </c>
      <c r="H10" s="42">
        <f t="shared" si="1"/>
        <v>53647.89</v>
      </c>
      <c r="I10" s="42">
        <f t="shared" si="1"/>
        <v>0</v>
      </c>
      <c r="J10" s="42">
        <f t="shared" si="1"/>
        <v>1000</v>
      </c>
      <c r="K10" s="42">
        <f t="shared" si="1"/>
        <v>0</v>
      </c>
      <c r="L10" s="42">
        <f t="shared" si="1"/>
        <v>1000</v>
      </c>
      <c r="M10" s="42">
        <f t="shared" si="1"/>
        <v>0</v>
      </c>
      <c r="N10" s="42">
        <f t="shared" si="1"/>
        <v>512.75</v>
      </c>
      <c r="O10" s="42">
        <f t="shared" si="1"/>
        <v>0</v>
      </c>
      <c r="P10" s="42">
        <f t="shared" si="1"/>
        <v>512.75</v>
      </c>
      <c r="Q10" s="49"/>
      <c r="R10" s="62"/>
      <c r="S10" s="61"/>
      <c r="T10" s="50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36"/>
      <c r="B11" s="4"/>
      <c r="C11" s="38" t="s">
        <v>38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9"/>
      <c r="R11" s="62"/>
      <c r="S11" s="61"/>
      <c r="T11" s="50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customHeight="1">
      <c r="A12" s="36">
        <v>3639</v>
      </c>
      <c r="B12" s="4">
        <v>902</v>
      </c>
      <c r="C12" s="39" t="s">
        <v>91</v>
      </c>
      <c r="D12" s="44">
        <v>35554.41</v>
      </c>
      <c r="E12" s="44"/>
      <c r="F12" s="44"/>
      <c r="G12" s="44"/>
      <c r="H12" s="44">
        <f>D12+E12+F12+G12</f>
        <v>35554.41</v>
      </c>
      <c r="I12" s="44"/>
      <c r="J12" s="44"/>
      <c r="K12" s="44"/>
      <c r="L12" s="44">
        <f>J12+K12</f>
        <v>0</v>
      </c>
      <c r="M12" s="44"/>
      <c r="N12" s="44">
        <v>512.75</v>
      </c>
      <c r="O12" s="44"/>
      <c r="P12" s="44">
        <f>N12+O12</f>
        <v>512.75</v>
      </c>
      <c r="Q12" s="49"/>
      <c r="R12" s="62"/>
      <c r="S12" s="61"/>
      <c r="T12" s="50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24.75" customHeight="1">
      <c r="A13" s="36">
        <v>3639</v>
      </c>
      <c r="B13" s="4">
        <v>902</v>
      </c>
      <c r="C13" s="39" t="s">
        <v>228</v>
      </c>
      <c r="D13" s="55">
        <v>14000</v>
      </c>
      <c r="E13" s="48">
        <f>2350</f>
        <v>2350</v>
      </c>
      <c r="F13" s="44"/>
      <c r="G13" s="44">
        <f>340+400+954+49.48</f>
        <v>1743.48</v>
      </c>
      <c r="H13" s="44">
        <f>D13+E13+F13+G13</f>
        <v>18093.48</v>
      </c>
      <c r="I13" s="44"/>
      <c r="J13" s="44">
        <v>1000</v>
      </c>
      <c r="K13" s="44"/>
      <c r="L13" s="44">
        <f>J13+K13</f>
        <v>1000</v>
      </c>
      <c r="M13" s="44"/>
      <c r="N13" s="44"/>
      <c r="O13" s="44"/>
      <c r="P13" s="44">
        <f>N13+O13</f>
        <v>0</v>
      </c>
      <c r="Q13" s="49"/>
      <c r="R13" s="62"/>
      <c r="S13" s="61">
        <v>902</v>
      </c>
      <c r="T13" s="50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>
      <c r="A14" s="36"/>
      <c r="B14" s="2"/>
      <c r="C14" s="9" t="s">
        <v>19</v>
      </c>
      <c r="D14" s="51">
        <f>SUM(D16:D20)</f>
        <v>296650</v>
      </c>
      <c r="E14" s="51">
        <f aca="true" t="shared" si="2" ref="E14:P14">SUM(E16:E20)</f>
        <v>15000</v>
      </c>
      <c r="F14" s="51">
        <f t="shared" si="2"/>
        <v>0</v>
      </c>
      <c r="G14" s="51">
        <f t="shared" si="2"/>
        <v>0</v>
      </c>
      <c r="H14" s="51">
        <f t="shared" si="2"/>
        <v>311650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12500</v>
      </c>
      <c r="N14" s="51">
        <f t="shared" si="2"/>
        <v>23039</v>
      </c>
      <c r="O14" s="51">
        <f t="shared" si="2"/>
        <v>0</v>
      </c>
      <c r="P14" s="51">
        <f t="shared" si="2"/>
        <v>23039</v>
      </c>
      <c r="Q14" s="51"/>
      <c r="R14" s="62"/>
      <c r="S14" s="61"/>
      <c r="T14" s="51" t="s">
        <v>71</v>
      </c>
      <c r="U14" s="51">
        <f>SUM(U16:U20)</f>
        <v>200</v>
      </c>
      <c r="V14" s="51">
        <f>SUM(V16:V20)</f>
        <v>745.74</v>
      </c>
      <c r="W14" s="51">
        <f>SUM(W16:W20)</f>
        <v>0</v>
      </c>
      <c r="X14" s="51">
        <f>SUM(X16:X20)</f>
        <v>945.74</v>
      </c>
      <c r="Y14" s="51"/>
      <c r="Z14" s="51">
        <f>SUM(Z16:Z20)</f>
        <v>28865.11</v>
      </c>
      <c r="AA14" s="51">
        <f>SUM(AA16:AA20)</f>
        <v>9582.01</v>
      </c>
      <c r="AB14" s="51">
        <f>SUM(AB16:AB20)</f>
        <v>0</v>
      </c>
      <c r="AC14" s="51">
        <f>SUM(AC16:AC20)</f>
        <v>38447.119999999995</v>
      </c>
    </row>
    <row r="15" spans="1:29" ht="12.75">
      <c r="A15" s="36"/>
      <c r="B15" s="4"/>
      <c r="C15" s="6" t="s">
        <v>38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2"/>
      <c r="S15" s="63"/>
      <c r="T15" s="46" t="s">
        <v>1</v>
      </c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2.75" customHeight="1">
      <c r="A16" s="36">
        <v>3526</v>
      </c>
      <c r="B16" s="4">
        <v>507</v>
      </c>
      <c r="C16" s="40" t="s">
        <v>229</v>
      </c>
      <c r="D16" s="44">
        <v>40762</v>
      </c>
      <c r="E16" s="44">
        <f>7500+7500</f>
        <v>15000</v>
      </c>
      <c r="F16" s="44"/>
      <c r="G16" s="44"/>
      <c r="H16" s="44">
        <f>D16+E16+F16+G16</f>
        <v>55762</v>
      </c>
      <c r="I16" s="44"/>
      <c r="J16" s="44"/>
      <c r="K16" s="48"/>
      <c r="L16" s="44">
        <f>J16+K16</f>
        <v>0</v>
      </c>
      <c r="M16" s="44"/>
      <c r="N16" s="44">
        <v>8861</v>
      </c>
      <c r="O16" s="44"/>
      <c r="P16" s="44">
        <f>N16+O16</f>
        <v>8861</v>
      </c>
      <c r="Q16" s="44"/>
      <c r="R16" s="62">
        <v>3526</v>
      </c>
      <c r="S16" s="4">
        <v>507</v>
      </c>
      <c r="T16" s="52" t="s">
        <v>24</v>
      </c>
      <c r="U16" s="44">
        <v>200</v>
      </c>
      <c r="V16" s="44">
        <f>745.74</f>
        <v>745.74</v>
      </c>
      <c r="W16" s="44"/>
      <c r="X16" s="44">
        <f>SUM(U16:W16)</f>
        <v>945.74</v>
      </c>
      <c r="Y16" s="44"/>
      <c r="Z16" s="44">
        <v>6360.11</v>
      </c>
      <c r="AA16" s="48">
        <f>600</f>
        <v>600</v>
      </c>
      <c r="AB16" s="44"/>
      <c r="AC16" s="44">
        <f>SUM(Z16:AB16)</f>
        <v>6960.11</v>
      </c>
    </row>
    <row r="17" spans="1:29" ht="12.75">
      <c r="A17" s="36">
        <v>3524</v>
      </c>
      <c r="B17" s="4">
        <v>508</v>
      </c>
      <c r="C17" s="7" t="s">
        <v>25</v>
      </c>
      <c r="D17" s="44">
        <v>10190</v>
      </c>
      <c r="E17" s="44"/>
      <c r="F17" s="44"/>
      <c r="G17" s="44"/>
      <c r="H17" s="44">
        <f>D17+E17+F17+G17</f>
        <v>10190</v>
      </c>
      <c r="I17" s="44"/>
      <c r="J17" s="53"/>
      <c r="K17" s="53"/>
      <c r="L17" s="55">
        <f>J17+K17</f>
        <v>0</v>
      </c>
      <c r="M17" s="44"/>
      <c r="N17" s="44">
        <v>325</v>
      </c>
      <c r="O17" s="44"/>
      <c r="P17" s="44">
        <f>N17+O17</f>
        <v>325</v>
      </c>
      <c r="Q17" s="44"/>
      <c r="R17" s="62">
        <v>3524</v>
      </c>
      <c r="S17" s="4">
        <v>508</v>
      </c>
      <c r="T17" s="52" t="s">
        <v>25</v>
      </c>
      <c r="U17" s="44"/>
      <c r="V17" s="44"/>
      <c r="W17" s="44"/>
      <c r="X17" s="44">
        <f>SUM(U17:W17)</f>
        <v>0</v>
      </c>
      <c r="Y17" s="44"/>
      <c r="Z17" s="44"/>
      <c r="AA17" s="44">
        <f>5178.89</f>
        <v>5178.89</v>
      </c>
      <c r="AB17" s="44"/>
      <c r="AC17" s="44">
        <f>SUM(Z17:AB17)</f>
        <v>5178.89</v>
      </c>
    </row>
    <row r="18" spans="1:29" ht="12.75" customHeight="1">
      <c r="A18" s="36">
        <v>3524</v>
      </c>
      <c r="B18" s="4">
        <v>509</v>
      </c>
      <c r="C18" s="7" t="s">
        <v>23</v>
      </c>
      <c r="D18" s="44">
        <v>3215</v>
      </c>
      <c r="E18" s="44"/>
      <c r="F18" s="44"/>
      <c r="G18" s="44"/>
      <c r="H18" s="44">
        <f>D18+E18+F18+G18</f>
        <v>3215</v>
      </c>
      <c r="I18" s="44"/>
      <c r="J18" s="44"/>
      <c r="K18" s="54"/>
      <c r="L18" s="44">
        <f>J18+K18</f>
        <v>0</v>
      </c>
      <c r="M18" s="44"/>
      <c r="N18" s="44">
        <v>309</v>
      </c>
      <c r="O18" s="44"/>
      <c r="P18" s="44">
        <f>N18+O18</f>
        <v>309</v>
      </c>
      <c r="Q18" s="44"/>
      <c r="R18" s="62">
        <v>3524</v>
      </c>
      <c r="S18" s="4">
        <v>509</v>
      </c>
      <c r="T18" s="52" t="s">
        <v>23</v>
      </c>
      <c r="U18" s="44"/>
      <c r="V18" s="44"/>
      <c r="W18" s="44"/>
      <c r="X18" s="44">
        <f>SUM(U18:W18)</f>
        <v>0</v>
      </c>
      <c r="Y18" s="44"/>
      <c r="Z18" s="44"/>
      <c r="AA18" s="44"/>
      <c r="AB18" s="44"/>
      <c r="AC18" s="44">
        <f>SUM(Z18:AB18)</f>
        <v>0</v>
      </c>
    </row>
    <row r="19" spans="1:29" ht="12.75">
      <c r="A19" s="36">
        <v>3533</v>
      </c>
      <c r="B19" s="4">
        <v>511</v>
      </c>
      <c r="C19" s="40" t="s">
        <v>89</v>
      </c>
      <c r="D19" s="44">
        <v>232698</v>
      </c>
      <c r="E19" s="44"/>
      <c r="F19" s="44"/>
      <c r="G19" s="44"/>
      <c r="H19" s="44">
        <f>D19+E19+F19+G19</f>
        <v>232698</v>
      </c>
      <c r="I19" s="44"/>
      <c r="J19" s="44"/>
      <c r="K19" s="44"/>
      <c r="L19" s="44">
        <f>J19+K19</f>
        <v>0</v>
      </c>
      <c r="M19" s="44">
        <v>12500</v>
      </c>
      <c r="N19" s="44">
        <v>13544</v>
      </c>
      <c r="O19" s="44"/>
      <c r="P19" s="44">
        <f>N19+O19</f>
        <v>13544</v>
      </c>
      <c r="Q19" s="44"/>
      <c r="R19" s="62">
        <v>3533</v>
      </c>
      <c r="S19" s="4">
        <v>511</v>
      </c>
      <c r="T19" s="52" t="s">
        <v>36</v>
      </c>
      <c r="U19" s="44"/>
      <c r="V19" s="44"/>
      <c r="W19" s="44"/>
      <c r="X19" s="44">
        <f>SUM(U19:W19)</f>
        <v>0</v>
      </c>
      <c r="Y19" s="44"/>
      <c r="Z19" s="44">
        <v>22505</v>
      </c>
      <c r="AA19" s="44">
        <f>3803.12</f>
        <v>3803.12</v>
      </c>
      <c r="AB19" s="44"/>
      <c r="AC19" s="44">
        <f>SUM(Z19:AB19)</f>
        <v>26308.12</v>
      </c>
    </row>
    <row r="20" spans="1:29" ht="12.75">
      <c r="A20" s="36">
        <v>3539</v>
      </c>
      <c r="B20" s="4">
        <v>514</v>
      </c>
      <c r="C20" s="8" t="s">
        <v>2</v>
      </c>
      <c r="D20" s="44">
        <v>9785</v>
      </c>
      <c r="E20" s="44"/>
      <c r="F20" s="44"/>
      <c r="G20" s="44"/>
      <c r="H20" s="44">
        <f>D20+E20+F20+G20</f>
        <v>9785</v>
      </c>
      <c r="I20" s="44"/>
      <c r="J20" s="44"/>
      <c r="K20" s="44"/>
      <c r="L20" s="44">
        <f>J20+K20</f>
        <v>0</v>
      </c>
      <c r="M20" s="44"/>
      <c r="N20" s="44">
        <v>0</v>
      </c>
      <c r="O20" s="44"/>
      <c r="P20" s="44">
        <f>N20+O20</f>
        <v>0</v>
      </c>
      <c r="Q20" s="44"/>
      <c r="R20" s="62">
        <v>3539</v>
      </c>
      <c r="S20" s="4">
        <v>514</v>
      </c>
      <c r="T20" s="47" t="s">
        <v>2</v>
      </c>
      <c r="U20" s="44"/>
      <c r="V20" s="44"/>
      <c r="W20" s="44"/>
      <c r="X20" s="44">
        <f>SUM(U20:W20)</f>
        <v>0</v>
      </c>
      <c r="Y20" s="44"/>
      <c r="Z20" s="44"/>
      <c r="AA20" s="44"/>
      <c r="AB20" s="44"/>
      <c r="AC20" s="44">
        <f>SUM(Z20:AB20)</f>
        <v>0</v>
      </c>
    </row>
    <row r="21" spans="1:29" ht="12.75">
      <c r="A21" s="35"/>
      <c r="B21" s="2"/>
      <c r="C21" s="3" t="s">
        <v>20</v>
      </c>
      <c r="D21" s="42">
        <f>SUM(D23:D32)</f>
        <v>190968.5</v>
      </c>
      <c r="E21" s="42">
        <f aca="true" t="shared" si="3" ref="E21:P21">SUM(E23:E32)</f>
        <v>9879.199999999999</v>
      </c>
      <c r="F21" s="42">
        <f t="shared" si="3"/>
        <v>0</v>
      </c>
      <c r="G21" s="42">
        <f t="shared" si="3"/>
        <v>0</v>
      </c>
      <c r="H21" s="42">
        <f t="shared" si="3"/>
        <v>200847.7</v>
      </c>
      <c r="I21" s="42">
        <f t="shared" si="3"/>
        <v>0</v>
      </c>
      <c r="J21" s="42">
        <f t="shared" si="3"/>
        <v>2850</v>
      </c>
      <c r="K21" s="42">
        <f t="shared" si="3"/>
        <v>0</v>
      </c>
      <c r="L21" s="42">
        <f t="shared" si="3"/>
        <v>2850</v>
      </c>
      <c r="M21" s="42">
        <f t="shared" si="3"/>
        <v>0</v>
      </c>
      <c r="N21" s="42">
        <f t="shared" si="3"/>
        <v>9557.2</v>
      </c>
      <c r="O21" s="43">
        <f t="shared" si="3"/>
        <v>0</v>
      </c>
      <c r="P21" s="42">
        <f t="shared" si="3"/>
        <v>9557.2</v>
      </c>
      <c r="Q21" s="42"/>
      <c r="R21" s="60"/>
      <c r="S21" s="61"/>
      <c r="T21" s="42" t="s">
        <v>72</v>
      </c>
      <c r="U21" s="42">
        <f>SUM(U23:U32)</f>
        <v>99</v>
      </c>
      <c r="V21" s="42">
        <f>SUM(V23:V32)</f>
        <v>0</v>
      </c>
      <c r="W21" s="42">
        <f>SUM(W23:W32)</f>
        <v>0</v>
      </c>
      <c r="X21" s="42">
        <f>SUM(X23:X32)</f>
        <v>99</v>
      </c>
      <c r="Y21" s="42"/>
      <c r="Z21" s="42">
        <f>SUM(Z23:Z32)</f>
        <v>3201</v>
      </c>
      <c r="AA21" s="76">
        <f>SUM(AA23:AA32)</f>
        <v>1700</v>
      </c>
      <c r="AB21" s="42">
        <f>SUM(AB23:AB32)</f>
        <v>0</v>
      </c>
      <c r="AC21" s="42">
        <f>SUM(AC23:AC32)</f>
        <v>4901</v>
      </c>
    </row>
    <row r="22" spans="1:29" ht="12.75">
      <c r="A22" s="35"/>
      <c r="B22" s="2"/>
      <c r="C22" s="6" t="s">
        <v>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60"/>
      <c r="S22" s="61"/>
      <c r="T22" s="46" t="s">
        <v>38</v>
      </c>
      <c r="U22" s="42"/>
      <c r="V22" s="42"/>
      <c r="W22" s="42"/>
      <c r="X22" s="42"/>
      <c r="Y22" s="42"/>
      <c r="Z22" s="42"/>
      <c r="AA22" s="76"/>
      <c r="AB22" s="42"/>
      <c r="AC22" s="42"/>
    </row>
    <row r="23" spans="1:29" ht="12.75">
      <c r="A23" s="36">
        <v>3315</v>
      </c>
      <c r="B23" s="4">
        <v>601</v>
      </c>
      <c r="C23" s="8" t="s">
        <v>4</v>
      </c>
      <c r="D23" s="44">
        <v>16382.4</v>
      </c>
      <c r="E23" s="44">
        <f>296.76</f>
        <v>296.76</v>
      </c>
      <c r="F23" s="44"/>
      <c r="G23" s="44"/>
      <c r="H23" s="44">
        <f>D23+E23+F23+G23</f>
        <v>16679.16</v>
      </c>
      <c r="I23" s="44"/>
      <c r="J23" s="44">
        <v>1500</v>
      </c>
      <c r="K23" s="44"/>
      <c r="L23" s="44">
        <f aca="true" t="shared" si="4" ref="L23:L32">J23+K23</f>
        <v>1500</v>
      </c>
      <c r="M23" s="44"/>
      <c r="N23" s="44">
        <v>784.5</v>
      </c>
      <c r="O23" s="44"/>
      <c r="P23" s="44">
        <f aca="true" t="shared" si="5" ref="P23:P32">N23+O23</f>
        <v>784.5</v>
      </c>
      <c r="Q23" s="44"/>
      <c r="R23" s="62">
        <v>3315</v>
      </c>
      <c r="S23" s="4">
        <v>601</v>
      </c>
      <c r="T23" s="47" t="s">
        <v>4</v>
      </c>
      <c r="U23" s="44"/>
      <c r="V23" s="44"/>
      <c r="W23" s="44"/>
      <c r="X23" s="44">
        <f aca="true" t="shared" si="6" ref="X23:X32">SUM(U23:W23)</f>
        <v>0</v>
      </c>
      <c r="Y23" s="44"/>
      <c r="Z23" s="44">
        <v>650</v>
      </c>
      <c r="AA23" s="48"/>
      <c r="AB23" s="44"/>
      <c r="AC23" s="44">
        <f aca="true" t="shared" si="7" ref="AC23:AC32">SUM(Z23:AB23)</f>
        <v>650</v>
      </c>
    </row>
    <row r="24" spans="1:29" ht="12.75">
      <c r="A24" s="36">
        <v>3315</v>
      </c>
      <c r="B24" s="4">
        <v>602</v>
      </c>
      <c r="C24" s="8" t="s">
        <v>64</v>
      </c>
      <c r="D24" s="44">
        <v>7580.5</v>
      </c>
      <c r="E24" s="44">
        <f>248.25</f>
        <v>248.25</v>
      </c>
      <c r="F24" s="44"/>
      <c r="G24" s="44"/>
      <c r="H24" s="44">
        <f aca="true" t="shared" si="8" ref="H24:H32">D24+E24+F24+G24</f>
        <v>7828.75</v>
      </c>
      <c r="I24" s="44"/>
      <c r="J24" s="44">
        <v>500</v>
      </c>
      <c r="K24" s="44"/>
      <c r="L24" s="44">
        <f t="shared" si="4"/>
        <v>500</v>
      </c>
      <c r="M24" s="44"/>
      <c r="N24" s="44">
        <v>177</v>
      </c>
      <c r="O24" s="44"/>
      <c r="P24" s="44">
        <f t="shared" si="5"/>
        <v>177</v>
      </c>
      <c r="Q24" s="44"/>
      <c r="R24" s="62">
        <v>3315</v>
      </c>
      <c r="S24" s="4">
        <v>602</v>
      </c>
      <c r="T24" s="47" t="s">
        <v>5</v>
      </c>
      <c r="U24" s="44"/>
      <c r="V24" s="44"/>
      <c r="W24" s="44"/>
      <c r="X24" s="44">
        <f t="shared" si="6"/>
        <v>0</v>
      </c>
      <c r="Y24" s="44"/>
      <c r="Z24" s="44"/>
      <c r="AA24" s="48"/>
      <c r="AB24" s="44"/>
      <c r="AC24" s="44">
        <f t="shared" si="7"/>
        <v>0</v>
      </c>
    </row>
    <row r="25" spans="1:29" ht="12.75">
      <c r="A25" s="36">
        <v>3315</v>
      </c>
      <c r="B25" s="4">
        <v>603</v>
      </c>
      <c r="C25" s="40" t="s">
        <v>80</v>
      </c>
      <c r="D25" s="44">
        <v>42543.5</v>
      </c>
      <c r="E25" s="44">
        <f>465.6+1805+1286.76</f>
        <v>3557.3599999999997</v>
      </c>
      <c r="F25" s="44"/>
      <c r="G25" s="44"/>
      <c r="H25" s="44">
        <f t="shared" si="8"/>
        <v>46100.86</v>
      </c>
      <c r="I25" s="44"/>
      <c r="J25" s="44">
        <v>300</v>
      </c>
      <c r="K25" s="44"/>
      <c r="L25" s="44">
        <f t="shared" si="4"/>
        <v>300</v>
      </c>
      <c r="M25" s="44"/>
      <c r="N25" s="44">
        <v>1230</v>
      </c>
      <c r="O25" s="44"/>
      <c r="P25" s="44">
        <f t="shared" si="5"/>
        <v>1230</v>
      </c>
      <c r="Q25" s="44"/>
      <c r="R25" s="62">
        <v>3315</v>
      </c>
      <c r="S25" s="4">
        <v>603</v>
      </c>
      <c r="T25" s="47" t="s">
        <v>3</v>
      </c>
      <c r="U25" s="44"/>
      <c r="V25" s="44"/>
      <c r="W25" s="44"/>
      <c r="X25" s="44">
        <f t="shared" si="6"/>
        <v>0</v>
      </c>
      <c r="Y25" s="44"/>
      <c r="Z25" s="44">
        <v>674</v>
      </c>
      <c r="AA25" s="48"/>
      <c r="AB25" s="44"/>
      <c r="AC25" s="44">
        <f t="shared" si="7"/>
        <v>674</v>
      </c>
    </row>
    <row r="26" spans="1:29" ht="12.75">
      <c r="A26" s="36">
        <v>3314</v>
      </c>
      <c r="B26" s="4">
        <v>604</v>
      </c>
      <c r="C26" s="8" t="s">
        <v>39</v>
      </c>
      <c r="D26" s="44">
        <v>62440.7</v>
      </c>
      <c r="E26" s="44">
        <f>309.6+1694.25</f>
        <v>2003.85</v>
      </c>
      <c r="F26" s="44"/>
      <c r="G26" s="44"/>
      <c r="H26" s="44">
        <f t="shared" si="8"/>
        <v>64444.549999999996</v>
      </c>
      <c r="I26" s="44"/>
      <c r="J26" s="44"/>
      <c r="K26" s="44"/>
      <c r="L26" s="44">
        <f t="shared" si="4"/>
        <v>0</v>
      </c>
      <c r="M26" s="44"/>
      <c r="N26" s="44">
        <v>4269.5</v>
      </c>
      <c r="O26" s="44"/>
      <c r="P26" s="44">
        <f t="shared" si="5"/>
        <v>4269.5</v>
      </c>
      <c r="Q26" s="44"/>
      <c r="R26" s="62">
        <v>3314</v>
      </c>
      <c r="S26" s="4">
        <v>604</v>
      </c>
      <c r="T26" s="47" t="s">
        <v>39</v>
      </c>
      <c r="U26" s="44"/>
      <c r="V26" s="44"/>
      <c r="W26" s="44"/>
      <c r="X26" s="44">
        <f t="shared" si="6"/>
        <v>0</v>
      </c>
      <c r="Y26" s="44"/>
      <c r="Z26" s="44"/>
      <c r="AA26" s="48">
        <f>1400</f>
        <v>1400</v>
      </c>
      <c r="AB26" s="44"/>
      <c r="AC26" s="44">
        <f t="shared" si="7"/>
        <v>1400</v>
      </c>
    </row>
    <row r="27" spans="1:29" ht="12.75">
      <c r="A27" s="36">
        <v>3319</v>
      </c>
      <c r="B27" s="4">
        <v>605</v>
      </c>
      <c r="C27" s="8" t="s">
        <v>132</v>
      </c>
      <c r="D27" s="44">
        <v>5923.2</v>
      </c>
      <c r="E27" s="44">
        <f>40+106.71</f>
        <v>146.70999999999998</v>
      </c>
      <c r="F27" s="44"/>
      <c r="G27" s="44"/>
      <c r="H27" s="44">
        <f t="shared" si="8"/>
        <v>6069.91</v>
      </c>
      <c r="I27" s="44"/>
      <c r="J27" s="44"/>
      <c r="K27" s="44"/>
      <c r="L27" s="44">
        <f t="shared" si="4"/>
        <v>0</v>
      </c>
      <c r="M27" s="44"/>
      <c r="N27" s="44">
        <v>92.1</v>
      </c>
      <c r="O27" s="44"/>
      <c r="P27" s="44">
        <f t="shared" si="5"/>
        <v>92.1</v>
      </c>
      <c r="Q27" s="44"/>
      <c r="R27" s="62">
        <v>3319</v>
      </c>
      <c r="S27" s="4">
        <v>605</v>
      </c>
      <c r="T27" s="47" t="s">
        <v>132</v>
      </c>
      <c r="U27" s="44">
        <v>99</v>
      </c>
      <c r="V27" s="44"/>
      <c r="W27" s="44"/>
      <c r="X27" s="44">
        <f t="shared" si="6"/>
        <v>99</v>
      </c>
      <c r="Y27" s="44"/>
      <c r="Z27" s="44">
        <v>197</v>
      </c>
      <c r="AA27" s="48"/>
      <c r="AB27" s="44"/>
      <c r="AC27" s="44">
        <f t="shared" si="7"/>
        <v>197</v>
      </c>
    </row>
    <row r="28" spans="1:29" ht="12.75">
      <c r="A28" s="36">
        <v>3319</v>
      </c>
      <c r="B28" s="4">
        <v>606</v>
      </c>
      <c r="C28" s="8" t="s">
        <v>14</v>
      </c>
      <c r="D28" s="44">
        <v>12987</v>
      </c>
      <c r="E28" s="44">
        <f>565.25</f>
        <v>565.25</v>
      </c>
      <c r="F28" s="44"/>
      <c r="G28" s="44"/>
      <c r="H28" s="44">
        <f t="shared" si="8"/>
        <v>13552.25</v>
      </c>
      <c r="I28" s="44"/>
      <c r="J28" s="44"/>
      <c r="K28" s="44"/>
      <c r="L28" s="44">
        <f t="shared" si="4"/>
        <v>0</v>
      </c>
      <c r="M28" s="44"/>
      <c r="N28" s="44">
        <v>793.6</v>
      </c>
      <c r="O28" s="44"/>
      <c r="P28" s="44">
        <f t="shared" si="5"/>
        <v>793.6</v>
      </c>
      <c r="Q28" s="44"/>
      <c r="R28" s="62">
        <v>3319</v>
      </c>
      <c r="S28" s="4">
        <v>606</v>
      </c>
      <c r="T28" s="47" t="s">
        <v>14</v>
      </c>
      <c r="U28" s="44"/>
      <c r="V28" s="44"/>
      <c r="W28" s="44"/>
      <c r="X28" s="44">
        <f t="shared" si="6"/>
        <v>0</v>
      </c>
      <c r="Y28" s="44"/>
      <c r="Z28" s="44">
        <v>1000</v>
      </c>
      <c r="AA28" s="48"/>
      <c r="AB28" s="44"/>
      <c r="AC28" s="44">
        <f t="shared" si="7"/>
        <v>1000</v>
      </c>
    </row>
    <row r="29" spans="1:29" ht="12.75">
      <c r="A29" s="36">
        <v>3319</v>
      </c>
      <c r="B29" s="4">
        <v>607</v>
      </c>
      <c r="C29" s="8" t="s">
        <v>79</v>
      </c>
      <c r="D29" s="44">
        <v>6313.5</v>
      </c>
      <c r="E29" s="44">
        <f>175.76</f>
        <v>175.76</v>
      </c>
      <c r="F29" s="44"/>
      <c r="G29" s="44"/>
      <c r="H29" s="44">
        <f t="shared" si="8"/>
        <v>6489.26</v>
      </c>
      <c r="I29" s="44"/>
      <c r="J29" s="44"/>
      <c r="K29" s="44"/>
      <c r="L29" s="44">
        <f t="shared" si="4"/>
        <v>0</v>
      </c>
      <c r="M29" s="44"/>
      <c r="N29" s="44">
        <v>141</v>
      </c>
      <c r="O29" s="44"/>
      <c r="P29" s="44">
        <f t="shared" si="5"/>
        <v>141</v>
      </c>
      <c r="Q29" s="44"/>
      <c r="R29" s="62">
        <v>3319</v>
      </c>
      <c r="S29" s="4">
        <v>607</v>
      </c>
      <c r="T29" s="47" t="s">
        <v>15</v>
      </c>
      <c r="U29" s="44"/>
      <c r="V29" s="44"/>
      <c r="W29" s="44"/>
      <c r="X29" s="44">
        <f t="shared" si="6"/>
        <v>0</v>
      </c>
      <c r="Y29" s="44"/>
      <c r="Z29" s="44">
        <v>380</v>
      </c>
      <c r="AA29" s="44"/>
      <c r="AB29" s="44"/>
      <c r="AC29" s="44">
        <f t="shared" si="7"/>
        <v>380</v>
      </c>
    </row>
    <row r="30" spans="1:29" ht="12.75">
      <c r="A30" s="36">
        <v>3315</v>
      </c>
      <c r="B30" s="4">
        <v>608</v>
      </c>
      <c r="C30" s="8" t="s">
        <v>40</v>
      </c>
      <c r="D30" s="44">
        <v>11040</v>
      </c>
      <c r="E30" s="44">
        <f>644+656.75</f>
        <v>1300.75</v>
      </c>
      <c r="F30" s="44"/>
      <c r="G30" s="44"/>
      <c r="H30" s="44">
        <f t="shared" si="8"/>
        <v>12340.75</v>
      </c>
      <c r="I30" s="44"/>
      <c r="J30" s="44">
        <v>100</v>
      </c>
      <c r="K30" s="44"/>
      <c r="L30" s="44">
        <f t="shared" si="4"/>
        <v>100</v>
      </c>
      <c r="M30" s="44"/>
      <c r="N30" s="44">
        <v>150.7</v>
      </c>
      <c r="O30" s="44"/>
      <c r="P30" s="44">
        <f t="shared" si="5"/>
        <v>150.7</v>
      </c>
      <c r="Q30" s="44"/>
      <c r="R30" s="62">
        <v>3315</v>
      </c>
      <c r="S30" s="4">
        <v>608</v>
      </c>
      <c r="T30" s="47" t="s">
        <v>40</v>
      </c>
      <c r="U30" s="44"/>
      <c r="V30" s="44"/>
      <c r="W30" s="44"/>
      <c r="X30" s="44">
        <f t="shared" si="6"/>
        <v>0</v>
      </c>
      <c r="Y30" s="44"/>
      <c r="Z30" s="44"/>
      <c r="AA30" s="44"/>
      <c r="AB30" s="44"/>
      <c r="AC30" s="44">
        <f t="shared" si="7"/>
        <v>0</v>
      </c>
    </row>
    <row r="31" spans="1:29" ht="12.75">
      <c r="A31" s="36">
        <v>3315</v>
      </c>
      <c r="B31" s="4">
        <v>609</v>
      </c>
      <c r="C31" s="8" t="s">
        <v>128</v>
      </c>
      <c r="D31" s="44">
        <v>11835.7</v>
      </c>
      <c r="E31" s="44">
        <f>615+595.26</f>
        <v>1210.26</v>
      </c>
      <c r="F31" s="44"/>
      <c r="G31" s="44"/>
      <c r="H31" s="44">
        <f t="shared" si="8"/>
        <v>13045.960000000001</v>
      </c>
      <c r="I31" s="44"/>
      <c r="J31" s="44">
        <v>100</v>
      </c>
      <c r="K31" s="44"/>
      <c r="L31" s="44">
        <f t="shared" si="4"/>
        <v>100</v>
      </c>
      <c r="M31" s="44"/>
      <c r="N31" s="44">
        <v>1542.8</v>
      </c>
      <c r="O31" s="44"/>
      <c r="P31" s="44">
        <f t="shared" si="5"/>
        <v>1542.8</v>
      </c>
      <c r="Q31" s="44"/>
      <c r="R31" s="62">
        <v>3315</v>
      </c>
      <c r="S31" s="4">
        <v>609</v>
      </c>
      <c r="T31" s="47" t="s">
        <v>128</v>
      </c>
      <c r="U31" s="44"/>
      <c r="V31" s="44"/>
      <c r="W31" s="44"/>
      <c r="X31" s="44">
        <f t="shared" si="6"/>
        <v>0</v>
      </c>
      <c r="Y31" s="44"/>
      <c r="Z31" s="44"/>
      <c r="AA31" s="44"/>
      <c r="AB31" s="44"/>
      <c r="AC31" s="44">
        <f t="shared" si="7"/>
        <v>0</v>
      </c>
    </row>
    <row r="32" spans="1:29" ht="12.75">
      <c r="A32" s="36">
        <v>3315</v>
      </c>
      <c r="B32" s="4">
        <v>610</v>
      </c>
      <c r="C32" s="40" t="s">
        <v>87</v>
      </c>
      <c r="D32" s="55">
        <v>13922</v>
      </c>
      <c r="E32" s="44">
        <f>374.25</f>
        <v>374.25</v>
      </c>
      <c r="F32" s="44"/>
      <c r="G32" s="44"/>
      <c r="H32" s="44">
        <f t="shared" si="8"/>
        <v>14296.25</v>
      </c>
      <c r="I32" s="44"/>
      <c r="J32" s="44">
        <v>350</v>
      </c>
      <c r="K32" s="44"/>
      <c r="L32" s="44">
        <f t="shared" si="4"/>
        <v>350</v>
      </c>
      <c r="M32" s="44"/>
      <c r="N32" s="44">
        <v>376</v>
      </c>
      <c r="O32" s="44"/>
      <c r="P32" s="44">
        <f t="shared" si="5"/>
        <v>376</v>
      </c>
      <c r="Q32" s="44"/>
      <c r="R32" s="62">
        <v>3315</v>
      </c>
      <c r="S32" s="4">
        <v>610</v>
      </c>
      <c r="T32" s="47" t="s">
        <v>30</v>
      </c>
      <c r="U32" s="44"/>
      <c r="V32" s="44"/>
      <c r="W32" s="44"/>
      <c r="X32" s="44">
        <f t="shared" si="6"/>
        <v>0</v>
      </c>
      <c r="Y32" s="44"/>
      <c r="Z32" s="44">
        <v>300</v>
      </c>
      <c r="AA32" s="44">
        <f>300</f>
        <v>300</v>
      </c>
      <c r="AB32" s="44"/>
      <c r="AC32" s="44">
        <f t="shared" si="7"/>
        <v>600</v>
      </c>
    </row>
    <row r="33" spans="1:29" ht="12.75">
      <c r="A33" s="36"/>
      <c r="B33" s="4"/>
      <c r="C33" s="10" t="s">
        <v>21</v>
      </c>
      <c r="D33" s="56">
        <f>SUM(D35:D58)</f>
        <v>190000</v>
      </c>
      <c r="E33" s="56">
        <f aca="true" t="shared" si="9" ref="E33:P33">SUM(E35:E58)</f>
        <v>35500</v>
      </c>
      <c r="F33" s="56">
        <f t="shared" si="9"/>
        <v>0</v>
      </c>
      <c r="G33" s="56">
        <f t="shared" si="9"/>
        <v>0</v>
      </c>
      <c r="H33" s="56">
        <f t="shared" si="9"/>
        <v>225500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29938.9</v>
      </c>
      <c r="O33" s="56">
        <f t="shared" si="9"/>
        <v>0</v>
      </c>
      <c r="P33" s="56">
        <f t="shared" si="9"/>
        <v>29938.9</v>
      </c>
      <c r="Q33" s="56"/>
      <c r="R33" s="62"/>
      <c r="S33" s="63"/>
      <c r="T33" s="56" t="s">
        <v>73</v>
      </c>
      <c r="U33" s="56">
        <f>SUM(U35:U58)</f>
        <v>0</v>
      </c>
      <c r="V33" s="56">
        <f>SUM(V35:V58)</f>
        <v>136</v>
      </c>
      <c r="W33" s="56">
        <f>SUM(W35:W58)</f>
        <v>0</v>
      </c>
      <c r="X33" s="56">
        <f>SUM(X35:X58)</f>
        <v>136</v>
      </c>
      <c r="Y33" s="56"/>
      <c r="Z33" s="56">
        <f>SUM(Z35:Z58)</f>
        <v>2300</v>
      </c>
      <c r="AA33" s="56">
        <f>SUM(AA35:AA58)</f>
        <v>4572.41</v>
      </c>
      <c r="AB33" s="56">
        <f>SUM(AB35:AB58)</f>
        <v>0</v>
      </c>
      <c r="AC33" s="56">
        <f>SUM(AC35:AC58)</f>
        <v>6872.41</v>
      </c>
    </row>
    <row r="34" spans="1:29" ht="12.75">
      <c r="A34" s="36"/>
      <c r="B34" s="4"/>
      <c r="C34" s="6" t="s">
        <v>38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2"/>
      <c r="S34" s="63"/>
      <c r="T34" s="46" t="s">
        <v>1</v>
      </c>
      <c r="U34" s="44"/>
      <c r="V34" s="44"/>
      <c r="W34" s="44"/>
      <c r="X34" s="44"/>
      <c r="Y34" s="44"/>
      <c r="Z34" s="55" t="s">
        <v>68</v>
      </c>
      <c r="AA34" s="44"/>
      <c r="AB34" s="44"/>
      <c r="AC34" s="44"/>
    </row>
    <row r="35" spans="1:29" ht="12.75">
      <c r="A35" s="36">
        <v>4357</v>
      </c>
      <c r="B35" s="4">
        <v>801</v>
      </c>
      <c r="C35" s="7" t="s">
        <v>26</v>
      </c>
      <c r="D35" s="44">
        <v>6033</v>
      </c>
      <c r="E35" s="44">
        <f>424</f>
        <v>424</v>
      </c>
      <c r="F35" s="44"/>
      <c r="G35" s="44"/>
      <c r="H35" s="44">
        <f>D35+E35+F35+G35</f>
        <v>6457</v>
      </c>
      <c r="I35" s="44"/>
      <c r="J35" s="44"/>
      <c r="K35" s="44"/>
      <c r="L35" s="44">
        <f aca="true" t="shared" si="10" ref="L35:L58">J35+K35</f>
        <v>0</v>
      </c>
      <c r="M35" s="44"/>
      <c r="N35" s="44">
        <v>1137</v>
      </c>
      <c r="O35" s="44"/>
      <c r="P35" s="44">
        <f aca="true" t="shared" si="11" ref="P35:P58">N35+O35</f>
        <v>1137</v>
      </c>
      <c r="Q35" s="44"/>
      <c r="R35" s="36">
        <v>4357</v>
      </c>
      <c r="S35" s="4">
        <v>801</v>
      </c>
      <c r="T35" s="7" t="s">
        <v>26</v>
      </c>
      <c r="U35" s="44"/>
      <c r="V35" s="44"/>
      <c r="W35" s="44"/>
      <c r="X35" s="44">
        <f aca="true" t="shared" si="12" ref="X35:X58">SUM(U35:W35)</f>
        <v>0</v>
      </c>
      <c r="Y35" s="44"/>
      <c r="Z35" s="44">
        <v>200</v>
      </c>
      <c r="AA35" s="44"/>
      <c r="AB35" s="44"/>
      <c r="AC35" s="44">
        <f aca="true" t="shared" si="13" ref="AC35:AC58">SUM(Z35:AB35)</f>
        <v>200</v>
      </c>
    </row>
    <row r="36" spans="1:29" ht="12.75">
      <c r="A36" s="36">
        <v>4350</v>
      </c>
      <c r="B36" s="4">
        <v>802</v>
      </c>
      <c r="C36" s="7" t="s">
        <v>16</v>
      </c>
      <c r="D36" s="44">
        <v>5273</v>
      </c>
      <c r="E36" s="44">
        <f>1348</f>
        <v>1348</v>
      </c>
      <c r="F36" s="44"/>
      <c r="G36" s="44"/>
      <c r="H36" s="44">
        <f aca="true" t="shared" si="14" ref="H36:H58">D36+E36+F36+G36</f>
        <v>6621</v>
      </c>
      <c r="I36" s="44"/>
      <c r="J36" s="44"/>
      <c r="K36" s="44"/>
      <c r="L36" s="44">
        <f t="shared" si="10"/>
        <v>0</v>
      </c>
      <c r="M36" s="44"/>
      <c r="N36" s="44">
        <v>535</v>
      </c>
      <c r="O36" s="44"/>
      <c r="P36" s="44">
        <f t="shared" si="11"/>
        <v>535</v>
      </c>
      <c r="Q36" s="44"/>
      <c r="R36" s="36">
        <v>4350</v>
      </c>
      <c r="S36" s="4">
        <v>802</v>
      </c>
      <c r="T36" s="7" t="s">
        <v>16</v>
      </c>
      <c r="U36" s="44"/>
      <c r="V36" s="44"/>
      <c r="W36" s="44"/>
      <c r="X36" s="44">
        <f t="shared" si="12"/>
        <v>0</v>
      </c>
      <c r="Y36" s="44"/>
      <c r="Z36" s="44"/>
      <c r="AA36" s="44"/>
      <c r="AB36" s="44"/>
      <c r="AC36" s="44">
        <f t="shared" si="13"/>
        <v>0</v>
      </c>
    </row>
    <row r="37" spans="1:29" ht="12.75">
      <c r="A37" s="36">
        <v>4357</v>
      </c>
      <c r="B37" s="4">
        <v>803</v>
      </c>
      <c r="C37" s="7" t="s">
        <v>157</v>
      </c>
      <c r="D37" s="44">
        <v>9173</v>
      </c>
      <c r="E37" s="44">
        <f>1240</f>
        <v>1240</v>
      </c>
      <c r="F37" s="44"/>
      <c r="G37" s="44"/>
      <c r="H37" s="44">
        <f t="shared" si="14"/>
        <v>10413</v>
      </c>
      <c r="I37" s="44"/>
      <c r="J37" s="44"/>
      <c r="K37" s="44"/>
      <c r="L37" s="44">
        <f t="shared" si="10"/>
        <v>0</v>
      </c>
      <c r="M37" s="44"/>
      <c r="N37" s="44">
        <v>1730</v>
      </c>
      <c r="O37" s="44"/>
      <c r="P37" s="44">
        <f t="shared" si="11"/>
        <v>1730</v>
      </c>
      <c r="Q37" s="44"/>
      <c r="R37" s="36">
        <v>4357</v>
      </c>
      <c r="S37" s="4">
        <v>803</v>
      </c>
      <c r="T37" s="7" t="s">
        <v>31</v>
      </c>
      <c r="U37" s="44"/>
      <c r="V37" s="44"/>
      <c r="W37" s="44"/>
      <c r="X37" s="44">
        <f t="shared" si="12"/>
        <v>0</v>
      </c>
      <c r="Y37" s="44"/>
      <c r="Z37" s="44">
        <v>400</v>
      </c>
      <c r="AA37" s="44"/>
      <c r="AB37" s="44"/>
      <c r="AC37" s="44">
        <f t="shared" si="13"/>
        <v>400</v>
      </c>
    </row>
    <row r="38" spans="1:29" ht="12.75">
      <c r="A38" s="36">
        <v>4350</v>
      </c>
      <c r="B38" s="4">
        <v>804</v>
      </c>
      <c r="C38" s="7" t="s">
        <v>227</v>
      </c>
      <c r="D38" s="44">
        <v>6700</v>
      </c>
      <c r="E38" s="44">
        <f>1689+250</f>
        <v>1939</v>
      </c>
      <c r="F38" s="44"/>
      <c r="G38" s="44"/>
      <c r="H38" s="44">
        <f t="shared" si="14"/>
        <v>8639</v>
      </c>
      <c r="I38" s="44"/>
      <c r="J38" s="44"/>
      <c r="K38" s="44"/>
      <c r="L38" s="44">
        <f t="shared" si="10"/>
        <v>0</v>
      </c>
      <c r="M38" s="44"/>
      <c r="N38" s="44">
        <v>996</v>
      </c>
      <c r="O38" s="44"/>
      <c r="P38" s="44">
        <f t="shared" si="11"/>
        <v>996</v>
      </c>
      <c r="Q38" s="44"/>
      <c r="R38" s="36">
        <v>4350</v>
      </c>
      <c r="S38" s="4">
        <v>804</v>
      </c>
      <c r="T38" s="7" t="s">
        <v>65</v>
      </c>
      <c r="U38" s="44"/>
      <c r="V38" s="44"/>
      <c r="W38" s="44"/>
      <c r="X38" s="44">
        <f t="shared" si="12"/>
        <v>0</v>
      </c>
      <c r="Y38" s="44"/>
      <c r="Z38" s="44"/>
      <c r="AA38" s="44">
        <f>180</f>
        <v>180</v>
      </c>
      <c r="AB38" s="44"/>
      <c r="AC38" s="44">
        <f t="shared" si="13"/>
        <v>180</v>
      </c>
    </row>
    <row r="39" spans="1:29" ht="12.75">
      <c r="A39" s="36">
        <v>4350</v>
      </c>
      <c r="B39" s="4">
        <v>805</v>
      </c>
      <c r="C39" s="7" t="s">
        <v>158</v>
      </c>
      <c r="D39" s="44">
        <v>20454</v>
      </c>
      <c r="E39" s="44">
        <f>4058</f>
        <v>4058</v>
      </c>
      <c r="F39" s="44"/>
      <c r="G39" s="44"/>
      <c r="H39" s="44">
        <f t="shared" si="14"/>
        <v>24512</v>
      </c>
      <c r="I39" s="44"/>
      <c r="J39" s="44"/>
      <c r="K39" s="44"/>
      <c r="L39" s="44">
        <f t="shared" si="10"/>
        <v>0</v>
      </c>
      <c r="M39" s="44"/>
      <c r="N39" s="44">
        <v>3466.9</v>
      </c>
      <c r="O39" s="44"/>
      <c r="P39" s="44">
        <f t="shared" si="11"/>
        <v>3466.9</v>
      </c>
      <c r="Q39" s="44"/>
      <c r="R39" s="36">
        <v>4350</v>
      </c>
      <c r="S39" s="4">
        <v>805</v>
      </c>
      <c r="T39" s="7" t="s">
        <v>125</v>
      </c>
      <c r="U39" s="44"/>
      <c r="V39" s="44"/>
      <c r="W39" s="44"/>
      <c r="X39" s="44">
        <f t="shared" si="12"/>
        <v>0</v>
      </c>
      <c r="Y39" s="44"/>
      <c r="Z39" s="44"/>
      <c r="AA39" s="44"/>
      <c r="AB39" s="44"/>
      <c r="AC39" s="44">
        <f t="shared" si="13"/>
        <v>0</v>
      </c>
    </row>
    <row r="40" spans="1:29" ht="12.75">
      <c r="A40" s="36">
        <v>4350</v>
      </c>
      <c r="B40" s="4">
        <v>806</v>
      </c>
      <c r="C40" s="7" t="s">
        <v>32</v>
      </c>
      <c r="D40" s="44">
        <v>2768</v>
      </c>
      <c r="E40" s="44">
        <f>1123</f>
        <v>1123</v>
      </c>
      <c r="F40" s="44"/>
      <c r="G40" s="44"/>
      <c r="H40" s="44">
        <f t="shared" si="14"/>
        <v>3891</v>
      </c>
      <c r="I40" s="44"/>
      <c r="J40" s="44"/>
      <c r="K40" s="44"/>
      <c r="L40" s="44">
        <f t="shared" si="10"/>
        <v>0</v>
      </c>
      <c r="M40" s="44"/>
      <c r="N40" s="44">
        <v>448</v>
      </c>
      <c r="O40" s="44"/>
      <c r="P40" s="44">
        <f t="shared" si="11"/>
        <v>448</v>
      </c>
      <c r="Q40" s="44"/>
      <c r="R40" s="36">
        <v>4350</v>
      </c>
      <c r="S40" s="4">
        <v>806</v>
      </c>
      <c r="T40" s="7" t="s">
        <v>32</v>
      </c>
      <c r="U40" s="44"/>
      <c r="V40" s="44"/>
      <c r="W40" s="44"/>
      <c r="X40" s="44">
        <f t="shared" si="12"/>
        <v>0</v>
      </c>
      <c r="Y40" s="44"/>
      <c r="Z40" s="44">
        <v>300</v>
      </c>
      <c r="AA40" s="44"/>
      <c r="AB40" s="44"/>
      <c r="AC40" s="44">
        <f t="shared" si="13"/>
        <v>300</v>
      </c>
    </row>
    <row r="41" spans="1:29" ht="12.75">
      <c r="A41" s="36">
        <v>4357</v>
      </c>
      <c r="B41" s="4">
        <v>807</v>
      </c>
      <c r="C41" s="7" t="s">
        <v>159</v>
      </c>
      <c r="D41" s="44">
        <v>9218</v>
      </c>
      <c r="E41" s="44">
        <f>1087</f>
        <v>1087</v>
      </c>
      <c r="F41" s="44"/>
      <c r="G41" s="48"/>
      <c r="H41" s="44">
        <f t="shared" si="14"/>
        <v>10305</v>
      </c>
      <c r="I41" s="44"/>
      <c r="J41" s="44"/>
      <c r="K41" s="44"/>
      <c r="L41" s="44">
        <f t="shared" si="10"/>
        <v>0</v>
      </c>
      <c r="M41" s="44"/>
      <c r="N41" s="44">
        <v>1480</v>
      </c>
      <c r="O41" s="44"/>
      <c r="P41" s="44">
        <f t="shared" si="11"/>
        <v>1480</v>
      </c>
      <c r="Q41" s="44"/>
      <c r="R41" s="36">
        <v>4357</v>
      </c>
      <c r="S41" s="4">
        <v>807</v>
      </c>
      <c r="T41" s="7" t="s">
        <v>84</v>
      </c>
      <c r="U41" s="44"/>
      <c r="V41" s="44"/>
      <c r="W41" s="44"/>
      <c r="X41" s="44">
        <f t="shared" si="12"/>
        <v>0</v>
      </c>
      <c r="Y41" s="44"/>
      <c r="Z41" s="44"/>
      <c r="AA41" s="44">
        <f>500</f>
        <v>500</v>
      </c>
      <c r="AB41" s="44"/>
      <c r="AC41" s="44">
        <f t="shared" si="13"/>
        <v>500</v>
      </c>
    </row>
    <row r="42" spans="1:29" ht="12.75">
      <c r="A42" s="36">
        <v>4350</v>
      </c>
      <c r="B42" s="4">
        <v>808</v>
      </c>
      <c r="C42" s="7" t="s">
        <v>17</v>
      </c>
      <c r="D42" s="44">
        <v>2678</v>
      </c>
      <c r="E42" s="44">
        <f>688</f>
        <v>688</v>
      </c>
      <c r="F42" s="44"/>
      <c r="G42" s="48"/>
      <c r="H42" s="44">
        <f t="shared" si="14"/>
        <v>3366</v>
      </c>
      <c r="I42" s="44"/>
      <c r="J42" s="44"/>
      <c r="K42" s="44"/>
      <c r="L42" s="44">
        <f t="shared" si="10"/>
        <v>0</v>
      </c>
      <c r="M42" s="44"/>
      <c r="N42" s="44">
        <v>361</v>
      </c>
      <c r="O42" s="44"/>
      <c r="P42" s="44">
        <f t="shared" si="11"/>
        <v>361</v>
      </c>
      <c r="Q42" s="44"/>
      <c r="R42" s="36">
        <v>4350</v>
      </c>
      <c r="S42" s="4">
        <v>808</v>
      </c>
      <c r="T42" s="7" t="s">
        <v>17</v>
      </c>
      <c r="U42" s="44"/>
      <c r="V42" s="44"/>
      <c r="W42" s="44"/>
      <c r="X42" s="44">
        <f t="shared" si="12"/>
        <v>0</v>
      </c>
      <c r="Y42" s="44"/>
      <c r="Z42" s="44"/>
      <c r="AA42" s="44"/>
      <c r="AB42" s="44"/>
      <c r="AC42" s="44">
        <f t="shared" si="13"/>
        <v>0</v>
      </c>
    </row>
    <row r="43" spans="1:29" ht="12.75">
      <c r="A43" s="36">
        <v>4350</v>
      </c>
      <c r="B43" s="4">
        <v>809</v>
      </c>
      <c r="C43" s="7" t="s">
        <v>27</v>
      </c>
      <c r="D43" s="44">
        <v>10019</v>
      </c>
      <c r="E43" s="44"/>
      <c r="F43" s="44"/>
      <c r="G43" s="48"/>
      <c r="H43" s="44">
        <f t="shared" si="14"/>
        <v>10019</v>
      </c>
      <c r="I43" s="44"/>
      <c r="J43" s="44"/>
      <c r="K43" s="44"/>
      <c r="L43" s="44">
        <f t="shared" si="10"/>
        <v>0</v>
      </c>
      <c r="M43" s="44"/>
      <c r="N43" s="44">
        <v>619</v>
      </c>
      <c r="O43" s="44"/>
      <c r="P43" s="44">
        <f t="shared" si="11"/>
        <v>619</v>
      </c>
      <c r="Q43" s="44"/>
      <c r="R43" s="36">
        <v>4350</v>
      </c>
      <c r="S43" s="4">
        <v>809</v>
      </c>
      <c r="T43" s="7" t="s">
        <v>27</v>
      </c>
      <c r="U43" s="44"/>
      <c r="V43" s="44"/>
      <c r="W43" s="44"/>
      <c r="X43" s="44">
        <f t="shared" si="12"/>
        <v>0</v>
      </c>
      <c r="Y43" s="44"/>
      <c r="Z43" s="44"/>
      <c r="AA43" s="44"/>
      <c r="AB43" s="44"/>
      <c r="AC43" s="44">
        <f t="shared" si="13"/>
        <v>0</v>
      </c>
    </row>
    <row r="44" spans="1:29" ht="12.75">
      <c r="A44" s="36">
        <v>4350</v>
      </c>
      <c r="B44" s="4">
        <v>810</v>
      </c>
      <c r="C44" s="7" t="s">
        <v>82</v>
      </c>
      <c r="D44" s="44">
        <v>2813</v>
      </c>
      <c r="E44" s="44"/>
      <c r="F44" s="44"/>
      <c r="G44" s="48"/>
      <c r="H44" s="44">
        <f t="shared" si="14"/>
        <v>2813</v>
      </c>
      <c r="I44" s="44"/>
      <c r="J44" s="44"/>
      <c r="K44" s="44"/>
      <c r="L44" s="44">
        <f t="shared" si="10"/>
        <v>0</v>
      </c>
      <c r="M44" s="44"/>
      <c r="N44" s="44">
        <v>282</v>
      </c>
      <c r="O44" s="44"/>
      <c r="P44" s="44">
        <f t="shared" si="11"/>
        <v>282</v>
      </c>
      <c r="Q44" s="44"/>
      <c r="R44" s="36">
        <v>4350</v>
      </c>
      <c r="S44" s="4">
        <v>810</v>
      </c>
      <c r="T44" s="7" t="s">
        <v>82</v>
      </c>
      <c r="U44" s="44"/>
      <c r="V44" s="44">
        <f>136</f>
        <v>136</v>
      </c>
      <c r="W44" s="44"/>
      <c r="X44" s="44">
        <f t="shared" si="12"/>
        <v>136</v>
      </c>
      <c r="Y44" s="44"/>
      <c r="Z44" s="44">
        <v>300</v>
      </c>
      <c r="AA44" s="44">
        <f>200-136</f>
        <v>64</v>
      </c>
      <c r="AB44" s="44"/>
      <c r="AC44" s="44">
        <f t="shared" si="13"/>
        <v>364</v>
      </c>
    </row>
    <row r="45" spans="1:29" ht="12.75">
      <c r="A45" s="36">
        <v>4350</v>
      </c>
      <c r="B45" s="4">
        <v>811</v>
      </c>
      <c r="C45" s="7" t="s">
        <v>78</v>
      </c>
      <c r="D45" s="44">
        <v>4666</v>
      </c>
      <c r="E45" s="44"/>
      <c r="F45" s="44"/>
      <c r="G45" s="48"/>
      <c r="H45" s="44">
        <f t="shared" si="14"/>
        <v>4666</v>
      </c>
      <c r="I45" s="44"/>
      <c r="J45" s="44"/>
      <c r="K45" s="44"/>
      <c r="L45" s="44">
        <f t="shared" si="10"/>
        <v>0</v>
      </c>
      <c r="M45" s="44"/>
      <c r="N45" s="44">
        <v>942</v>
      </c>
      <c r="O45" s="44"/>
      <c r="P45" s="44">
        <f t="shared" si="11"/>
        <v>942</v>
      </c>
      <c r="Q45" s="44"/>
      <c r="R45" s="36">
        <v>4350</v>
      </c>
      <c r="S45" s="4">
        <v>811</v>
      </c>
      <c r="T45" s="7" t="s">
        <v>78</v>
      </c>
      <c r="U45" s="44"/>
      <c r="V45" s="44"/>
      <c r="W45" s="44"/>
      <c r="X45" s="44">
        <f t="shared" si="12"/>
        <v>0</v>
      </c>
      <c r="Y45" s="44"/>
      <c r="Z45" s="44">
        <v>200</v>
      </c>
      <c r="AA45" s="44"/>
      <c r="AB45" s="44"/>
      <c r="AC45" s="44">
        <f t="shared" si="13"/>
        <v>200</v>
      </c>
    </row>
    <row r="46" spans="1:29" ht="12.75">
      <c r="A46" s="36">
        <v>4357</v>
      </c>
      <c r="B46" s="4">
        <v>813</v>
      </c>
      <c r="C46" s="7" t="s">
        <v>76</v>
      </c>
      <c r="D46" s="44">
        <v>20212</v>
      </c>
      <c r="E46" s="44">
        <f>4948</f>
        <v>4948</v>
      </c>
      <c r="F46" s="44"/>
      <c r="G46" s="48"/>
      <c r="H46" s="44">
        <f t="shared" si="14"/>
        <v>25160</v>
      </c>
      <c r="I46" s="44"/>
      <c r="J46" s="44"/>
      <c r="K46" s="44"/>
      <c r="L46" s="44">
        <f t="shared" si="10"/>
        <v>0</v>
      </c>
      <c r="M46" s="44"/>
      <c r="N46" s="44">
        <v>950</v>
      </c>
      <c r="O46" s="44"/>
      <c r="P46" s="44">
        <f t="shared" si="11"/>
        <v>950</v>
      </c>
      <c r="Q46" s="44"/>
      <c r="R46" s="36">
        <v>4357</v>
      </c>
      <c r="S46" s="4">
        <v>813</v>
      </c>
      <c r="T46" s="7" t="s">
        <v>76</v>
      </c>
      <c r="U46" s="44"/>
      <c r="V46" s="44"/>
      <c r="W46" s="44"/>
      <c r="X46" s="44">
        <f t="shared" si="12"/>
        <v>0</v>
      </c>
      <c r="Y46" s="44"/>
      <c r="Z46" s="44">
        <v>330</v>
      </c>
      <c r="AA46" s="44">
        <f>1858.41</f>
        <v>1858.41</v>
      </c>
      <c r="AB46" s="44"/>
      <c r="AC46" s="44">
        <f t="shared" si="13"/>
        <v>2188.41</v>
      </c>
    </row>
    <row r="47" spans="1:29" ht="12.75">
      <c r="A47" s="36">
        <v>4357</v>
      </c>
      <c r="B47" s="4">
        <v>814</v>
      </c>
      <c r="C47" s="8" t="s">
        <v>127</v>
      </c>
      <c r="D47" s="44">
        <v>8484</v>
      </c>
      <c r="E47" s="44">
        <f>1523</f>
        <v>1523</v>
      </c>
      <c r="F47" s="44"/>
      <c r="G47" s="48"/>
      <c r="H47" s="44">
        <f t="shared" si="14"/>
        <v>10007</v>
      </c>
      <c r="I47" s="44"/>
      <c r="J47" s="44"/>
      <c r="K47" s="44"/>
      <c r="L47" s="44">
        <f t="shared" si="10"/>
        <v>0</v>
      </c>
      <c r="M47" s="44"/>
      <c r="N47" s="44">
        <v>871</v>
      </c>
      <c r="O47" s="44"/>
      <c r="P47" s="44">
        <f t="shared" si="11"/>
        <v>871</v>
      </c>
      <c r="Q47" s="44"/>
      <c r="R47" s="36">
        <v>4357</v>
      </c>
      <c r="S47" s="4">
        <v>814</v>
      </c>
      <c r="T47" s="40" t="s">
        <v>127</v>
      </c>
      <c r="U47" s="44"/>
      <c r="V47" s="44"/>
      <c r="W47" s="44"/>
      <c r="X47" s="44">
        <f t="shared" si="12"/>
        <v>0</v>
      </c>
      <c r="Y47" s="44"/>
      <c r="Z47" s="44"/>
      <c r="AA47" s="44"/>
      <c r="AB47" s="44"/>
      <c r="AC47" s="44">
        <f t="shared" si="13"/>
        <v>0</v>
      </c>
    </row>
    <row r="48" spans="1:29" ht="12.75" customHeight="1">
      <c r="A48" s="36">
        <v>4357</v>
      </c>
      <c r="B48" s="4">
        <v>815</v>
      </c>
      <c r="C48" s="8" t="s">
        <v>160</v>
      </c>
      <c r="D48" s="44">
        <v>6599</v>
      </c>
      <c r="E48" s="48">
        <f>1673</f>
        <v>1673</v>
      </c>
      <c r="F48" s="44"/>
      <c r="G48" s="48"/>
      <c r="H48" s="44">
        <f t="shared" si="14"/>
        <v>8272</v>
      </c>
      <c r="I48" s="44"/>
      <c r="J48" s="44"/>
      <c r="K48" s="44"/>
      <c r="L48" s="44">
        <f t="shared" si="10"/>
        <v>0</v>
      </c>
      <c r="M48" s="44"/>
      <c r="N48" s="44">
        <v>1809</v>
      </c>
      <c r="O48" s="44"/>
      <c r="P48" s="44">
        <f t="shared" si="11"/>
        <v>1809</v>
      </c>
      <c r="Q48" s="44"/>
      <c r="R48" s="36">
        <v>4357</v>
      </c>
      <c r="S48" s="4">
        <v>815</v>
      </c>
      <c r="T48" s="40" t="s">
        <v>126</v>
      </c>
      <c r="U48" s="44"/>
      <c r="V48" s="44"/>
      <c r="W48" s="44"/>
      <c r="X48" s="44">
        <f t="shared" si="12"/>
        <v>0</v>
      </c>
      <c r="Y48" s="44"/>
      <c r="Z48" s="44"/>
      <c r="AA48" s="44">
        <f>1000</f>
        <v>1000</v>
      </c>
      <c r="AB48" s="44"/>
      <c r="AC48" s="44">
        <f t="shared" si="13"/>
        <v>1000</v>
      </c>
    </row>
    <row r="49" spans="1:29" ht="12.75">
      <c r="A49" s="36">
        <v>4357</v>
      </c>
      <c r="B49" s="4">
        <v>816</v>
      </c>
      <c r="C49" s="8" t="s">
        <v>28</v>
      </c>
      <c r="D49" s="44">
        <v>9626</v>
      </c>
      <c r="E49" s="48">
        <f>5002</f>
        <v>5002</v>
      </c>
      <c r="F49" s="44"/>
      <c r="G49" s="48"/>
      <c r="H49" s="44">
        <f t="shared" si="14"/>
        <v>14628</v>
      </c>
      <c r="I49" s="44"/>
      <c r="J49" s="44"/>
      <c r="K49" s="44"/>
      <c r="L49" s="44">
        <f t="shared" si="10"/>
        <v>0</v>
      </c>
      <c r="M49" s="44"/>
      <c r="N49" s="44">
        <v>1477</v>
      </c>
      <c r="O49" s="44"/>
      <c r="P49" s="44">
        <f t="shared" si="11"/>
        <v>1477</v>
      </c>
      <c r="Q49" s="44"/>
      <c r="R49" s="36">
        <v>4357</v>
      </c>
      <c r="S49" s="4">
        <v>816</v>
      </c>
      <c r="T49" s="8" t="s">
        <v>28</v>
      </c>
      <c r="U49" s="44"/>
      <c r="V49" s="44"/>
      <c r="W49" s="44"/>
      <c r="X49" s="44">
        <f t="shared" si="12"/>
        <v>0</v>
      </c>
      <c r="Y49" s="44"/>
      <c r="Z49" s="44"/>
      <c r="AA49" s="44">
        <f>570</f>
        <v>570</v>
      </c>
      <c r="AB49" s="44"/>
      <c r="AC49" s="44">
        <f t="shared" si="13"/>
        <v>570</v>
      </c>
    </row>
    <row r="50" spans="1:29" ht="12.75">
      <c r="A50" s="36">
        <v>4357</v>
      </c>
      <c r="B50" s="4">
        <v>818</v>
      </c>
      <c r="C50" s="8" t="s">
        <v>62</v>
      </c>
      <c r="D50" s="44">
        <v>12624</v>
      </c>
      <c r="E50" s="48">
        <f>3199</f>
        <v>3199</v>
      </c>
      <c r="F50" s="44"/>
      <c r="G50" s="48"/>
      <c r="H50" s="44">
        <f t="shared" si="14"/>
        <v>15823</v>
      </c>
      <c r="I50" s="44"/>
      <c r="J50" s="44"/>
      <c r="K50" s="44"/>
      <c r="L50" s="44">
        <f t="shared" si="10"/>
        <v>0</v>
      </c>
      <c r="M50" s="44"/>
      <c r="N50" s="44">
        <v>1685</v>
      </c>
      <c r="O50" s="44"/>
      <c r="P50" s="44">
        <f t="shared" si="11"/>
        <v>1685</v>
      </c>
      <c r="Q50" s="44"/>
      <c r="R50" s="36">
        <v>4357</v>
      </c>
      <c r="S50" s="4">
        <v>818</v>
      </c>
      <c r="T50" s="8" t="s">
        <v>62</v>
      </c>
      <c r="U50" s="44"/>
      <c r="V50" s="44"/>
      <c r="W50" s="44"/>
      <c r="X50" s="44">
        <f t="shared" si="12"/>
        <v>0</v>
      </c>
      <c r="Y50" s="44"/>
      <c r="Z50" s="44"/>
      <c r="AA50" s="44"/>
      <c r="AB50" s="44"/>
      <c r="AC50" s="44">
        <f t="shared" si="13"/>
        <v>0</v>
      </c>
    </row>
    <row r="51" spans="1:29" ht="12.75">
      <c r="A51" s="36">
        <v>4357</v>
      </c>
      <c r="B51" s="4">
        <v>819</v>
      </c>
      <c r="C51" s="84" t="s">
        <v>226</v>
      </c>
      <c r="D51" s="44">
        <v>9235</v>
      </c>
      <c r="E51" s="48">
        <f>1035+250</f>
        <v>1285</v>
      </c>
      <c r="F51" s="44"/>
      <c r="G51" s="48"/>
      <c r="H51" s="44">
        <f t="shared" si="14"/>
        <v>10520</v>
      </c>
      <c r="I51" s="44"/>
      <c r="J51" s="44"/>
      <c r="K51" s="44"/>
      <c r="L51" s="44">
        <f t="shared" si="10"/>
        <v>0</v>
      </c>
      <c r="M51" s="44"/>
      <c r="N51" s="44">
        <v>989</v>
      </c>
      <c r="O51" s="44"/>
      <c r="P51" s="44">
        <f t="shared" si="11"/>
        <v>989</v>
      </c>
      <c r="Q51" s="44"/>
      <c r="R51" s="36">
        <v>4357</v>
      </c>
      <c r="S51" s="4">
        <v>819</v>
      </c>
      <c r="T51" s="8" t="s">
        <v>85</v>
      </c>
      <c r="U51" s="44"/>
      <c r="V51" s="44"/>
      <c r="W51" s="44"/>
      <c r="X51" s="44">
        <f t="shared" si="12"/>
        <v>0</v>
      </c>
      <c r="Y51" s="44"/>
      <c r="Z51" s="44"/>
      <c r="AA51" s="44"/>
      <c r="AB51" s="44"/>
      <c r="AC51" s="44">
        <f t="shared" si="13"/>
        <v>0</v>
      </c>
    </row>
    <row r="52" spans="1:29" ht="12.75">
      <c r="A52" s="36">
        <v>4357</v>
      </c>
      <c r="B52" s="4">
        <v>820</v>
      </c>
      <c r="C52" s="8" t="s">
        <v>161</v>
      </c>
      <c r="D52" s="44">
        <v>8866</v>
      </c>
      <c r="E52" s="48">
        <f>646</f>
        <v>646</v>
      </c>
      <c r="F52" s="44"/>
      <c r="G52" s="48"/>
      <c r="H52" s="44">
        <f t="shared" si="14"/>
        <v>9512</v>
      </c>
      <c r="I52" s="44"/>
      <c r="J52" s="44"/>
      <c r="K52" s="44"/>
      <c r="L52" s="44">
        <f t="shared" si="10"/>
        <v>0</v>
      </c>
      <c r="M52" s="44"/>
      <c r="N52" s="44">
        <v>1900</v>
      </c>
      <c r="O52" s="44"/>
      <c r="P52" s="44">
        <f t="shared" si="11"/>
        <v>1900</v>
      </c>
      <c r="Q52" s="44"/>
      <c r="R52" s="36">
        <v>4357</v>
      </c>
      <c r="S52" s="4">
        <v>820</v>
      </c>
      <c r="T52" s="8" t="s">
        <v>66</v>
      </c>
      <c r="U52" s="44"/>
      <c r="V52" s="44"/>
      <c r="W52" s="44"/>
      <c r="X52" s="44">
        <f t="shared" si="12"/>
        <v>0</v>
      </c>
      <c r="Y52" s="44"/>
      <c r="Z52" s="44"/>
      <c r="AA52" s="44"/>
      <c r="AB52" s="44"/>
      <c r="AC52" s="44">
        <f t="shared" si="13"/>
        <v>0</v>
      </c>
    </row>
    <row r="53" spans="1:29" ht="12.75">
      <c r="A53" s="36">
        <v>4357</v>
      </c>
      <c r="B53" s="4">
        <v>821</v>
      </c>
      <c r="C53" s="8" t="s">
        <v>162</v>
      </c>
      <c r="D53" s="44">
        <v>7551</v>
      </c>
      <c r="E53" s="48">
        <f>1920</f>
        <v>1920</v>
      </c>
      <c r="F53" s="44"/>
      <c r="G53" s="48"/>
      <c r="H53" s="44">
        <f t="shared" si="14"/>
        <v>9471</v>
      </c>
      <c r="I53" s="44"/>
      <c r="J53" s="44"/>
      <c r="K53" s="44"/>
      <c r="L53" s="44">
        <f t="shared" si="10"/>
        <v>0</v>
      </c>
      <c r="M53" s="44"/>
      <c r="N53" s="44">
        <v>2852</v>
      </c>
      <c r="O53" s="44"/>
      <c r="P53" s="44">
        <f t="shared" si="11"/>
        <v>2852</v>
      </c>
      <c r="Q53" s="44"/>
      <c r="R53" s="36">
        <v>4357</v>
      </c>
      <c r="S53" s="4">
        <v>821</v>
      </c>
      <c r="T53" s="8" t="s">
        <v>69</v>
      </c>
      <c r="U53" s="44"/>
      <c r="V53" s="44"/>
      <c r="W53" s="44"/>
      <c r="X53" s="44">
        <f t="shared" si="12"/>
        <v>0</v>
      </c>
      <c r="Y53" s="44"/>
      <c r="Z53" s="44"/>
      <c r="AA53" s="44"/>
      <c r="AB53" s="44"/>
      <c r="AC53" s="44">
        <f t="shared" si="13"/>
        <v>0</v>
      </c>
    </row>
    <row r="54" spans="1:29" ht="12.75">
      <c r="A54" s="36">
        <v>4350</v>
      </c>
      <c r="B54" s="4">
        <v>824</v>
      </c>
      <c r="C54" s="8" t="s">
        <v>83</v>
      </c>
      <c r="D54" s="44">
        <v>7535</v>
      </c>
      <c r="E54" s="44">
        <f>259</f>
        <v>259</v>
      </c>
      <c r="F54" s="44"/>
      <c r="G54" s="44"/>
      <c r="H54" s="44">
        <f t="shared" si="14"/>
        <v>7794</v>
      </c>
      <c r="I54" s="44"/>
      <c r="J54" s="44"/>
      <c r="K54" s="44"/>
      <c r="L54" s="44">
        <f t="shared" si="10"/>
        <v>0</v>
      </c>
      <c r="M54" s="44"/>
      <c r="N54" s="44">
        <v>1674</v>
      </c>
      <c r="O54" s="44"/>
      <c r="P54" s="44">
        <f t="shared" si="11"/>
        <v>1674</v>
      </c>
      <c r="Q54" s="44"/>
      <c r="R54" s="36">
        <v>4350</v>
      </c>
      <c r="S54" s="4">
        <v>824</v>
      </c>
      <c r="T54" s="8" t="s">
        <v>83</v>
      </c>
      <c r="U54" s="44"/>
      <c r="V54" s="44"/>
      <c r="W54" s="44"/>
      <c r="X54" s="44">
        <f t="shared" si="12"/>
        <v>0</v>
      </c>
      <c r="Y54" s="44"/>
      <c r="Z54" s="44"/>
      <c r="AA54" s="44"/>
      <c r="AB54" s="44"/>
      <c r="AC54" s="44">
        <f t="shared" si="13"/>
        <v>0</v>
      </c>
    </row>
    <row r="55" spans="1:29" ht="12.75">
      <c r="A55" s="36">
        <v>4350</v>
      </c>
      <c r="B55" s="4">
        <v>825</v>
      </c>
      <c r="C55" s="8" t="s">
        <v>35</v>
      </c>
      <c r="D55" s="44">
        <v>2770</v>
      </c>
      <c r="E55" s="44">
        <f>630</f>
        <v>630</v>
      </c>
      <c r="F55" s="44"/>
      <c r="G55" s="44"/>
      <c r="H55" s="44">
        <f t="shared" si="14"/>
        <v>3400</v>
      </c>
      <c r="I55" s="44"/>
      <c r="J55" s="44"/>
      <c r="K55" s="44"/>
      <c r="L55" s="44">
        <f t="shared" si="10"/>
        <v>0</v>
      </c>
      <c r="M55" s="44"/>
      <c r="N55" s="44">
        <v>271</v>
      </c>
      <c r="O55" s="44"/>
      <c r="P55" s="44">
        <f t="shared" si="11"/>
        <v>271</v>
      </c>
      <c r="Q55" s="44"/>
      <c r="R55" s="36">
        <v>4350</v>
      </c>
      <c r="S55" s="4">
        <v>825</v>
      </c>
      <c r="T55" s="8" t="s">
        <v>35</v>
      </c>
      <c r="U55" s="44"/>
      <c r="V55" s="44"/>
      <c r="W55" s="44"/>
      <c r="X55" s="44">
        <f t="shared" si="12"/>
        <v>0</v>
      </c>
      <c r="Y55" s="44"/>
      <c r="Z55" s="44">
        <v>200</v>
      </c>
      <c r="AA55" s="44">
        <f>400</f>
        <v>400</v>
      </c>
      <c r="AB55" s="44"/>
      <c r="AC55" s="44">
        <f t="shared" si="13"/>
        <v>600</v>
      </c>
    </row>
    <row r="56" spans="1:29" ht="12.75">
      <c r="A56" s="36">
        <v>4350</v>
      </c>
      <c r="B56" s="4">
        <v>826</v>
      </c>
      <c r="C56" s="8" t="s">
        <v>163</v>
      </c>
      <c r="D56" s="44">
        <v>6386</v>
      </c>
      <c r="E56" s="44">
        <f>474</f>
        <v>474</v>
      </c>
      <c r="F56" s="44"/>
      <c r="G56" s="44"/>
      <c r="H56" s="44">
        <f t="shared" si="14"/>
        <v>6860</v>
      </c>
      <c r="I56" s="44"/>
      <c r="J56" s="44"/>
      <c r="K56" s="44"/>
      <c r="L56" s="44">
        <f t="shared" si="10"/>
        <v>0</v>
      </c>
      <c r="M56" s="44"/>
      <c r="N56" s="44">
        <v>871</v>
      </c>
      <c r="O56" s="44"/>
      <c r="P56" s="44">
        <f t="shared" si="11"/>
        <v>871</v>
      </c>
      <c r="Q56" s="44"/>
      <c r="R56" s="36">
        <v>4350</v>
      </c>
      <c r="S56" s="4">
        <v>826</v>
      </c>
      <c r="T56" s="8" t="s">
        <v>67</v>
      </c>
      <c r="U56" s="44"/>
      <c r="V56" s="44"/>
      <c r="W56" s="44"/>
      <c r="X56" s="44">
        <f t="shared" si="12"/>
        <v>0</v>
      </c>
      <c r="Y56" s="44"/>
      <c r="Z56" s="44">
        <v>370</v>
      </c>
      <c r="AA56" s="44"/>
      <c r="AB56" s="44"/>
      <c r="AC56" s="44">
        <f t="shared" si="13"/>
        <v>370</v>
      </c>
    </row>
    <row r="57" spans="1:29" ht="12.75">
      <c r="A57" s="36">
        <v>4350</v>
      </c>
      <c r="B57" s="4">
        <v>827</v>
      </c>
      <c r="C57" s="8" t="s">
        <v>164</v>
      </c>
      <c r="D57" s="44">
        <v>3655</v>
      </c>
      <c r="E57" s="44">
        <f>856</f>
        <v>856</v>
      </c>
      <c r="F57" s="44"/>
      <c r="G57" s="44"/>
      <c r="H57" s="44">
        <f t="shared" si="14"/>
        <v>4511</v>
      </c>
      <c r="I57" s="44"/>
      <c r="J57" s="44"/>
      <c r="K57" s="44"/>
      <c r="L57" s="44">
        <f t="shared" si="10"/>
        <v>0</v>
      </c>
      <c r="M57" s="44"/>
      <c r="N57" s="44">
        <v>1363</v>
      </c>
      <c r="O57" s="44"/>
      <c r="P57" s="44">
        <f t="shared" si="11"/>
        <v>1363</v>
      </c>
      <c r="Q57" s="44"/>
      <c r="R57" s="36">
        <v>4350</v>
      </c>
      <c r="S57" s="4">
        <v>827</v>
      </c>
      <c r="T57" s="8" t="s">
        <v>34</v>
      </c>
      <c r="U57" s="44"/>
      <c r="V57" s="44"/>
      <c r="W57" s="44"/>
      <c r="X57" s="44">
        <f t="shared" si="12"/>
        <v>0</v>
      </c>
      <c r="Y57" s="44"/>
      <c r="Z57" s="44"/>
      <c r="AA57" s="44"/>
      <c r="AB57" s="44"/>
      <c r="AC57" s="44">
        <f t="shared" si="13"/>
        <v>0</v>
      </c>
    </row>
    <row r="58" spans="1:29" ht="12.75">
      <c r="A58" s="36">
        <v>4357</v>
      </c>
      <c r="B58" s="4">
        <v>828</v>
      </c>
      <c r="C58" s="8" t="s">
        <v>165</v>
      </c>
      <c r="D58" s="44">
        <v>6662</v>
      </c>
      <c r="E58" s="44">
        <f>1178</f>
        <v>1178</v>
      </c>
      <c r="F58" s="44"/>
      <c r="G58" s="44"/>
      <c r="H58" s="44">
        <f t="shared" si="14"/>
        <v>7840</v>
      </c>
      <c r="I58" s="44"/>
      <c r="J58" s="44"/>
      <c r="K58" s="44"/>
      <c r="L58" s="44">
        <f t="shared" si="10"/>
        <v>0</v>
      </c>
      <c r="M58" s="44"/>
      <c r="N58" s="44">
        <v>1230</v>
      </c>
      <c r="O58" s="44"/>
      <c r="P58" s="44">
        <f t="shared" si="11"/>
        <v>1230</v>
      </c>
      <c r="Q58" s="44"/>
      <c r="R58" s="36">
        <v>4357</v>
      </c>
      <c r="S58" s="4">
        <v>828</v>
      </c>
      <c r="T58" s="8" t="s">
        <v>77</v>
      </c>
      <c r="U58" s="44"/>
      <c r="V58" s="44"/>
      <c r="W58" s="44"/>
      <c r="X58" s="44">
        <f t="shared" si="12"/>
        <v>0</v>
      </c>
      <c r="Y58" s="44"/>
      <c r="Z58" s="44"/>
      <c r="AA58" s="44"/>
      <c r="AB58" s="44"/>
      <c r="AC58" s="44">
        <f t="shared" si="13"/>
        <v>0</v>
      </c>
    </row>
    <row r="59" spans="1:29" ht="12.75">
      <c r="A59" s="36"/>
      <c r="B59" s="4"/>
      <c r="C59" s="10" t="s">
        <v>22</v>
      </c>
      <c r="D59" s="56">
        <f aca="true" t="shared" si="15" ref="D59:P59">SUM(D61:D132)</f>
        <v>364471.94999999995</v>
      </c>
      <c r="E59" s="56">
        <f t="shared" si="15"/>
        <v>18983.220000000005</v>
      </c>
      <c r="F59" s="56">
        <f t="shared" si="15"/>
        <v>0</v>
      </c>
      <c r="G59" s="56">
        <f t="shared" si="15"/>
        <v>6046.25</v>
      </c>
      <c r="H59" s="56">
        <f t="shared" si="15"/>
        <v>389501.41999999987</v>
      </c>
      <c r="I59" s="56">
        <f t="shared" si="15"/>
        <v>0</v>
      </c>
      <c r="J59" s="56">
        <f t="shared" si="15"/>
        <v>740</v>
      </c>
      <c r="K59" s="56">
        <f t="shared" si="15"/>
        <v>519.37</v>
      </c>
      <c r="L59" s="56">
        <f t="shared" si="15"/>
        <v>1259.37</v>
      </c>
      <c r="M59" s="56">
        <f t="shared" si="15"/>
        <v>0</v>
      </c>
      <c r="N59" s="56">
        <f t="shared" si="15"/>
        <v>44302.000000000015</v>
      </c>
      <c r="O59" s="56">
        <f t="shared" si="15"/>
        <v>127.69999999999999</v>
      </c>
      <c r="P59" s="56">
        <f t="shared" si="15"/>
        <v>44429.700000000004</v>
      </c>
      <c r="Q59" s="56"/>
      <c r="R59" s="62"/>
      <c r="S59" s="63"/>
      <c r="T59" s="56" t="s">
        <v>74</v>
      </c>
      <c r="U59" s="56">
        <f aca="true" t="shared" si="16" ref="U59:AC59">SUM(U61:U132)</f>
        <v>15300</v>
      </c>
      <c r="V59" s="56">
        <f t="shared" si="16"/>
        <v>7126.46</v>
      </c>
      <c r="W59" s="56">
        <f t="shared" si="16"/>
        <v>0</v>
      </c>
      <c r="X59" s="56">
        <f t="shared" si="16"/>
        <v>22426.460000000003</v>
      </c>
      <c r="Y59" s="56">
        <f t="shared" si="16"/>
        <v>0</v>
      </c>
      <c r="Z59" s="56">
        <f t="shared" si="16"/>
        <v>64700</v>
      </c>
      <c r="AA59" s="56">
        <f t="shared" si="16"/>
        <v>45466.630000000005</v>
      </c>
      <c r="AB59" s="56">
        <f t="shared" si="16"/>
        <v>0</v>
      </c>
      <c r="AC59" s="56">
        <f t="shared" si="16"/>
        <v>110166.63</v>
      </c>
    </row>
    <row r="60" spans="1:29" ht="15" customHeight="1">
      <c r="A60" s="36"/>
      <c r="B60" s="4"/>
      <c r="C60" s="29" t="s">
        <v>156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62"/>
      <c r="S60" s="63"/>
      <c r="T60" s="57" t="s">
        <v>38</v>
      </c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12.75">
      <c r="A61" s="36">
        <v>3121</v>
      </c>
      <c r="B61" s="4">
        <v>301</v>
      </c>
      <c r="C61" s="77" t="s">
        <v>167</v>
      </c>
      <c r="D61" s="72">
        <v>4107.4</v>
      </c>
      <c r="E61" s="44">
        <f>124.64-22.05</f>
        <v>102.59</v>
      </c>
      <c r="F61" s="44"/>
      <c r="G61" s="48">
        <f>126.8</f>
        <v>126.8</v>
      </c>
      <c r="H61" s="44">
        <f aca="true" t="shared" si="17" ref="H61:H124">D61+E61+F61+G61</f>
        <v>4336.79</v>
      </c>
      <c r="I61" s="44"/>
      <c r="J61" s="72"/>
      <c r="K61" s="44"/>
      <c r="L61" s="44">
        <f aca="true" t="shared" si="18" ref="L61:L124">J61+K61</f>
        <v>0</v>
      </c>
      <c r="M61" s="44"/>
      <c r="N61" s="72">
        <v>380.9</v>
      </c>
      <c r="O61" s="44">
        <f>-17.64</f>
        <v>-17.64</v>
      </c>
      <c r="P61" s="44">
        <f aca="true" t="shared" si="19" ref="P61:P124">N61+O61</f>
        <v>363.26</v>
      </c>
      <c r="Q61" s="44"/>
      <c r="R61" s="36">
        <v>3121</v>
      </c>
      <c r="S61" s="4">
        <v>301</v>
      </c>
      <c r="T61" s="77" t="s">
        <v>6</v>
      </c>
      <c r="U61" s="44">
        <v>300</v>
      </c>
      <c r="V61" s="44"/>
      <c r="W61" s="44"/>
      <c r="X61" s="44">
        <f aca="true" t="shared" si="20" ref="X61:X124">SUM(U61:W61)</f>
        <v>300</v>
      </c>
      <c r="Y61" s="44"/>
      <c r="Z61" s="44"/>
      <c r="AA61" s="44"/>
      <c r="AB61" s="44"/>
      <c r="AC61" s="44">
        <f aca="true" t="shared" si="21" ref="AC61:AC124">SUM(Z61:AB61)</f>
        <v>0</v>
      </c>
    </row>
    <row r="62" spans="1:29" ht="12.75">
      <c r="A62" s="36">
        <v>3121</v>
      </c>
      <c r="B62" s="4">
        <v>302</v>
      </c>
      <c r="C62" s="77" t="s">
        <v>168</v>
      </c>
      <c r="D62" s="72">
        <v>5889.9</v>
      </c>
      <c r="E62" s="44">
        <f>112.4+11.06</f>
        <v>123.46000000000001</v>
      </c>
      <c r="F62" s="44"/>
      <c r="G62" s="48">
        <f>247</f>
        <v>247</v>
      </c>
      <c r="H62" s="44">
        <f t="shared" si="17"/>
        <v>6260.36</v>
      </c>
      <c r="I62" s="44"/>
      <c r="J62" s="72"/>
      <c r="K62" s="44"/>
      <c r="L62" s="44">
        <f t="shared" si="18"/>
        <v>0</v>
      </c>
      <c r="M62" s="44"/>
      <c r="N62" s="72">
        <v>383.2</v>
      </c>
      <c r="O62" s="44">
        <f>4.5</f>
        <v>4.5</v>
      </c>
      <c r="P62" s="44">
        <f t="shared" si="19"/>
        <v>387.7</v>
      </c>
      <c r="Q62" s="44"/>
      <c r="R62" s="36">
        <v>3121</v>
      </c>
      <c r="S62" s="4">
        <v>302</v>
      </c>
      <c r="T62" s="77" t="s">
        <v>92</v>
      </c>
      <c r="U62" s="44"/>
      <c r="V62" s="44"/>
      <c r="W62" s="44"/>
      <c r="X62" s="44">
        <f t="shared" si="20"/>
        <v>0</v>
      </c>
      <c r="Y62" s="44"/>
      <c r="Z62" s="44"/>
      <c r="AA62" s="44">
        <f>401.14</f>
        <v>401.14</v>
      </c>
      <c r="AB62" s="44"/>
      <c r="AC62" s="44">
        <f t="shared" si="21"/>
        <v>401.14</v>
      </c>
    </row>
    <row r="63" spans="1:29" ht="12.75">
      <c r="A63" s="36">
        <v>3121</v>
      </c>
      <c r="B63" s="4">
        <v>303</v>
      </c>
      <c r="C63" s="77" t="s">
        <v>169</v>
      </c>
      <c r="D63" s="72">
        <v>3436.8</v>
      </c>
      <c r="E63" s="44">
        <f>85.4-12.13</f>
        <v>73.27000000000001</v>
      </c>
      <c r="F63" s="44"/>
      <c r="G63" s="48">
        <f>82</f>
        <v>82</v>
      </c>
      <c r="H63" s="44">
        <f t="shared" si="17"/>
        <v>3592.07</v>
      </c>
      <c r="I63" s="44"/>
      <c r="J63" s="72"/>
      <c r="K63" s="44"/>
      <c r="L63" s="44">
        <f t="shared" si="18"/>
        <v>0</v>
      </c>
      <c r="M63" s="44"/>
      <c r="N63" s="72">
        <v>385.5</v>
      </c>
      <c r="O63" s="44">
        <f>-9.7</f>
        <v>-9.7</v>
      </c>
      <c r="P63" s="44">
        <f t="shared" si="19"/>
        <v>375.8</v>
      </c>
      <c r="Q63" s="44"/>
      <c r="R63" s="36">
        <v>3121</v>
      </c>
      <c r="S63" s="4">
        <v>303</v>
      </c>
      <c r="T63" s="77" t="s">
        <v>143</v>
      </c>
      <c r="U63" s="44"/>
      <c r="V63" s="44"/>
      <c r="W63" s="44"/>
      <c r="X63" s="44">
        <f t="shared" si="20"/>
        <v>0</v>
      </c>
      <c r="Y63" s="44"/>
      <c r="Z63" s="44"/>
      <c r="AA63" s="44"/>
      <c r="AB63" s="44"/>
      <c r="AC63" s="44">
        <f t="shared" si="21"/>
        <v>0</v>
      </c>
    </row>
    <row r="64" spans="1:29" ht="12.75">
      <c r="A64" s="36">
        <v>3122</v>
      </c>
      <c r="B64" s="4">
        <v>305</v>
      </c>
      <c r="C64" s="77" t="s">
        <v>170</v>
      </c>
      <c r="D64" s="72">
        <v>5625.3</v>
      </c>
      <c r="E64" s="44">
        <f>136.9-45.6</f>
        <v>91.30000000000001</v>
      </c>
      <c r="F64" s="44"/>
      <c r="G64" s="48">
        <f>85</f>
        <v>85</v>
      </c>
      <c r="H64" s="44">
        <f t="shared" si="17"/>
        <v>5801.6</v>
      </c>
      <c r="I64" s="44"/>
      <c r="J64" s="72"/>
      <c r="K64" s="44"/>
      <c r="L64" s="44">
        <f t="shared" si="18"/>
        <v>0</v>
      </c>
      <c r="M64" s="44"/>
      <c r="N64" s="72">
        <v>1120.4</v>
      </c>
      <c r="O64" s="44">
        <f>-36.48</f>
        <v>-36.48</v>
      </c>
      <c r="P64" s="44">
        <f t="shared" si="19"/>
        <v>1083.92</v>
      </c>
      <c r="Q64" s="44"/>
      <c r="R64" s="36">
        <v>3122</v>
      </c>
      <c r="S64" s="4">
        <v>305</v>
      </c>
      <c r="T64" s="77" t="s">
        <v>93</v>
      </c>
      <c r="U64" s="44"/>
      <c r="V64" s="44"/>
      <c r="W64" s="44"/>
      <c r="X64" s="44">
        <f t="shared" si="20"/>
        <v>0</v>
      </c>
      <c r="Y64" s="44"/>
      <c r="Z64" s="44"/>
      <c r="AA64" s="44"/>
      <c r="AB64" s="44"/>
      <c r="AC64" s="44">
        <f t="shared" si="21"/>
        <v>0</v>
      </c>
    </row>
    <row r="65" spans="1:29" ht="12.75">
      <c r="A65" s="36">
        <v>3122</v>
      </c>
      <c r="B65" s="4">
        <v>307</v>
      </c>
      <c r="C65" s="77" t="s">
        <v>171</v>
      </c>
      <c r="D65" s="72">
        <v>4640.2</v>
      </c>
      <c r="E65" s="44">
        <f>92.3-250.5</f>
        <v>-158.2</v>
      </c>
      <c r="F65" s="44"/>
      <c r="G65" s="48">
        <f>126.4</f>
        <v>126.4</v>
      </c>
      <c r="H65" s="44">
        <f t="shared" si="17"/>
        <v>4608.4</v>
      </c>
      <c r="I65" s="44"/>
      <c r="J65" s="72">
        <v>185</v>
      </c>
      <c r="K65" s="44"/>
      <c r="L65" s="44">
        <f t="shared" si="18"/>
        <v>185</v>
      </c>
      <c r="M65" s="44"/>
      <c r="N65" s="72">
        <v>737.6</v>
      </c>
      <c r="O65" s="44">
        <f>-200.4</f>
        <v>-200.4</v>
      </c>
      <c r="P65" s="44">
        <f t="shared" si="19"/>
        <v>537.2</v>
      </c>
      <c r="Q65" s="44"/>
      <c r="R65" s="36">
        <v>3122</v>
      </c>
      <c r="S65" s="4">
        <v>307</v>
      </c>
      <c r="T65" s="77" t="s">
        <v>94</v>
      </c>
      <c r="U65" s="44"/>
      <c r="V65" s="48">
        <f>164</f>
        <v>164</v>
      </c>
      <c r="W65" s="44"/>
      <c r="X65" s="44">
        <f t="shared" si="20"/>
        <v>164</v>
      </c>
      <c r="Y65" s="44"/>
      <c r="Z65" s="44"/>
      <c r="AA65" s="48"/>
      <c r="AB65" s="44"/>
      <c r="AC65" s="44">
        <f t="shared" si="21"/>
        <v>0</v>
      </c>
    </row>
    <row r="66" spans="1:29" ht="12.75">
      <c r="A66" s="36">
        <v>3127</v>
      </c>
      <c r="B66" s="4">
        <v>308</v>
      </c>
      <c r="C66" s="77" t="s">
        <v>172</v>
      </c>
      <c r="D66" s="72">
        <v>16234.7</v>
      </c>
      <c r="E66" s="44">
        <f>125+2525.25</f>
        <v>2650.25</v>
      </c>
      <c r="F66" s="44"/>
      <c r="G66" s="48">
        <f>219.4</f>
        <v>219.4</v>
      </c>
      <c r="H66" s="44">
        <f t="shared" si="17"/>
        <v>19104.350000000002</v>
      </c>
      <c r="I66" s="44"/>
      <c r="J66" s="72"/>
      <c r="K66" s="44"/>
      <c r="L66" s="44">
        <f t="shared" si="18"/>
        <v>0</v>
      </c>
      <c r="M66" s="44"/>
      <c r="N66" s="72">
        <v>1160</v>
      </c>
      <c r="O66" s="44">
        <f>1.08</f>
        <v>1.08</v>
      </c>
      <c r="P66" s="44">
        <f t="shared" si="19"/>
        <v>1161.08</v>
      </c>
      <c r="Q66" s="44"/>
      <c r="R66" s="36">
        <v>3127</v>
      </c>
      <c r="S66" s="4">
        <v>308</v>
      </c>
      <c r="T66" s="77" t="s">
        <v>95</v>
      </c>
      <c r="U66" s="44"/>
      <c r="V66" s="44"/>
      <c r="W66" s="44"/>
      <c r="X66" s="44">
        <f t="shared" si="20"/>
        <v>0</v>
      </c>
      <c r="Y66" s="44"/>
      <c r="Z66" s="44"/>
      <c r="AA66" s="44"/>
      <c r="AB66" s="44"/>
      <c r="AC66" s="44">
        <f t="shared" si="21"/>
        <v>0</v>
      </c>
    </row>
    <row r="67" spans="1:29" ht="12.75">
      <c r="A67" s="36">
        <v>3127</v>
      </c>
      <c r="B67" s="4">
        <v>309</v>
      </c>
      <c r="C67" s="77" t="s">
        <v>173</v>
      </c>
      <c r="D67" s="72">
        <v>7326.7</v>
      </c>
      <c r="E67" s="44">
        <f>120.1+861.09</f>
        <v>981.19</v>
      </c>
      <c r="F67" s="44"/>
      <c r="G67" s="48">
        <f>202</f>
        <v>202</v>
      </c>
      <c r="H67" s="44">
        <f t="shared" si="17"/>
        <v>8509.89</v>
      </c>
      <c r="I67" s="44"/>
      <c r="J67" s="72"/>
      <c r="K67" s="44"/>
      <c r="L67" s="44">
        <f t="shared" si="18"/>
        <v>0</v>
      </c>
      <c r="M67" s="44"/>
      <c r="N67" s="72">
        <v>1322.6</v>
      </c>
      <c r="O67" s="44">
        <f>50.79</f>
        <v>50.79</v>
      </c>
      <c r="P67" s="44">
        <f t="shared" si="19"/>
        <v>1373.3899999999999</v>
      </c>
      <c r="Q67" s="44"/>
      <c r="R67" s="36">
        <v>3127</v>
      </c>
      <c r="S67" s="4">
        <v>309</v>
      </c>
      <c r="T67" s="77" t="s">
        <v>41</v>
      </c>
      <c r="U67" s="44"/>
      <c r="V67" s="44"/>
      <c r="W67" s="44"/>
      <c r="X67" s="44">
        <f t="shared" si="20"/>
        <v>0</v>
      </c>
      <c r="Y67" s="44"/>
      <c r="Z67" s="44">
        <v>5000</v>
      </c>
      <c r="AA67" s="44">
        <f>4053.15</f>
        <v>4053.15</v>
      </c>
      <c r="AB67" s="44"/>
      <c r="AC67" s="44">
        <f t="shared" si="21"/>
        <v>9053.15</v>
      </c>
    </row>
    <row r="68" spans="1:29" ht="12.75">
      <c r="A68" s="36">
        <v>3122</v>
      </c>
      <c r="B68" s="4">
        <v>312</v>
      </c>
      <c r="C68" s="77" t="s">
        <v>174</v>
      </c>
      <c r="D68" s="72">
        <v>6083.1</v>
      </c>
      <c r="E68" s="44">
        <f>90+2.38</f>
        <v>92.38</v>
      </c>
      <c r="F68" s="44"/>
      <c r="G68" s="48">
        <f>297</f>
        <v>297</v>
      </c>
      <c r="H68" s="44">
        <f t="shared" si="17"/>
        <v>6472.4800000000005</v>
      </c>
      <c r="I68" s="44"/>
      <c r="J68" s="72"/>
      <c r="K68" s="44"/>
      <c r="L68" s="44">
        <f t="shared" si="18"/>
        <v>0</v>
      </c>
      <c r="M68" s="44"/>
      <c r="N68" s="72">
        <v>1262.8</v>
      </c>
      <c r="O68" s="44">
        <f>1.9</f>
        <v>1.9</v>
      </c>
      <c r="P68" s="44">
        <f t="shared" si="19"/>
        <v>1264.7</v>
      </c>
      <c r="Q68" s="44"/>
      <c r="R68" s="36">
        <v>3122</v>
      </c>
      <c r="S68" s="4">
        <v>312</v>
      </c>
      <c r="T68" s="77" t="s">
        <v>96</v>
      </c>
      <c r="U68" s="44"/>
      <c r="V68" s="44"/>
      <c r="W68" s="44"/>
      <c r="X68" s="44">
        <f t="shared" si="20"/>
        <v>0</v>
      </c>
      <c r="Y68" s="44"/>
      <c r="Z68" s="44"/>
      <c r="AA68" s="44"/>
      <c r="AB68" s="44"/>
      <c r="AC68" s="44">
        <f t="shared" si="21"/>
        <v>0</v>
      </c>
    </row>
    <row r="69" spans="1:29" ht="12.75">
      <c r="A69" s="36">
        <v>3122</v>
      </c>
      <c r="B69" s="4">
        <v>314</v>
      </c>
      <c r="C69" s="77" t="s">
        <v>175</v>
      </c>
      <c r="D69" s="72">
        <v>6404.3</v>
      </c>
      <c r="E69" s="44">
        <f>63.3+329.88</f>
        <v>393.18</v>
      </c>
      <c r="F69" s="44"/>
      <c r="G69" s="48">
        <f>142.2</f>
        <v>142.2</v>
      </c>
      <c r="H69" s="44">
        <f t="shared" si="17"/>
        <v>6939.68</v>
      </c>
      <c r="I69" s="44"/>
      <c r="J69" s="72"/>
      <c r="K69" s="44"/>
      <c r="L69" s="44">
        <f t="shared" si="18"/>
        <v>0</v>
      </c>
      <c r="M69" s="44"/>
      <c r="N69" s="72">
        <v>660.4</v>
      </c>
      <c r="O69" s="44">
        <f>42.3</f>
        <v>42.3</v>
      </c>
      <c r="P69" s="44">
        <f t="shared" si="19"/>
        <v>702.6999999999999</v>
      </c>
      <c r="Q69" s="44"/>
      <c r="R69" s="36">
        <v>3122</v>
      </c>
      <c r="S69" s="4">
        <v>314</v>
      </c>
      <c r="T69" s="77" t="s">
        <v>97</v>
      </c>
      <c r="U69" s="44"/>
      <c r="V69" s="44"/>
      <c r="W69" s="44"/>
      <c r="X69" s="44">
        <f t="shared" si="20"/>
        <v>0</v>
      </c>
      <c r="Y69" s="44"/>
      <c r="Z69" s="44">
        <v>5000</v>
      </c>
      <c r="AA69" s="44">
        <f>4030.5-500+500</f>
        <v>4030.5</v>
      </c>
      <c r="AB69" s="44"/>
      <c r="AC69" s="44">
        <f t="shared" si="21"/>
        <v>9030.5</v>
      </c>
    </row>
    <row r="70" spans="1:29" ht="12.75">
      <c r="A70" s="36">
        <v>3127</v>
      </c>
      <c r="B70" s="5">
        <v>317</v>
      </c>
      <c r="C70" s="67" t="s">
        <v>176</v>
      </c>
      <c r="D70" s="72">
        <v>6806.7</v>
      </c>
      <c r="E70" s="49">
        <f>25.04+7.95</f>
        <v>32.99</v>
      </c>
      <c r="F70" s="49"/>
      <c r="G70" s="58">
        <f>41</f>
        <v>41</v>
      </c>
      <c r="H70" s="44">
        <f t="shared" si="17"/>
        <v>6880.69</v>
      </c>
      <c r="I70" s="49"/>
      <c r="J70" s="72"/>
      <c r="K70" s="49"/>
      <c r="L70" s="44">
        <f t="shared" si="18"/>
        <v>0</v>
      </c>
      <c r="M70" s="49"/>
      <c r="N70" s="72">
        <v>1123.6</v>
      </c>
      <c r="O70" s="49">
        <f>6.36</f>
        <v>6.36</v>
      </c>
      <c r="P70" s="44">
        <f t="shared" si="19"/>
        <v>1129.9599999999998</v>
      </c>
      <c r="Q70" s="49"/>
      <c r="R70" s="36">
        <v>3127</v>
      </c>
      <c r="S70" s="5">
        <v>317</v>
      </c>
      <c r="T70" s="67" t="s">
        <v>98</v>
      </c>
      <c r="U70" s="49"/>
      <c r="V70" s="49">
        <f>280</f>
        <v>280</v>
      </c>
      <c r="W70" s="49"/>
      <c r="X70" s="44">
        <f t="shared" si="20"/>
        <v>280</v>
      </c>
      <c r="Y70" s="49"/>
      <c r="Z70" s="49"/>
      <c r="AA70" s="49"/>
      <c r="AB70" s="49"/>
      <c r="AC70" s="44">
        <f t="shared" si="21"/>
        <v>0</v>
      </c>
    </row>
    <row r="71" spans="1:29" ht="12.75">
      <c r="A71" s="36">
        <v>3127</v>
      </c>
      <c r="B71" s="4">
        <v>318</v>
      </c>
      <c r="C71" s="77" t="s">
        <v>177</v>
      </c>
      <c r="D71" s="72">
        <v>10426.5</v>
      </c>
      <c r="E71" s="44">
        <f>214.7</f>
        <v>214.7</v>
      </c>
      <c r="F71" s="44"/>
      <c r="G71" s="48">
        <f>91</f>
        <v>91</v>
      </c>
      <c r="H71" s="44">
        <f t="shared" si="17"/>
        <v>10732.2</v>
      </c>
      <c r="I71" s="44"/>
      <c r="J71" s="72"/>
      <c r="K71" s="44"/>
      <c r="L71" s="44">
        <f t="shared" si="18"/>
        <v>0</v>
      </c>
      <c r="M71" s="44"/>
      <c r="N71" s="72">
        <v>657.6</v>
      </c>
      <c r="O71" s="44">
        <f>0.16</f>
        <v>0.16</v>
      </c>
      <c r="P71" s="44">
        <f t="shared" si="19"/>
        <v>657.76</v>
      </c>
      <c r="Q71" s="44"/>
      <c r="R71" s="36">
        <v>3127</v>
      </c>
      <c r="S71" s="4">
        <v>318</v>
      </c>
      <c r="T71" s="77" t="s">
        <v>99</v>
      </c>
      <c r="U71" s="44"/>
      <c r="V71" s="44"/>
      <c r="W71" s="44"/>
      <c r="X71" s="44">
        <f t="shared" si="20"/>
        <v>0</v>
      </c>
      <c r="Y71" s="44"/>
      <c r="Z71" s="44"/>
      <c r="AA71" s="44"/>
      <c r="AB71" s="44"/>
      <c r="AC71" s="44">
        <f t="shared" si="21"/>
        <v>0</v>
      </c>
    </row>
    <row r="72" spans="1:29" ht="12.75">
      <c r="A72" s="36">
        <v>3124</v>
      </c>
      <c r="B72" s="4">
        <v>319</v>
      </c>
      <c r="C72" s="77" t="s">
        <v>178</v>
      </c>
      <c r="D72" s="72">
        <v>5877.2</v>
      </c>
      <c r="E72" s="44">
        <f>72.2+398.46</f>
        <v>470.65999999999997</v>
      </c>
      <c r="F72" s="44"/>
      <c r="G72" s="48">
        <f>207.9</f>
        <v>207.9</v>
      </c>
      <c r="H72" s="44">
        <f t="shared" si="17"/>
        <v>6555.759999999999</v>
      </c>
      <c r="I72" s="44"/>
      <c r="J72" s="72"/>
      <c r="K72" s="44"/>
      <c r="L72" s="44">
        <f t="shared" si="18"/>
        <v>0</v>
      </c>
      <c r="M72" s="44"/>
      <c r="N72" s="72">
        <v>1130.4</v>
      </c>
      <c r="O72" s="44">
        <f>18.69</f>
        <v>18.69</v>
      </c>
      <c r="P72" s="44">
        <f t="shared" si="19"/>
        <v>1149.0900000000001</v>
      </c>
      <c r="Q72" s="44"/>
      <c r="R72" s="36">
        <v>3124</v>
      </c>
      <c r="S72" s="4">
        <v>319</v>
      </c>
      <c r="T72" s="77" t="s">
        <v>100</v>
      </c>
      <c r="U72" s="44"/>
      <c r="V72" s="44"/>
      <c r="W72" s="44"/>
      <c r="X72" s="44">
        <f t="shared" si="20"/>
        <v>0</v>
      </c>
      <c r="Y72" s="44"/>
      <c r="Z72" s="44"/>
      <c r="AA72" s="44"/>
      <c r="AB72" s="44"/>
      <c r="AC72" s="44">
        <f t="shared" si="21"/>
        <v>0</v>
      </c>
    </row>
    <row r="73" spans="1:29" ht="12.75">
      <c r="A73" s="36">
        <v>3114</v>
      </c>
      <c r="B73" s="4">
        <v>320</v>
      </c>
      <c r="C73" s="77" t="s">
        <v>179</v>
      </c>
      <c r="D73" s="72">
        <v>5138.5</v>
      </c>
      <c r="E73" s="44">
        <f>40-67.37</f>
        <v>-27.370000000000005</v>
      </c>
      <c r="F73" s="44"/>
      <c r="G73" s="48">
        <f>26</f>
        <v>26</v>
      </c>
      <c r="H73" s="44">
        <f t="shared" si="17"/>
        <v>5137.13</v>
      </c>
      <c r="I73" s="44"/>
      <c r="J73" s="72"/>
      <c r="K73" s="44"/>
      <c r="L73" s="44">
        <f t="shared" si="18"/>
        <v>0</v>
      </c>
      <c r="M73" s="44"/>
      <c r="N73" s="72">
        <v>510.6</v>
      </c>
      <c r="O73" s="44">
        <f>-53.9</f>
        <v>-53.9</v>
      </c>
      <c r="P73" s="44">
        <f t="shared" si="19"/>
        <v>456.70000000000005</v>
      </c>
      <c r="Q73" s="44"/>
      <c r="R73" s="36">
        <v>3114</v>
      </c>
      <c r="S73" s="4">
        <v>320</v>
      </c>
      <c r="T73" s="77" t="s">
        <v>101</v>
      </c>
      <c r="U73" s="44"/>
      <c r="V73" s="44"/>
      <c r="W73" s="44"/>
      <c r="X73" s="44">
        <f t="shared" si="20"/>
        <v>0</v>
      </c>
      <c r="Y73" s="44"/>
      <c r="Z73" s="44"/>
      <c r="AA73" s="44"/>
      <c r="AB73" s="44"/>
      <c r="AC73" s="44">
        <f t="shared" si="21"/>
        <v>0</v>
      </c>
    </row>
    <row r="74" spans="1:29" ht="12.75">
      <c r="A74" s="36">
        <v>3114</v>
      </c>
      <c r="B74" s="4">
        <v>321</v>
      </c>
      <c r="C74" s="77" t="s">
        <v>90</v>
      </c>
      <c r="D74" s="72">
        <v>8141.7</v>
      </c>
      <c r="E74" s="44">
        <f>99.4+9.82</f>
        <v>109.22</v>
      </c>
      <c r="F74" s="44"/>
      <c r="G74" s="48"/>
      <c r="H74" s="44">
        <f t="shared" si="17"/>
        <v>8250.92</v>
      </c>
      <c r="I74" s="44"/>
      <c r="J74" s="72"/>
      <c r="K74" s="44"/>
      <c r="L74" s="44">
        <f t="shared" si="18"/>
        <v>0</v>
      </c>
      <c r="M74" s="44"/>
      <c r="N74" s="72">
        <v>680.8</v>
      </c>
      <c r="O74" s="44">
        <f>7.86</f>
        <v>7.86</v>
      </c>
      <c r="P74" s="44">
        <f t="shared" si="19"/>
        <v>688.66</v>
      </c>
      <c r="Q74" s="44"/>
      <c r="R74" s="36">
        <v>3114</v>
      </c>
      <c r="S74" s="4">
        <v>321</v>
      </c>
      <c r="T74" s="77" t="s">
        <v>90</v>
      </c>
      <c r="U74" s="44">
        <v>2250</v>
      </c>
      <c r="V74" s="44"/>
      <c r="W74" s="44"/>
      <c r="X74" s="44">
        <f t="shared" si="20"/>
        <v>2250</v>
      </c>
      <c r="Y74" s="44"/>
      <c r="Z74" s="44"/>
      <c r="AA74" s="44">
        <f>200</f>
        <v>200</v>
      </c>
      <c r="AB74" s="44"/>
      <c r="AC74" s="44">
        <f t="shared" si="21"/>
        <v>200</v>
      </c>
    </row>
    <row r="75" spans="1:29" ht="12.75">
      <c r="A75" s="36">
        <v>3133</v>
      </c>
      <c r="B75" s="4">
        <v>322</v>
      </c>
      <c r="C75" s="77" t="s">
        <v>180</v>
      </c>
      <c r="D75" s="72">
        <v>3632.1</v>
      </c>
      <c r="E75" s="44">
        <f>5.93</f>
        <v>5.93</v>
      </c>
      <c r="F75" s="44"/>
      <c r="G75" s="48">
        <f>59</f>
        <v>59</v>
      </c>
      <c r="H75" s="44">
        <f t="shared" si="17"/>
        <v>3697.0299999999997</v>
      </c>
      <c r="I75" s="44"/>
      <c r="J75" s="72"/>
      <c r="K75" s="44"/>
      <c r="L75" s="44">
        <f t="shared" si="18"/>
        <v>0</v>
      </c>
      <c r="M75" s="44"/>
      <c r="N75" s="72">
        <v>180.7</v>
      </c>
      <c r="O75" s="44">
        <f>4.74</f>
        <v>4.74</v>
      </c>
      <c r="P75" s="44">
        <f t="shared" si="19"/>
        <v>185.44</v>
      </c>
      <c r="Q75" s="44"/>
      <c r="R75" s="36">
        <v>3133</v>
      </c>
      <c r="S75" s="4">
        <v>322</v>
      </c>
      <c r="T75" s="77" t="s">
        <v>43</v>
      </c>
      <c r="U75" s="44"/>
      <c r="V75" s="48"/>
      <c r="W75" s="44"/>
      <c r="X75" s="44">
        <f t="shared" si="20"/>
        <v>0</v>
      </c>
      <c r="Y75" s="44"/>
      <c r="Z75" s="44"/>
      <c r="AA75" s="44"/>
      <c r="AB75" s="44"/>
      <c r="AC75" s="44">
        <f t="shared" si="21"/>
        <v>0</v>
      </c>
    </row>
    <row r="76" spans="1:29" ht="12.75">
      <c r="A76" s="36">
        <v>3114</v>
      </c>
      <c r="B76" s="4">
        <v>325</v>
      </c>
      <c r="C76" s="77" t="s">
        <v>181</v>
      </c>
      <c r="D76" s="72">
        <v>1221.8</v>
      </c>
      <c r="E76" s="44"/>
      <c r="F76" s="44"/>
      <c r="G76" s="48">
        <f>34</f>
        <v>34</v>
      </c>
      <c r="H76" s="44">
        <f t="shared" si="17"/>
        <v>1255.8</v>
      </c>
      <c r="I76" s="44"/>
      <c r="J76" s="72"/>
      <c r="K76" s="44"/>
      <c r="L76" s="44">
        <f t="shared" si="18"/>
        <v>0</v>
      </c>
      <c r="M76" s="44"/>
      <c r="N76" s="72">
        <v>4.3</v>
      </c>
      <c r="O76" s="44"/>
      <c r="P76" s="44">
        <f t="shared" si="19"/>
        <v>4.3</v>
      </c>
      <c r="Q76" s="44"/>
      <c r="R76" s="36">
        <v>3114</v>
      </c>
      <c r="S76" s="4">
        <v>325</v>
      </c>
      <c r="T76" s="77" t="s">
        <v>102</v>
      </c>
      <c r="U76" s="44"/>
      <c r="V76" s="44"/>
      <c r="W76" s="44"/>
      <c r="X76" s="44">
        <f t="shared" si="20"/>
        <v>0</v>
      </c>
      <c r="Y76" s="44"/>
      <c r="Z76" s="44"/>
      <c r="AA76" s="44"/>
      <c r="AB76" s="44"/>
      <c r="AC76" s="44">
        <f t="shared" si="21"/>
        <v>0</v>
      </c>
    </row>
    <row r="77" spans="1:29" ht="12.75">
      <c r="A77" s="36">
        <v>3114</v>
      </c>
      <c r="B77" s="4">
        <v>327</v>
      </c>
      <c r="C77" s="77" t="s">
        <v>182</v>
      </c>
      <c r="D77" s="72">
        <v>368.2</v>
      </c>
      <c r="E77" s="44">
        <f>60</f>
        <v>60</v>
      </c>
      <c r="F77" s="44"/>
      <c r="G77" s="48">
        <f>77.5</f>
        <v>77.5</v>
      </c>
      <c r="H77" s="44">
        <f t="shared" si="17"/>
        <v>505.7</v>
      </c>
      <c r="I77" s="44"/>
      <c r="J77" s="72"/>
      <c r="K77" s="44"/>
      <c r="L77" s="44">
        <f t="shared" si="18"/>
        <v>0</v>
      </c>
      <c r="M77" s="44"/>
      <c r="N77" s="72">
        <v>0.4</v>
      </c>
      <c r="O77" s="44"/>
      <c r="P77" s="44">
        <f t="shared" si="19"/>
        <v>0.4</v>
      </c>
      <c r="Q77" s="44"/>
      <c r="R77" s="36">
        <v>3114</v>
      </c>
      <c r="S77" s="4">
        <v>327</v>
      </c>
      <c r="T77" s="77" t="s">
        <v>103</v>
      </c>
      <c r="U77" s="44"/>
      <c r="V77" s="44"/>
      <c r="W77" s="44"/>
      <c r="X77" s="44">
        <f t="shared" si="20"/>
        <v>0</v>
      </c>
      <c r="Y77" s="44"/>
      <c r="Z77" s="44"/>
      <c r="AA77" s="44"/>
      <c r="AB77" s="44"/>
      <c r="AC77" s="44">
        <f t="shared" si="21"/>
        <v>0</v>
      </c>
    </row>
    <row r="78" spans="1:29" ht="12.75">
      <c r="A78" s="36">
        <v>3147</v>
      </c>
      <c r="B78" s="4">
        <v>332</v>
      </c>
      <c r="C78" s="77" t="s">
        <v>183</v>
      </c>
      <c r="D78" s="72">
        <v>4322.4</v>
      </c>
      <c r="E78" s="44">
        <f>25-18.93</f>
        <v>6.07</v>
      </c>
      <c r="F78" s="44"/>
      <c r="G78" s="64">
        <f>108.5</f>
        <v>108.5</v>
      </c>
      <c r="H78" s="44">
        <f t="shared" si="17"/>
        <v>4436.969999999999</v>
      </c>
      <c r="I78" s="44"/>
      <c r="J78" s="72"/>
      <c r="K78" s="44"/>
      <c r="L78" s="44">
        <f t="shared" si="18"/>
        <v>0</v>
      </c>
      <c r="M78" s="44"/>
      <c r="N78" s="72">
        <v>1105</v>
      </c>
      <c r="O78" s="44">
        <f>-15.14</f>
        <v>-15.14</v>
      </c>
      <c r="P78" s="44">
        <f t="shared" si="19"/>
        <v>1089.86</v>
      </c>
      <c r="Q78" s="44"/>
      <c r="R78" s="36">
        <v>3147</v>
      </c>
      <c r="S78" s="4">
        <v>332</v>
      </c>
      <c r="T78" s="77" t="s">
        <v>44</v>
      </c>
      <c r="U78" s="44"/>
      <c r="V78" s="44"/>
      <c r="W78" s="44"/>
      <c r="X78" s="44">
        <f t="shared" si="20"/>
        <v>0</v>
      </c>
      <c r="Y78" s="44"/>
      <c r="Z78" s="44">
        <v>1800</v>
      </c>
      <c r="AA78" s="48">
        <f>743.53</f>
        <v>743.53</v>
      </c>
      <c r="AB78" s="44"/>
      <c r="AC78" s="44">
        <f t="shared" si="21"/>
        <v>2543.5299999999997</v>
      </c>
    </row>
    <row r="79" spans="1:29" ht="12.75">
      <c r="A79" s="36">
        <v>3141</v>
      </c>
      <c r="B79" s="4">
        <v>335</v>
      </c>
      <c r="C79" s="77" t="s">
        <v>42</v>
      </c>
      <c r="D79" s="72">
        <v>2836.3</v>
      </c>
      <c r="E79" s="44"/>
      <c r="F79" s="44"/>
      <c r="G79" s="48"/>
      <c r="H79" s="44">
        <f t="shared" si="17"/>
        <v>2836.3</v>
      </c>
      <c r="I79" s="44"/>
      <c r="J79" s="72"/>
      <c r="K79" s="44"/>
      <c r="L79" s="44">
        <f t="shared" si="18"/>
        <v>0</v>
      </c>
      <c r="M79" s="44"/>
      <c r="N79" s="72">
        <v>730.8</v>
      </c>
      <c r="O79" s="44"/>
      <c r="P79" s="44">
        <f t="shared" si="19"/>
        <v>730.8</v>
      </c>
      <c r="Q79" s="44"/>
      <c r="R79" s="36">
        <v>3141</v>
      </c>
      <c r="S79" s="4">
        <v>335</v>
      </c>
      <c r="T79" s="77" t="s">
        <v>42</v>
      </c>
      <c r="U79" s="44"/>
      <c r="V79" s="44"/>
      <c r="W79" s="44"/>
      <c r="X79" s="44">
        <f t="shared" si="20"/>
        <v>0</v>
      </c>
      <c r="Y79" s="44"/>
      <c r="Z79" s="44"/>
      <c r="AA79" s="44"/>
      <c r="AB79" s="44"/>
      <c r="AC79" s="44">
        <f t="shared" si="21"/>
        <v>0</v>
      </c>
    </row>
    <row r="80" spans="1:29" ht="12.75">
      <c r="A80" s="36">
        <v>3121</v>
      </c>
      <c r="B80" s="4">
        <v>338</v>
      </c>
      <c r="C80" s="77" t="s">
        <v>184</v>
      </c>
      <c r="D80" s="72">
        <v>2465.2</v>
      </c>
      <c r="E80" s="44">
        <f>99</f>
        <v>99</v>
      </c>
      <c r="F80" s="44"/>
      <c r="G80" s="48">
        <f>192</f>
        <v>192</v>
      </c>
      <c r="H80" s="44">
        <f t="shared" si="17"/>
        <v>2756.2</v>
      </c>
      <c r="I80" s="44"/>
      <c r="J80" s="72"/>
      <c r="K80" s="44"/>
      <c r="L80" s="44">
        <f t="shared" si="18"/>
        <v>0</v>
      </c>
      <c r="M80" s="44"/>
      <c r="N80" s="72">
        <v>91.7</v>
      </c>
      <c r="O80" s="44"/>
      <c r="P80" s="44">
        <f t="shared" si="19"/>
        <v>91.7</v>
      </c>
      <c r="Q80" s="44"/>
      <c r="R80" s="36">
        <v>3121</v>
      </c>
      <c r="S80" s="4">
        <v>338</v>
      </c>
      <c r="T80" s="77" t="s">
        <v>7</v>
      </c>
      <c r="U80" s="44"/>
      <c r="V80" s="48">
        <f>987.8</f>
        <v>987.8</v>
      </c>
      <c r="W80" s="44"/>
      <c r="X80" s="44">
        <f t="shared" si="20"/>
        <v>987.8</v>
      </c>
      <c r="Y80" s="44"/>
      <c r="Z80" s="44">
        <v>2000</v>
      </c>
      <c r="AA80" s="44">
        <f>1650</f>
        <v>1650</v>
      </c>
      <c r="AB80" s="44"/>
      <c r="AC80" s="44">
        <f t="shared" si="21"/>
        <v>3650</v>
      </c>
    </row>
    <row r="81" spans="1:29" ht="12.75">
      <c r="A81" s="36">
        <v>3121</v>
      </c>
      <c r="B81" s="4">
        <v>339</v>
      </c>
      <c r="C81" s="77" t="s">
        <v>185</v>
      </c>
      <c r="D81" s="72">
        <v>3055.8</v>
      </c>
      <c r="E81" s="44">
        <f>44.7</f>
        <v>44.7</v>
      </c>
      <c r="F81" s="44"/>
      <c r="G81" s="48">
        <f>62.7</f>
        <v>62.7</v>
      </c>
      <c r="H81" s="44">
        <f t="shared" si="17"/>
        <v>3163.2</v>
      </c>
      <c r="I81" s="44"/>
      <c r="J81" s="72"/>
      <c r="K81" s="44"/>
      <c r="L81" s="44">
        <f t="shared" si="18"/>
        <v>0</v>
      </c>
      <c r="M81" s="44"/>
      <c r="N81" s="72">
        <v>173.9</v>
      </c>
      <c r="O81" s="44"/>
      <c r="P81" s="44">
        <f t="shared" si="19"/>
        <v>173.9</v>
      </c>
      <c r="Q81" s="44"/>
      <c r="R81" s="36">
        <v>3121</v>
      </c>
      <c r="S81" s="4">
        <v>339</v>
      </c>
      <c r="T81" s="77" t="s">
        <v>104</v>
      </c>
      <c r="U81" s="44"/>
      <c r="V81" s="48"/>
      <c r="W81" s="44"/>
      <c r="X81" s="44">
        <f t="shared" si="20"/>
        <v>0</v>
      </c>
      <c r="Y81" s="44"/>
      <c r="Z81" s="44"/>
      <c r="AA81" s="44"/>
      <c r="AB81" s="44"/>
      <c r="AC81" s="44">
        <f t="shared" si="21"/>
        <v>0</v>
      </c>
    </row>
    <row r="82" spans="1:29" ht="12.75">
      <c r="A82" s="36">
        <v>3121</v>
      </c>
      <c r="B82" s="4">
        <v>340</v>
      </c>
      <c r="C82" s="77" t="s">
        <v>186</v>
      </c>
      <c r="D82" s="72">
        <v>3755.5</v>
      </c>
      <c r="E82" s="44">
        <f>120.95</f>
        <v>120.95</v>
      </c>
      <c r="F82" s="44"/>
      <c r="G82" s="48">
        <f>251</f>
        <v>251</v>
      </c>
      <c r="H82" s="44">
        <f t="shared" si="17"/>
        <v>4127.45</v>
      </c>
      <c r="I82" s="44"/>
      <c r="J82" s="72"/>
      <c r="K82" s="44"/>
      <c r="L82" s="44">
        <f t="shared" si="18"/>
        <v>0</v>
      </c>
      <c r="M82" s="44"/>
      <c r="N82" s="72">
        <v>324.8</v>
      </c>
      <c r="O82" s="44"/>
      <c r="P82" s="44">
        <f t="shared" si="19"/>
        <v>324.8</v>
      </c>
      <c r="Q82" s="44"/>
      <c r="R82" s="36">
        <v>3121</v>
      </c>
      <c r="S82" s="4">
        <v>340</v>
      </c>
      <c r="T82" s="77" t="s">
        <v>8</v>
      </c>
      <c r="U82" s="44">
        <v>1000</v>
      </c>
      <c r="V82" s="48">
        <f>-1000</f>
        <v>-1000</v>
      </c>
      <c r="W82" s="44"/>
      <c r="X82" s="44">
        <f t="shared" si="20"/>
        <v>0</v>
      </c>
      <c r="Y82" s="44"/>
      <c r="Z82" s="44"/>
      <c r="AA82" s="44">
        <f>1900</f>
        <v>1900</v>
      </c>
      <c r="AB82" s="44"/>
      <c r="AC82" s="44">
        <f t="shared" si="21"/>
        <v>1900</v>
      </c>
    </row>
    <row r="83" spans="1:29" ht="12.75">
      <c r="A83" s="36">
        <v>3124</v>
      </c>
      <c r="B83" s="4">
        <v>345</v>
      </c>
      <c r="C83" s="77" t="s">
        <v>187</v>
      </c>
      <c r="D83" s="72">
        <v>17130.6</v>
      </c>
      <c r="E83" s="44">
        <f>54.96+945.76</f>
        <v>1000.72</v>
      </c>
      <c r="F83" s="44"/>
      <c r="G83" s="48">
        <f>29.95</f>
        <v>29.95</v>
      </c>
      <c r="H83" s="44">
        <f t="shared" si="17"/>
        <v>18161.27</v>
      </c>
      <c r="I83" s="44"/>
      <c r="J83" s="72"/>
      <c r="K83" s="44">
        <f>63</f>
        <v>63</v>
      </c>
      <c r="L83" s="44">
        <f t="shared" si="18"/>
        <v>63</v>
      </c>
      <c r="M83" s="44"/>
      <c r="N83" s="72">
        <v>2041.6</v>
      </c>
      <c r="O83" s="44">
        <f>112.13</f>
        <v>112.13</v>
      </c>
      <c r="P83" s="44">
        <f t="shared" si="19"/>
        <v>2153.73</v>
      </c>
      <c r="Q83" s="44"/>
      <c r="R83" s="36">
        <v>3124</v>
      </c>
      <c r="S83" s="4">
        <v>345</v>
      </c>
      <c r="T83" s="77" t="s">
        <v>129</v>
      </c>
      <c r="U83" s="44"/>
      <c r="V83" s="44"/>
      <c r="W83" s="44"/>
      <c r="X83" s="44">
        <f t="shared" si="20"/>
        <v>0</v>
      </c>
      <c r="Y83" s="44"/>
      <c r="Z83" s="44">
        <v>2200</v>
      </c>
      <c r="AA83" s="44">
        <f>2054.6</f>
        <v>2054.6</v>
      </c>
      <c r="AB83" s="44"/>
      <c r="AC83" s="44">
        <f t="shared" si="21"/>
        <v>4254.6</v>
      </c>
    </row>
    <row r="84" spans="1:29" ht="12.75">
      <c r="A84" s="36">
        <v>3114</v>
      </c>
      <c r="B84" s="4">
        <v>346</v>
      </c>
      <c r="C84" s="77" t="s">
        <v>188</v>
      </c>
      <c r="D84" s="72">
        <v>3127</v>
      </c>
      <c r="E84" s="44">
        <f>-20.72</f>
        <v>-20.72</v>
      </c>
      <c r="F84" s="44"/>
      <c r="G84" s="48">
        <f>32.9</f>
        <v>32.9</v>
      </c>
      <c r="H84" s="44">
        <f t="shared" si="17"/>
        <v>3139.1800000000003</v>
      </c>
      <c r="I84" s="44"/>
      <c r="J84" s="72"/>
      <c r="K84" s="44"/>
      <c r="L84" s="44">
        <f t="shared" si="18"/>
        <v>0</v>
      </c>
      <c r="M84" s="44"/>
      <c r="N84" s="72">
        <v>304.5</v>
      </c>
      <c r="O84" s="44">
        <f>-16.58</f>
        <v>-16.58</v>
      </c>
      <c r="P84" s="44">
        <f t="shared" si="19"/>
        <v>287.92</v>
      </c>
      <c r="Q84" s="44"/>
      <c r="R84" s="36">
        <v>3114</v>
      </c>
      <c r="S84" s="4">
        <v>346</v>
      </c>
      <c r="T84" s="77" t="s">
        <v>105</v>
      </c>
      <c r="U84" s="44"/>
      <c r="V84" s="44"/>
      <c r="W84" s="44"/>
      <c r="X84" s="44">
        <f t="shared" si="20"/>
        <v>0</v>
      </c>
      <c r="Y84" s="44"/>
      <c r="Z84" s="44"/>
      <c r="AA84" s="44">
        <f>200</f>
        <v>200</v>
      </c>
      <c r="AB84" s="44"/>
      <c r="AC84" s="44">
        <f t="shared" si="21"/>
        <v>200</v>
      </c>
    </row>
    <row r="85" spans="1:29" ht="12.75">
      <c r="A85" s="36">
        <v>3114</v>
      </c>
      <c r="B85" s="4">
        <v>347</v>
      </c>
      <c r="C85" s="67" t="s">
        <v>189</v>
      </c>
      <c r="D85" s="72">
        <v>1762.6</v>
      </c>
      <c r="E85" s="44">
        <f>14.7</f>
        <v>14.7</v>
      </c>
      <c r="F85" s="44"/>
      <c r="G85" s="48">
        <f>23.4</f>
        <v>23.4</v>
      </c>
      <c r="H85" s="44">
        <f t="shared" si="17"/>
        <v>1800.7</v>
      </c>
      <c r="I85" s="44"/>
      <c r="J85" s="72"/>
      <c r="K85" s="44"/>
      <c r="L85" s="44">
        <f t="shared" si="18"/>
        <v>0</v>
      </c>
      <c r="M85" s="44"/>
      <c r="N85" s="72">
        <v>175.2</v>
      </c>
      <c r="O85" s="44"/>
      <c r="P85" s="44">
        <f t="shared" si="19"/>
        <v>175.2</v>
      </c>
      <c r="Q85" s="44"/>
      <c r="R85" s="36">
        <v>3114</v>
      </c>
      <c r="S85" s="4">
        <v>347</v>
      </c>
      <c r="T85" s="67" t="s">
        <v>106</v>
      </c>
      <c r="U85" s="44"/>
      <c r="V85" s="44"/>
      <c r="W85" s="44"/>
      <c r="X85" s="44">
        <f t="shared" si="20"/>
        <v>0</v>
      </c>
      <c r="Y85" s="44"/>
      <c r="Z85" s="44"/>
      <c r="AA85" s="44"/>
      <c r="AB85" s="44"/>
      <c r="AC85" s="44">
        <f t="shared" si="21"/>
        <v>0</v>
      </c>
    </row>
    <row r="86" spans="1:29" ht="12.75">
      <c r="A86" s="36">
        <v>3133</v>
      </c>
      <c r="B86" s="4">
        <v>349</v>
      </c>
      <c r="C86" s="77" t="s">
        <v>45</v>
      </c>
      <c r="D86" s="72">
        <v>5691.1</v>
      </c>
      <c r="E86" s="44">
        <f>-36</f>
        <v>-36</v>
      </c>
      <c r="F86" s="44"/>
      <c r="G86" s="48"/>
      <c r="H86" s="44">
        <f t="shared" si="17"/>
        <v>5655.1</v>
      </c>
      <c r="I86" s="44"/>
      <c r="J86" s="72"/>
      <c r="K86" s="44"/>
      <c r="L86" s="44">
        <f t="shared" si="18"/>
        <v>0</v>
      </c>
      <c r="M86" s="44"/>
      <c r="N86" s="72">
        <v>358</v>
      </c>
      <c r="O86" s="44">
        <f>-28.8</f>
        <v>-28.8</v>
      </c>
      <c r="P86" s="44">
        <f t="shared" si="19"/>
        <v>329.2</v>
      </c>
      <c r="Q86" s="44"/>
      <c r="R86" s="36">
        <v>3133</v>
      </c>
      <c r="S86" s="4">
        <v>349</v>
      </c>
      <c r="T86" s="77" t="s">
        <v>45</v>
      </c>
      <c r="U86" s="44"/>
      <c r="V86" s="44"/>
      <c r="W86" s="44"/>
      <c r="X86" s="44">
        <f t="shared" si="20"/>
        <v>0</v>
      </c>
      <c r="Y86" s="44"/>
      <c r="Z86" s="44">
        <v>600</v>
      </c>
      <c r="AA86" s="44"/>
      <c r="AB86" s="44"/>
      <c r="AC86" s="44">
        <f t="shared" si="21"/>
        <v>600</v>
      </c>
    </row>
    <row r="87" spans="1:29" ht="12.75">
      <c r="A87" s="36">
        <v>3294</v>
      </c>
      <c r="B87" s="1">
        <v>352</v>
      </c>
      <c r="C87" s="77" t="s">
        <v>166</v>
      </c>
      <c r="D87" s="72">
        <f>2242.8+1843</f>
        <v>4085.8</v>
      </c>
      <c r="E87" s="44">
        <f>200</f>
        <v>200</v>
      </c>
      <c r="F87" s="44"/>
      <c r="G87" s="48"/>
      <c r="H87" s="44">
        <f t="shared" si="17"/>
        <v>4285.8</v>
      </c>
      <c r="I87" s="44"/>
      <c r="J87" s="72"/>
      <c r="K87" s="44"/>
      <c r="L87" s="44">
        <f t="shared" si="18"/>
        <v>0</v>
      </c>
      <c r="M87" s="44"/>
      <c r="N87" s="72">
        <v>0</v>
      </c>
      <c r="O87" s="44"/>
      <c r="P87" s="44">
        <f t="shared" si="19"/>
        <v>0</v>
      </c>
      <c r="Q87" s="44"/>
      <c r="R87" s="36">
        <v>3294</v>
      </c>
      <c r="S87" s="1">
        <v>352</v>
      </c>
      <c r="T87" s="77" t="s">
        <v>144</v>
      </c>
      <c r="U87" s="44"/>
      <c r="V87" s="44"/>
      <c r="W87" s="44"/>
      <c r="X87" s="44">
        <f t="shared" si="20"/>
        <v>0</v>
      </c>
      <c r="Y87" s="44"/>
      <c r="Z87" s="44"/>
      <c r="AA87" s="44"/>
      <c r="AB87" s="44"/>
      <c r="AC87" s="44">
        <f t="shared" si="21"/>
        <v>0</v>
      </c>
    </row>
    <row r="88" spans="1:29" ht="12.75">
      <c r="A88" s="36">
        <v>3114</v>
      </c>
      <c r="B88" s="4">
        <v>358</v>
      </c>
      <c r="C88" s="77" t="s">
        <v>190</v>
      </c>
      <c r="D88" s="72">
        <v>1107</v>
      </c>
      <c r="E88" s="44">
        <f>6.35</f>
        <v>6.35</v>
      </c>
      <c r="F88" s="44"/>
      <c r="G88" s="48">
        <f>16.3</f>
        <v>16.3</v>
      </c>
      <c r="H88" s="44">
        <f t="shared" si="17"/>
        <v>1129.6499999999999</v>
      </c>
      <c r="I88" s="44"/>
      <c r="J88" s="72"/>
      <c r="K88" s="44"/>
      <c r="L88" s="44">
        <f t="shared" si="18"/>
        <v>0</v>
      </c>
      <c r="M88" s="44"/>
      <c r="N88" s="72">
        <v>101.5</v>
      </c>
      <c r="O88" s="44">
        <f>5.08</f>
        <v>5.08</v>
      </c>
      <c r="P88" s="44">
        <f t="shared" si="19"/>
        <v>106.58</v>
      </c>
      <c r="Q88" s="44"/>
      <c r="R88" s="36">
        <v>3114</v>
      </c>
      <c r="S88" s="4">
        <v>358</v>
      </c>
      <c r="T88" s="77" t="s">
        <v>130</v>
      </c>
      <c r="U88" s="44">
        <v>550</v>
      </c>
      <c r="V88" s="44"/>
      <c r="W88" s="44"/>
      <c r="X88" s="44">
        <f t="shared" si="20"/>
        <v>550</v>
      </c>
      <c r="Y88" s="44"/>
      <c r="Z88" s="44"/>
      <c r="AA88" s="44"/>
      <c r="AB88" s="44"/>
      <c r="AC88" s="44">
        <f t="shared" si="21"/>
        <v>0</v>
      </c>
    </row>
    <row r="89" spans="1:29" ht="12.75">
      <c r="A89" s="36">
        <v>3114</v>
      </c>
      <c r="B89" s="4">
        <v>363</v>
      </c>
      <c r="C89" s="77" t="s">
        <v>191</v>
      </c>
      <c r="D89" s="72">
        <v>2619.7</v>
      </c>
      <c r="E89" s="44">
        <f>42.1</f>
        <v>42.1</v>
      </c>
      <c r="F89" s="44"/>
      <c r="G89" s="48">
        <f>22</f>
        <v>22</v>
      </c>
      <c r="H89" s="44">
        <f t="shared" si="17"/>
        <v>2683.7999999999997</v>
      </c>
      <c r="I89" s="44"/>
      <c r="J89" s="72"/>
      <c r="K89" s="44"/>
      <c r="L89" s="44">
        <f t="shared" si="18"/>
        <v>0</v>
      </c>
      <c r="M89" s="44"/>
      <c r="N89" s="72">
        <v>11.6</v>
      </c>
      <c r="O89" s="44"/>
      <c r="P89" s="44">
        <f t="shared" si="19"/>
        <v>11.6</v>
      </c>
      <c r="Q89" s="44"/>
      <c r="R89" s="36">
        <v>3114</v>
      </c>
      <c r="S89" s="4">
        <v>363</v>
      </c>
      <c r="T89" s="77" t="s">
        <v>107</v>
      </c>
      <c r="U89" s="44"/>
      <c r="V89" s="44"/>
      <c r="W89" s="44"/>
      <c r="X89" s="44">
        <f t="shared" si="20"/>
        <v>0</v>
      </c>
      <c r="Y89" s="44"/>
      <c r="Z89" s="44"/>
      <c r="AA89" s="44"/>
      <c r="AB89" s="44"/>
      <c r="AC89" s="44">
        <f t="shared" si="21"/>
        <v>0</v>
      </c>
    </row>
    <row r="90" spans="1:29" ht="12.75">
      <c r="A90" s="36">
        <v>3121</v>
      </c>
      <c r="B90" s="4">
        <v>367</v>
      </c>
      <c r="C90" s="67" t="s">
        <v>192</v>
      </c>
      <c r="D90" s="72">
        <v>4312.3</v>
      </c>
      <c r="E90" s="44">
        <f>21.46+65.23</f>
        <v>86.69</v>
      </c>
      <c r="F90" s="44"/>
      <c r="G90" s="48">
        <f>85.5</f>
        <v>85.5</v>
      </c>
      <c r="H90" s="44">
        <f t="shared" si="17"/>
        <v>4484.49</v>
      </c>
      <c r="I90" s="44"/>
      <c r="J90" s="72"/>
      <c r="K90" s="44"/>
      <c r="L90" s="44">
        <f t="shared" si="18"/>
        <v>0</v>
      </c>
      <c r="M90" s="44"/>
      <c r="N90" s="72">
        <v>396</v>
      </c>
      <c r="O90" s="44">
        <f>52.18</f>
        <v>52.18</v>
      </c>
      <c r="P90" s="44">
        <f t="shared" si="19"/>
        <v>448.18</v>
      </c>
      <c r="Q90" s="44"/>
      <c r="R90" s="36">
        <v>3121</v>
      </c>
      <c r="S90" s="4">
        <v>367</v>
      </c>
      <c r="T90" s="67" t="s">
        <v>145</v>
      </c>
      <c r="U90" s="44"/>
      <c r="V90" s="44"/>
      <c r="W90" s="44"/>
      <c r="X90" s="44">
        <f t="shared" si="20"/>
        <v>0</v>
      </c>
      <c r="Y90" s="44"/>
      <c r="Z90" s="44"/>
      <c r="AA90" s="44"/>
      <c r="AB90" s="44"/>
      <c r="AC90" s="44">
        <f t="shared" si="21"/>
        <v>0</v>
      </c>
    </row>
    <row r="91" spans="1:29" ht="12.75">
      <c r="A91" s="36">
        <v>3121</v>
      </c>
      <c r="B91" s="4">
        <v>368</v>
      </c>
      <c r="C91" s="77" t="s">
        <v>193</v>
      </c>
      <c r="D91" s="72">
        <v>2446.5</v>
      </c>
      <c r="E91" s="49">
        <f>33.9+0.33</f>
        <v>34.23</v>
      </c>
      <c r="F91" s="49"/>
      <c r="G91" s="58">
        <f>72.8</f>
        <v>72.8</v>
      </c>
      <c r="H91" s="44">
        <f t="shared" si="17"/>
        <v>2553.53</v>
      </c>
      <c r="I91" s="49"/>
      <c r="J91" s="72"/>
      <c r="K91" s="49"/>
      <c r="L91" s="44">
        <f t="shared" si="18"/>
        <v>0</v>
      </c>
      <c r="M91" s="49"/>
      <c r="N91" s="72">
        <v>346.4</v>
      </c>
      <c r="O91" s="49">
        <f>0.26</f>
        <v>0.26</v>
      </c>
      <c r="P91" s="44">
        <f t="shared" si="19"/>
        <v>346.65999999999997</v>
      </c>
      <c r="Q91" s="49"/>
      <c r="R91" s="36">
        <v>3121</v>
      </c>
      <c r="S91" s="4">
        <v>368</v>
      </c>
      <c r="T91" s="77" t="s">
        <v>9</v>
      </c>
      <c r="U91" s="49"/>
      <c r="V91" s="49"/>
      <c r="W91" s="49"/>
      <c r="X91" s="44">
        <f t="shared" si="20"/>
        <v>0</v>
      </c>
      <c r="Y91" s="49"/>
      <c r="Z91" s="49"/>
      <c r="AA91" s="49"/>
      <c r="AB91" s="49"/>
      <c r="AC91" s="44">
        <f t="shared" si="21"/>
        <v>0</v>
      </c>
    </row>
    <row r="92" spans="1:29" ht="12.75">
      <c r="A92" s="36">
        <v>3122</v>
      </c>
      <c r="B92" s="5">
        <v>370</v>
      </c>
      <c r="C92" s="67" t="s">
        <v>194</v>
      </c>
      <c r="D92" s="72">
        <v>3032.6</v>
      </c>
      <c r="E92" s="55">
        <f>306.01</f>
        <v>306.01</v>
      </c>
      <c r="F92" s="44"/>
      <c r="G92" s="48">
        <f>66</f>
        <v>66</v>
      </c>
      <c r="H92" s="44">
        <f t="shared" si="17"/>
        <v>3404.6099999999997</v>
      </c>
      <c r="I92" s="44"/>
      <c r="J92" s="72"/>
      <c r="K92" s="44">
        <f>120</f>
        <v>120</v>
      </c>
      <c r="L92" s="44">
        <f t="shared" si="18"/>
        <v>120</v>
      </c>
      <c r="M92" s="44"/>
      <c r="N92" s="72">
        <v>332</v>
      </c>
      <c r="O92" s="44">
        <f>6.33</f>
        <v>6.33</v>
      </c>
      <c r="P92" s="44">
        <f t="shared" si="19"/>
        <v>338.33</v>
      </c>
      <c r="Q92" s="44"/>
      <c r="R92" s="36">
        <v>3122</v>
      </c>
      <c r="S92" s="5">
        <v>370</v>
      </c>
      <c r="T92" s="67" t="s">
        <v>146</v>
      </c>
      <c r="U92" s="44">
        <v>1000</v>
      </c>
      <c r="V92" s="44"/>
      <c r="W92" s="44"/>
      <c r="X92" s="44">
        <f t="shared" si="20"/>
        <v>1000</v>
      </c>
      <c r="Y92" s="44"/>
      <c r="Z92" s="44"/>
      <c r="AA92" s="44"/>
      <c r="AB92" s="44"/>
      <c r="AC92" s="44">
        <f t="shared" si="21"/>
        <v>0</v>
      </c>
    </row>
    <row r="93" spans="1:29" ht="12.75">
      <c r="A93" s="36">
        <v>3122</v>
      </c>
      <c r="B93" s="4">
        <v>371</v>
      </c>
      <c r="C93" s="67" t="s">
        <v>195</v>
      </c>
      <c r="D93" s="72">
        <v>2835.9</v>
      </c>
      <c r="E93" s="44">
        <f>100.66+73.31</f>
        <v>173.97</v>
      </c>
      <c r="F93" s="44"/>
      <c r="G93" s="48">
        <f>140</f>
        <v>140</v>
      </c>
      <c r="H93" s="44">
        <f t="shared" si="17"/>
        <v>3149.87</v>
      </c>
      <c r="I93" s="44"/>
      <c r="J93" s="72"/>
      <c r="K93" s="44"/>
      <c r="L93" s="44">
        <f t="shared" si="18"/>
        <v>0</v>
      </c>
      <c r="M93" s="44"/>
      <c r="N93" s="72">
        <v>36</v>
      </c>
      <c r="O93" s="44">
        <f>56.04</f>
        <v>56.04</v>
      </c>
      <c r="P93" s="44">
        <f t="shared" si="19"/>
        <v>92.03999999999999</v>
      </c>
      <c r="Q93" s="44"/>
      <c r="R93" s="36">
        <v>3122</v>
      </c>
      <c r="S93" s="4">
        <v>371</v>
      </c>
      <c r="T93" s="67" t="s">
        <v>108</v>
      </c>
      <c r="U93" s="44"/>
      <c r="V93" s="55"/>
      <c r="W93" s="44"/>
      <c r="X93" s="44">
        <f t="shared" si="20"/>
        <v>0</v>
      </c>
      <c r="Y93" s="44"/>
      <c r="Z93" s="44"/>
      <c r="AA93" s="48"/>
      <c r="AB93" s="48"/>
      <c r="AC93" s="44">
        <f t="shared" si="21"/>
        <v>0</v>
      </c>
    </row>
    <row r="94" spans="1:29" ht="12.75">
      <c r="A94" s="36">
        <v>3127</v>
      </c>
      <c r="B94" s="4">
        <v>372</v>
      </c>
      <c r="C94" s="67" t="s">
        <v>196</v>
      </c>
      <c r="D94" s="72">
        <v>7577.2</v>
      </c>
      <c r="E94" s="44">
        <f>107.74+103.32</f>
        <v>211.06</v>
      </c>
      <c r="F94" s="44"/>
      <c r="G94" s="48">
        <f>57.65</f>
        <v>57.65</v>
      </c>
      <c r="H94" s="44">
        <f t="shared" si="17"/>
        <v>7845.91</v>
      </c>
      <c r="I94" s="44"/>
      <c r="J94" s="72">
        <v>185</v>
      </c>
      <c r="K94" s="44"/>
      <c r="L94" s="44">
        <f t="shared" si="18"/>
        <v>185</v>
      </c>
      <c r="M94" s="44"/>
      <c r="N94" s="72">
        <v>1379</v>
      </c>
      <c r="O94" s="44">
        <f>-497.82</f>
        <v>-497.82</v>
      </c>
      <c r="P94" s="44">
        <f t="shared" si="19"/>
        <v>881.1800000000001</v>
      </c>
      <c r="Q94" s="44"/>
      <c r="R94" s="36">
        <v>3127</v>
      </c>
      <c r="S94" s="4">
        <v>372</v>
      </c>
      <c r="T94" s="67" t="s">
        <v>131</v>
      </c>
      <c r="U94" s="44"/>
      <c r="V94" s="44">
        <f>915.1</f>
        <v>915.1</v>
      </c>
      <c r="W94" s="44"/>
      <c r="X94" s="44">
        <f t="shared" si="20"/>
        <v>915.1</v>
      </c>
      <c r="Y94" s="44"/>
      <c r="Z94" s="44">
        <v>2500</v>
      </c>
      <c r="AA94" s="48"/>
      <c r="AB94" s="48"/>
      <c r="AC94" s="44">
        <f t="shared" si="21"/>
        <v>2500</v>
      </c>
    </row>
    <row r="95" spans="1:29" ht="12.75">
      <c r="A95" s="36">
        <v>3133</v>
      </c>
      <c r="B95" s="4">
        <v>374</v>
      </c>
      <c r="C95" s="77" t="s">
        <v>63</v>
      </c>
      <c r="D95" s="72">
        <v>2061.3</v>
      </c>
      <c r="E95" s="44"/>
      <c r="F95" s="44"/>
      <c r="G95" s="48"/>
      <c r="H95" s="44">
        <f t="shared" si="17"/>
        <v>2061.3</v>
      </c>
      <c r="I95" s="44"/>
      <c r="J95" s="72"/>
      <c r="K95" s="44"/>
      <c r="L95" s="44">
        <f t="shared" si="18"/>
        <v>0</v>
      </c>
      <c r="M95" s="44"/>
      <c r="N95" s="72">
        <v>76.3</v>
      </c>
      <c r="O95" s="44"/>
      <c r="P95" s="44">
        <f t="shared" si="19"/>
        <v>76.3</v>
      </c>
      <c r="Q95" s="44"/>
      <c r="R95" s="36">
        <v>3133</v>
      </c>
      <c r="S95" s="4">
        <v>374</v>
      </c>
      <c r="T95" s="77" t="s">
        <v>63</v>
      </c>
      <c r="U95" s="44"/>
      <c r="V95" s="44"/>
      <c r="W95" s="44"/>
      <c r="X95" s="44">
        <f t="shared" si="20"/>
        <v>0</v>
      </c>
      <c r="Y95" s="44"/>
      <c r="Z95" s="44">
        <v>2000</v>
      </c>
      <c r="AA95" s="44"/>
      <c r="AB95" s="44"/>
      <c r="AC95" s="44">
        <f t="shared" si="21"/>
        <v>2000</v>
      </c>
    </row>
    <row r="96" spans="1:29" ht="12.75">
      <c r="A96" s="36">
        <v>3114</v>
      </c>
      <c r="B96" s="4">
        <v>379</v>
      </c>
      <c r="C96" s="77" t="s">
        <v>197</v>
      </c>
      <c r="D96" s="72">
        <v>613</v>
      </c>
      <c r="E96" s="44">
        <f>12+1.26</f>
        <v>13.26</v>
      </c>
      <c r="F96" s="44"/>
      <c r="G96" s="48">
        <f>83.8</f>
        <v>83.8</v>
      </c>
      <c r="H96" s="44">
        <f t="shared" si="17"/>
        <v>710.06</v>
      </c>
      <c r="I96" s="44"/>
      <c r="J96" s="72"/>
      <c r="K96" s="44"/>
      <c r="L96" s="44">
        <f t="shared" si="18"/>
        <v>0</v>
      </c>
      <c r="M96" s="44"/>
      <c r="N96" s="72">
        <v>28.4</v>
      </c>
      <c r="O96" s="44">
        <f>1.01</f>
        <v>1.01</v>
      </c>
      <c r="P96" s="44">
        <f t="shared" si="19"/>
        <v>29.41</v>
      </c>
      <c r="Q96" s="44"/>
      <c r="R96" s="36">
        <v>3114</v>
      </c>
      <c r="S96" s="4">
        <v>379</v>
      </c>
      <c r="T96" s="77" t="s">
        <v>53</v>
      </c>
      <c r="U96" s="44"/>
      <c r="V96" s="44"/>
      <c r="W96" s="44"/>
      <c r="X96" s="44">
        <f t="shared" si="20"/>
        <v>0</v>
      </c>
      <c r="Y96" s="44"/>
      <c r="Z96" s="44">
        <v>1200</v>
      </c>
      <c r="AA96" s="44"/>
      <c r="AB96" s="44"/>
      <c r="AC96" s="44">
        <f t="shared" si="21"/>
        <v>1200</v>
      </c>
    </row>
    <row r="97" spans="1:29" ht="12.75">
      <c r="A97" s="36">
        <v>3133</v>
      </c>
      <c r="B97" s="4">
        <v>380</v>
      </c>
      <c r="C97" s="77" t="s">
        <v>198</v>
      </c>
      <c r="D97" s="72">
        <v>3402.6</v>
      </c>
      <c r="E97" s="44">
        <f>-1</f>
        <v>-1</v>
      </c>
      <c r="F97" s="44"/>
      <c r="G97" s="48">
        <f>37</f>
        <v>37</v>
      </c>
      <c r="H97" s="44">
        <f t="shared" si="17"/>
        <v>3438.6</v>
      </c>
      <c r="I97" s="44"/>
      <c r="J97" s="72"/>
      <c r="K97" s="44"/>
      <c r="L97" s="44">
        <f t="shared" si="18"/>
        <v>0</v>
      </c>
      <c r="M97" s="44"/>
      <c r="N97" s="72">
        <v>153.8</v>
      </c>
      <c r="O97" s="44">
        <f>-0.8</f>
        <v>-0.8</v>
      </c>
      <c r="P97" s="44">
        <f t="shared" si="19"/>
        <v>153</v>
      </c>
      <c r="Q97" s="44"/>
      <c r="R97" s="36">
        <v>3133</v>
      </c>
      <c r="S97" s="4">
        <v>380</v>
      </c>
      <c r="T97" s="77" t="s">
        <v>46</v>
      </c>
      <c r="U97" s="44"/>
      <c r="V97" s="44"/>
      <c r="W97" s="44"/>
      <c r="X97" s="44">
        <f t="shared" si="20"/>
        <v>0</v>
      </c>
      <c r="Y97" s="44"/>
      <c r="Z97" s="44"/>
      <c r="AA97" s="44">
        <f>200</f>
        <v>200</v>
      </c>
      <c r="AB97" s="44"/>
      <c r="AC97" s="44">
        <f t="shared" si="21"/>
        <v>200</v>
      </c>
    </row>
    <row r="98" spans="1:29" ht="12.75">
      <c r="A98" s="36">
        <v>3114</v>
      </c>
      <c r="B98" s="4">
        <v>381</v>
      </c>
      <c r="C98" s="77" t="s">
        <v>199</v>
      </c>
      <c r="D98" s="72">
        <v>1960.1</v>
      </c>
      <c r="E98" s="44">
        <f>30-18.39</f>
        <v>11.61</v>
      </c>
      <c r="F98" s="44"/>
      <c r="G98" s="48">
        <f>83.25</f>
        <v>83.25</v>
      </c>
      <c r="H98" s="44">
        <f t="shared" si="17"/>
        <v>2054.96</v>
      </c>
      <c r="I98" s="44"/>
      <c r="J98" s="72"/>
      <c r="K98" s="44"/>
      <c r="L98" s="44">
        <f t="shared" si="18"/>
        <v>0</v>
      </c>
      <c r="M98" s="44"/>
      <c r="N98" s="72">
        <v>19.6</v>
      </c>
      <c r="O98" s="44">
        <f>-14.71</f>
        <v>-14.71</v>
      </c>
      <c r="P98" s="44">
        <f t="shared" si="19"/>
        <v>4.890000000000001</v>
      </c>
      <c r="Q98" s="44"/>
      <c r="R98" s="36">
        <v>3114</v>
      </c>
      <c r="S98" s="4">
        <v>381</v>
      </c>
      <c r="T98" s="77" t="s">
        <v>109</v>
      </c>
      <c r="U98" s="44"/>
      <c r="V98" s="44"/>
      <c r="W98" s="44"/>
      <c r="X98" s="44">
        <f t="shared" si="20"/>
        <v>0</v>
      </c>
      <c r="Y98" s="44"/>
      <c r="Z98" s="44"/>
      <c r="AA98" s="44"/>
      <c r="AB98" s="44"/>
      <c r="AC98" s="44">
        <f t="shared" si="21"/>
        <v>0</v>
      </c>
    </row>
    <row r="99" spans="1:29" ht="12.75" customHeight="1">
      <c r="A99" s="36">
        <v>3121</v>
      </c>
      <c r="B99" s="4">
        <v>390</v>
      </c>
      <c r="C99" s="77" t="s">
        <v>29</v>
      </c>
      <c r="D99" s="72">
        <v>3321.7</v>
      </c>
      <c r="E99" s="44">
        <f>86.8-61.17</f>
        <v>25.629999999999995</v>
      </c>
      <c r="F99" s="44"/>
      <c r="G99" s="48"/>
      <c r="H99" s="44">
        <f t="shared" si="17"/>
        <v>3347.33</v>
      </c>
      <c r="I99" s="44"/>
      <c r="J99" s="72"/>
      <c r="K99" s="53"/>
      <c r="L99" s="53">
        <f t="shared" si="18"/>
        <v>0</v>
      </c>
      <c r="M99" s="44"/>
      <c r="N99" s="72">
        <v>268.8</v>
      </c>
      <c r="O99" s="44">
        <f>-48.94</f>
        <v>-48.94</v>
      </c>
      <c r="P99" s="44">
        <f t="shared" si="19"/>
        <v>219.86</v>
      </c>
      <c r="Q99" s="44"/>
      <c r="R99" s="36">
        <v>3121</v>
      </c>
      <c r="S99" s="4">
        <v>390</v>
      </c>
      <c r="T99" s="77" t="s">
        <v>29</v>
      </c>
      <c r="U99" s="44"/>
      <c r="V99" s="44"/>
      <c r="W99" s="44"/>
      <c r="X99" s="44">
        <f t="shared" si="20"/>
        <v>0</v>
      </c>
      <c r="Y99" s="44"/>
      <c r="Z99" s="44"/>
      <c r="AA99" s="44">
        <f>6692.25</f>
        <v>6692.25</v>
      </c>
      <c r="AB99" s="44"/>
      <c r="AC99" s="44">
        <f t="shared" si="21"/>
        <v>6692.25</v>
      </c>
    </row>
    <row r="100" spans="1:29" ht="12.75">
      <c r="A100" s="36">
        <v>3127</v>
      </c>
      <c r="B100" s="4">
        <v>392</v>
      </c>
      <c r="C100" s="67" t="s">
        <v>200</v>
      </c>
      <c r="D100" s="72">
        <v>3668.4</v>
      </c>
      <c r="E100" s="44">
        <f>82.37+33.34</f>
        <v>115.71000000000001</v>
      </c>
      <c r="F100" s="44"/>
      <c r="G100" s="48">
        <f>245.9</f>
        <v>245.9</v>
      </c>
      <c r="H100" s="44">
        <f t="shared" si="17"/>
        <v>4030.01</v>
      </c>
      <c r="I100" s="44"/>
      <c r="J100" s="72"/>
      <c r="K100" s="44"/>
      <c r="L100" s="44">
        <f t="shared" si="18"/>
        <v>0</v>
      </c>
      <c r="M100" s="44"/>
      <c r="N100" s="72">
        <v>767.2</v>
      </c>
      <c r="O100" s="44">
        <f>26.67</f>
        <v>26.67</v>
      </c>
      <c r="P100" s="44">
        <f t="shared" si="19"/>
        <v>793.87</v>
      </c>
      <c r="Q100" s="44"/>
      <c r="R100" s="36">
        <v>3127</v>
      </c>
      <c r="S100" s="4">
        <v>392</v>
      </c>
      <c r="T100" s="67" t="s">
        <v>110</v>
      </c>
      <c r="U100" s="44"/>
      <c r="V100" s="44">
        <f>615</f>
        <v>615</v>
      </c>
      <c r="W100" s="44"/>
      <c r="X100" s="44">
        <f t="shared" si="20"/>
        <v>615</v>
      </c>
      <c r="Y100" s="44"/>
      <c r="Z100" s="44"/>
      <c r="AA100" s="44"/>
      <c r="AB100" s="44"/>
      <c r="AC100" s="44">
        <f t="shared" si="21"/>
        <v>0</v>
      </c>
    </row>
    <row r="101" spans="1:29" ht="12.75">
      <c r="A101" s="36">
        <v>3122</v>
      </c>
      <c r="B101" s="4">
        <v>393</v>
      </c>
      <c r="C101" s="77" t="s">
        <v>201</v>
      </c>
      <c r="D101" s="72">
        <v>2077.7</v>
      </c>
      <c r="E101" s="44">
        <f>111.91+0.71</f>
        <v>112.61999999999999</v>
      </c>
      <c r="F101" s="44"/>
      <c r="G101" s="48">
        <f>90</f>
        <v>90</v>
      </c>
      <c r="H101" s="44">
        <f t="shared" si="17"/>
        <v>2280.3199999999997</v>
      </c>
      <c r="I101" s="44"/>
      <c r="J101" s="72"/>
      <c r="K101" s="44"/>
      <c r="L101" s="44">
        <f t="shared" si="18"/>
        <v>0</v>
      </c>
      <c r="M101" s="44"/>
      <c r="N101" s="72">
        <v>360.6</v>
      </c>
      <c r="O101" s="44">
        <f>0.57</f>
        <v>0.57</v>
      </c>
      <c r="P101" s="44">
        <f t="shared" si="19"/>
        <v>361.17</v>
      </c>
      <c r="Q101" s="44"/>
      <c r="R101" s="36">
        <v>3122</v>
      </c>
      <c r="S101" s="4">
        <v>393</v>
      </c>
      <c r="T101" s="77" t="s">
        <v>10</v>
      </c>
      <c r="U101" s="44"/>
      <c r="V101" s="44"/>
      <c r="W101" s="44"/>
      <c r="X101" s="44">
        <f t="shared" si="20"/>
        <v>0</v>
      </c>
      <c r="Y101" s="44"/>
      <c r="Z101" s="44"/>
      <c r="AA101" s="44"/>
      <c r="AB101" s="44"/>
      <c r="AC101" s="44">
        <f t="shared" si="21"/>
        <v>0</v>
      </c>
    </row>
    <row r="102" spans="1:29" ht="12.75">
      <c r="A102" s="36">
        <v>3127</v>
      </c>
      <c r="B102" s="4">
        <v>394</v>
      </c>
      <c r="C102" s="77" t="s">
        <v>202</v>
      </c>
      <c r="D102" s="72">
        <v>5267.8</v>
      </c>
      <c r="E102" s="44">
        <f>80+1361.65</f>
        <v>1441.65</v>
      </c>
      <c r="F102" s="44"/>
      <c r="G102" s="48">
        <f>89</f>
        <v>89</v>
      </c>
      <c r="H102" s="44">
        <f t="shared" si="17"/>
        <v>6798.450000000001</v>
      </c>
      <c r="I102" s="44"/>
      <c r="J102" s="72"/>
      <c r="K102" s="44"/>
      <c r="L102" s="44">
        <f t="shared" si="18"/>
        <v>0</v>
      </c>
      <c r="M102" s="44"/>
      <c r="N102" s="72">
        <v>827.9</v>
      </c>
      <c r="O102" s="44">
        <f>49.16</f>
        <v>49.16</v>
      </c>
      <c r="P102" s="44">
        <f t="shared" si="19"/>
        <v>877.06</v>
      </c>
      <c r="Q102" s="44"/>
      <c r="R102" s="36">
        <v>3127</v>
      </c>
      <c r="S102" s="4">
        <v>394</v>
      </c>
      <c r="T102" s="77" t="s">
        <v>147</v>
      </c>
      <c r="U102" s="44"/>
      <c r="V102" s="44"/>
      <c r="W102" s="44"/>
      <c r="X102" s="44">
        <f t="shared" si="20"/>
        <v>0</v>
      </c>
      <c r="Y102" s="44"/>
      <c r="Z102" s="44"/>
      <c r="AA102" s="44"/>
      <c r="AB102" s="44"/>
      <c r="AC102" s="44">
        <f t="shared" si="21"/>
        <v>0</v>
      </c>
    </row>
    <row r="103" spans="1:29" ht="12.75">
      <c r="A103" s="36">
        <v>3122</v>
      </c>
      <c r="B103" s="4">
        <v>395</v>
      </c>
      <c r="C103" s="77" t="s">
        <v>203</v>
      </c>
      <c r="D103" s="72">
        <v>3973.5</v>
      </c>
      <c r="E103" s="44">
        <f>50+185.76</f>
        <v>235.76</v>
      </c>
      <c r="F103" s="44"/>
      <c r="G103" s="48">
        <f>144</f>
        <v>144</v>
      </c>
      <c r="H103" s="44">
        <f t="shared" si="17"/>
        <v>4353.26</v>
      </c>
      <c r="I103" s="44"/>
      <c r="J103" s="72"/>
      <c r="K103" s="44">
        <f>90</f>
        <v>90</v>
      </c>
      <c r="L103" s="44">
        <f t="shared" si="18"/>
        <v>90</v>
      </c>
      <c r="M103" s="44"/>
      <c r="N103" s="72">
        <v>359.6</v>
      </c>
      <c r="O103" s="44">
        <f>16.13</f>
        <v>16.13</v>
      </c>
      <c r="P103" s="44">
        <f t="shared" si="19"/>
        <v>375.73</v>
      </c>
      <c r="Q103" s="44"/>
      <c r="R103" s="36">
        <v>3122</v>
      </c>
      <c r="S103" s="4">
        <v>395</v>
      </c>
      <c r="T103" s="77" t="s">
        <v>47</v>
      </c>
      <c r="U103" s="44"/>
      <c r="V103" s="44">
        <f>800</f>
        <v>800</v>
      </c>
      <c r="W103" s="44"/>
      <c r="X103" s="44">
        <f t="shared" si="20"/>
        <v>800</v>
      </c>
      <c r="Y103" s="44"/>
      <c r="Z103" s="44">
        <v>3000</v>
      </c>
      <c r="AA103" s="44"/>
      <c r="AB103" s="44"/>
      <c r="AC103" s="44">
        <f t="shared" si="21"/>
        <v>3000</v>
      </c>
    </row>
    <row r="104" spans="1:29" ht="12.75">
      <c r="A104" s="36">
        <v>3127</v>
      </c>
      <c r="B104" s="4">
        <v>397</v>
      </c>
      <c r="C104" s="67" t="s">
        <v>204</v>
      </c>
      <c r="D104" s="72">
        <v>5494.1</v>
      </c>
      <c r="E104" s="44">
        <f>113.8-20.91</f>
        <v>92.89</v>
      </c>
      <c r="F104" s="44"/>
      <c r="G104" s="48">
        <f>115</f>
        <v>115</v>
      </c>
      <c r="H104" s="44">
        <f t="shared" si="17"/>
        <v>5701.990000000001</v>
      </c>
      <c r="I104" s="44"/>
      <c r="J104" s="72"/>
      <c r="K104" s="44"/>
      <c r="L104" s="44">
        <f t="shared" si="18"/>
        <v>0</v>
      </c>
      <c r="M104" s="44"/>
      <c r="N104" s="72">
        <v>774.4</v>
      </c>
      <c r="O104" s="44">
        <f>-21.13</f>
        <v>-21.13</v>
      </c>
      <c r="P104" s="44">
        <f t="shared" si="19"/>
        <v>753.27</v>
      </c>
      <c r="Q104" s="44"/>
      <c r="R104" s="36">
        <v>3127</v>
      </c>
      <c r="S104" s="4">
        <v>397</v>
      </c>
      <c r="T104" s="67" t="s">
        <v>111</v>
      </c>
      <c r="U104" s="44"/>
      <c r="V104" s="44"/>
      <c r="W104" s="44"/>
      <c r="X104" s="44">
        <f t="shared" si="20"/>
        <v>0</v>
      </c>
      <c r="Y104" s="44"/>
      <c r="Z104" s="44"/>
      <c r="AA104" s="44"/>
      <c r="AB104" s="44"/>
      <c r="AC104" s="44">
        <f t="shared" si="21"/>
        <v>0</v>
      </c>
    </row>
    <row r="105" spans="1:29" ht="12.75">
      <c r="A105" s="36">
        <v>3127</v>
      </c>
      <c r="B105" s="4">
        <v>400</v>
      </c>
      <c r="C105" s="67" t="s">
        <v>205</v>
      </c>
      <c r="D105" s="72">
        <v>4006.4</v>
      </c>
      <c r="E105" s="44">
        <f>125-72.23</f>
        <v>52.769999999999996</v>
      </c>
      <c r="F105" s="44"/>
      <c r="G105" s="48">
        <f>42.2</f>
        <v>42.2</v>
      </c>
      <c r="H105" s="44">
        <f t="shared" si="17"/>
        <v>4101.37</v>
      </c>
      <c r="I105" s="44"/>
      <c r="J105" s="72"/>
      <c r="K105" s="44"/>
      <c r="L105" s="44">
        <f t="shared" si="18"/>
        <v>0</v>
      </c>
      <c r="M105" s="44"/>
      <c r="N105" s="72">
        <v>652.1</v>
      </c>
      <c r="O105" s="44">
        <f>-100.66</f>
        <v>-100.66</v>
      </c>
      <c r="P105" s="44">
        <f t="shared" si="19"/>
        <v>551.44</v>
      </c>
      <c r="Q105" s="44"/>
      <c r="R105" s="36">
        <v>3127</v>
      </c>
      <c r="S105" s="4">
        <v>400</v>
      </c>
      <c r="T105" s="67" t="s">
        <v>112</v>
      </c>
      <c r="U105" s="44"/>
      <c r="V105" s="44"/>
      <c r="W105" s="44"/>
      <c r="X105" s="44">
        <f t="shared" si="20"/>
        <v>0</v>
      </c>
      <c r="Y105" s="44"/>
      <c r="Z105" s="44"/>
      <c r="AA105" s="44"/>
      <c r="AB105" s="44"/>
      <c r="AC105" s="44">
        <f t="shared" si="21"/>
        <v>0</v>
      </c>
    </row>
    <row r="106" spans="1:29" ht="12.75">
      <c r="A106" s="36">
        <v>3124</v>
      </c>
      <c r="B106" s="4">
        <v>401</v>
      </c>
      <c r="C106" s="77" t="s">
        <v>206</v>
      </c>
      <c r="D106" s="72">
        <v>3337.6</v>
      </c>
      <c r="E106" s="44">
        <f>202.03</f>
        <v>202.03</v>
      </c>
      <c r="F106" s="44"/>
      <c r="G106" s="48">
        <f>89.3</f>
        <v>89.3</v>
      </c>
      <c r="H106" s="44">
        <f t="shared" si="17"/>
        <v>3628.9300000000003</v>
      </c>
      <c r="I106" s="44"/>
      <c r="J106" s="72"/>
      <c r="K106" s="44"/>
      <c r="L106" s="44">
        <f t="shared" si="18"/>
        <v>0</v>
      </c>
      <c r="M106" s="44"/>
      <c r="N106" s="72">
        <v>129.7</v>
      </c>
      <c r="O106" s="44">
        <f>6.42</f>
        <v>6.42</v>
      </c>
      <c r="P106" s="44">
        <f t="shared" si="19"/>
        <v>136.11999999999998</v>
      </c>
      <c r="Q106" s="44"/>
      <c r="R106" s="36">
        <v>3124</v>
      </c>
      <c r="S106" s="4">
        <v>401</v>
      </c>
      <c r="T106" s="77" t="s">
        <v>113</v>
      </c>
      <c r="U106" s="44"/>
      <c r="V106" s="44"/>
      <c r="W106" s="44"/>
      <c r="X106" s="44">
        <f t="shared" si="20"/>
        <v>0</v>
      </c>
      <c r="Y106" s="44"/>
      <c r="Z106" s="44"/>
      <c r="AA106" s="44"/>
      <c r="AB106" s="44"/>
      <c r="AC106" s="44">
        <f t="shared" si="21"/>
        <v>0</v>
      </c>
    </row>
    <row r="107" spans="1:29" ht="12.75">
      <c r="A107" s="36">
        <v>3121</v>
      </c>
      <c r="B107" s="4">
        <v>409</v>
      </c>
      <c r="C107" s="77" t="s">
        <v>207</v>
      </c>
      <c r="D107" s="72">
        <v>2521.7</v>
      </c>
      <c r="E107" s="44">
        <f>-6.73</f>
        <v>-6.73</v>
      </c>
      <c r="F107" s="44"/>
      <c r="G107" s="48">
        <f>81</f>
        <v>81</v>
      </c>
      <c r="H107" s="44">
        <f t="shared" si="17"/>
        <v>2595.97</v>
      </c>
      <c r="I107" s="44"/>
      <c r="J107" s="72"/>
      <c r="K107" s="44"/>
      <c r="L107" s="44">
        <f t="shared" si="18"/>
        <v>0</v>
      </c>
      <c r="M107" s="44"/>
      <c r="N107" s="72">
        <v>30</v>
      </c>
      <c r="O107" s="44">
        <f>-5.38</f>
        <v>-5.38</v>
      </c>
      <c r="P107" s="44">
        <f t="shared" si="19"/>
        <v>24.62</v>
      </c>
      <c r="Q107" s="44"/>
      <c r="R107" s="36">
        <v>3121</v>
      </c>
      <c r="S107" s="4">
        <v>409</v>
      </c>
      <c r="T107" s="77" t="s">
        <v>11</v>
      </c>
      <c r="U107" s="44"/>
      <c r="V107" s="44"/>
      <c r="W107" s="44"/>
      <c r="X107" s="44">
        <f t="shared" si="20"/>
        <v>0</v>
      </c>
      <c r="Y107" s="44"/>
      <c r="Z107" s="44"/>
      <c r="AA107" s="44"/>
      <c r="AB107" s="44"/>
      <c r="AC107" s="44">
        <f t="shared" si="21"/>
        <v>0</v>
      </c>
    </row>
    <row r="108" spans="1:29" ht="12.75">
      <c r="A108" s="36">
        <v>3121</v>
      </c>
      <c r="B108" s="4">
        <v>410</v>
      </c>
      <c r="C108" s="77" t="s">
        <v>208</v>
      </c>
      <c r="D108" s="72">
        <v>6669.7</v>
      </c>
      <c r="E108" s="44">
        <f>118.2-150.42</f>
        <v>-32.219999999999985</v>
      </c>
      <c r="F108" s="44"/>
      <c r="G108" s="48">
        <f>72.2</f>
        <v>72.2</v>
      </c>
      <c r="H108" s="44">
        <f t="shared" si="17"/>
        <v>6709.679999999999</v>
      </c>
      <c r="I108" s="44"/>
      <c r="J108" s="72"/>
      <c r="K108" s="44"/>
      <c r="L108" s="44">
        <f t="shared" si="18"/>
        <v>0</v>
      </c>
      <c r="M108" s="44"/>
      <c r="N108" s="72">
        <v>1186.4</v>
      </c>
      <c r="O108" s="44">
        <f>-120.34</f>
        <v>-120.34</v>
      </c>
      <c r="P108" s="44">
        <f t="shared" si="19"/>
        <v>1066.0600000000002</v>
      </c>
      <c r="Q108" s="44"/>
      <c r="R108" s="36">
        <v>3121</v>
      </c>
      <c r="S108" s="4">
        <v>410</v>
      </c>
      <c r="T108" s="77" t="s">
        <v>12</v>
      </c>
      <c r="U108" s="44">
        <v>5200</v>
      </c>
      <c r="V108" s="44"/>
      <c r="W108" s="44"/>
      <c r="X108" s="44">
        <f t="shared" si="20"/>
        <v>5200</v>
      </c>
      <c r="Y108" s="44"/>
      <c r="Z108" s="44"/>
      <c r="AA108" s="44"/>
      <c r="AB108" s="44"/>
      <c r="AC108" s="44">
        <f t="shared" si="21"/>
        <v>0</v>
      </c>
    </row>
    <row r="109" spans="1:29" ht="12.75">
      <c r="A109" s="36">
        <v>3121</v>
      </c>
      <c r="B109" s="4">
        <v>413</v>
      </c>
      <c r="C109" s="77" t="s">
        <v>209</v>
      </c>
      <c r="D109" s="72">
        <v>6512</v>
      </c>
      <c r="E109" s="44">
        <f>118.46+46.47</f>
        <v>164.93</v>
      </c>
      <c r="F109" s="44"/>
      <c r="G109" s="48">
        <f>60</f>
        <v>60</v>
      </c>
      <c r="H109" s="44">
        <f t="shared" si="17"/>
        <v>6736.93</v>
      </c>
      <c r="I109" s="44"/>
      <c r="J109" s="72"/>
      <c r="K109" s="44"/>
      <c r="L109" s="44">
        <f t="shared" si="18"/>
        <v>0</v>
      </c>
      <c r="M109" s="44"/>
      <c r="N109" s="72">
        <v>591.7</v>
      </c>
      <c r="O109" s="44">
        <f>37.18</f>
        <v>37.18</v>
      </c>
      <c r="P109" s="44">
        <f t="shared" si="19"/>
        <v>628.88</v>
      </c>
      <c r="Q109" s="44"/>
      <c r="R109" s="36">
        <v>3121</v>
      </c>
      <c r="S109" s="4">
        <v>413</v>
      </c>
      <c r="T109" s="77" t="s">
        <v>148</v>
      </c>
      <c r="U109" s="44">
        <v>2000</v>
      </c>
      <c r="V109" s="44">
        <f>1579.34</f>
        <v>1579.34</v>
      </c>
      <c r="W109" s="44"/>
      <c r="X109" s="44">
        <f t="shared" si="20"/>
        <v>3579.34</v>
      </c>
      <c r="Y109" s="44"/>
      <c r="Z109" s="44"/>
      <c r="AA109" s="44"/>
      <c r="AB109" s="44"/>
      <c r="AC109" s="44">
        <f t="shared" si="21"/>
        <v>0</v>
      </c>
    </row>
    <row r="110" spans="1:29" ht="12.75">
      <c r="A110" s="36">
        <v>3122</v>
      </c>
      <c r="B110" s="4">
        <v>415</v>
      </c>
      <c r="C110" s="67" t="s">
        <v>211</v>
      </c>
      <c r="D110" s="72">
        <f>4657.9+550</f>
        <v>5207.9</v>
      </c>
      <c r="E110" s="44">
        <f>11.57+149.18</f>
        <v>160.75</v>
      </c>
      <c r="F110" s="44"/>
      <c r="G110" s="48">
        <f>250.9</f>
        <v>250.9</v>
      </c>
      <c r="H110" s="44">
        <f t="shared" si="17"/>
        <v>5619.549999999999</v>
      </c>
      <c r="I110" s="44"/>
      <c r="J110" s="72"/>
      <c r="K110" s="44">
        <f>104</f>
        <v>104</v>
      </c>
      <c r="L110" s="44">
        <f t="shared" si="18"/>
        <v>104</v>
      </c>
      <c r="M110" s="44"/>
      <c r="N110" s="72">
        <v>466.1</v>
      </c>
      <c r="O110" s="44">
        <f>13.74</f>
        <v>13.74</v>
      </c>
      <c r="P110" s="44">
        <f t="shared" si="19"/>
        <v>479.84000000000003</v>
      </c>
      <c r="Q110" s="44"/>
      <c r="R110" s="36">
        <v>3122</v>
      </c>
      <c r="S110" s="4">
        <v>415</v>
      </c>
      <c r="T110" s="67" t="s">
        <v>149</v>
      </c>
      <c r="U110" s="44"/>
      <c r="V110" s="44">
        <f>600</f>
        <v>600</v>
      </c>
      <c r="W110" s="44"/>
      <c r="X110" s="44">
        <f t="shared" si="20"/>
        <v>600</v>
      </c>
      <c r="Y110" s="44"/>
      <c r="Z110" s="44"/>
      <c r="AA110" s="44">
        <f>210</f>
        <v>210</v>
      </c>
      <c r="AB110" s="44"/>
      <c r="AC110" s="44">
        <f t="shared" si="21"/>
        <v>210</v>
      </c>
    </row>
    <row r="111" spans="1:29" ht="12.75">
      <c r="A111" s="36">
        <v>3127</v>
      </c>
      <c r="B111" s="4">
        <v>416</v>
      </c>
      <c r="C111" s="77" t="s">
        <v>210</v>
      </c>
      <c r="D111" s="72">
        <v>13817.1</v>
      </c>
      <c r="E111" s="44">
        <f>121+422.28</f>
        <v>543.28</v>
      </c>
      <c r="F111" s="44"/>
      <c r="G111" s="48">
        <f>62.7</f>
        <v>62.7</v>
      </c>
      <c r="H111" s="44">
        <f t="shared" si="17"/>
        <v>14423.080000000002</v>
      </c>
      <c r="I111" s="44"/>
      <c r="J111" s="72">
        <v>185</v>
      </c>
      <c r="K111" s="55"/>
      <c r="L111" s="44">
        <f t="shared" si="18"/>
        <v>185</v>
      </c>
      <c r="M111" s="44"/>
      <c r="N111" s="72">
        <v>2376.9</v>
      </c>
      <c r="O111" s="44">
        <f>83.66</f>
        <v>83.66</v>
      </c>
      <c r="P111" s="44">
        <f t="shared" si="19"/>
        <v>2460.56</v>
      </c>
      <c r="Q111" s="44"/>
      <c r="R111" s="36">
        <v>3127</v>
      </c>
      <c r="S111" s="4">
        <v>416</v>
      </c>
      <c r="T111" s="77" t="s">
        <v>114</v>
      </c>
      <c r="U111" s="44"/>
      <c r="V111" s="44">
        <f>610</f>
        <v>610</v>
      </c>
      <c r="W111" s="44"/>
      <c r="X111" s="44">
        <f t="shared" si="20"/>
        <v>610</v>
      </c>
      <c r="Y111" s="44"/>
      <c r="Z111" s="44"/>
      <c r="AA111" s="48">
        <f>4000</f>
        <v>4000</v>
      </c>
      <c r="AB111" s="48"/>
      <c r="AC111" s="44">
        <f t="shared" si="21"/>
        <v>4000</v>
      </c>
    </row>
    <row r="112" spans="1:29" ht="12.75">
      <c r="A112" s="36">
        <v>3127</v>
      </c>
      <c r="B112" s="4">
        <v>418</v>
      </c>
      <c r="C112" s="67" t="s">
        <v>212</v>
      </c>
      <c r="D112" s="72">
        <v>6870.9</v>
      </c>
      <c r="E112" s="44">
        <f>121.3-163.96</f>
        <v>-42.66000000000001</v>
      </c>
      <c r="F112" s="44"/>
      <c r="G112" s="48">
        <f>118</f>
        <v>118</v>
      </c>
      <c r="H112" s="44">
        <f t="shared" si="17"/>
        <v>6946.24</v>
      </c>
      <c r="I112" s="44"/>
      <c r="J112" s="72"/>
      <c r="K112" s="44"/>
      <c r="L112" s="44">
        <f t="shared" si="18"/>
        <v>0</v>
      </c>
      <c r="M112" s="44"/>
      <c r="N112" s="72">
        <v>933.6</v>
      </c>
      <c r="O112" s="44">
        <f>-131.17</f>
        <v>-131.17</v>
      </c>
      <c r="P112" s="44">
        <f t="shared" si="19"/>
        <v>802.4300000000001</v>
      </c>
      <c r="Q112" s="44"/>
      <c r="R112" s="36">
        <v>3127</v>
      </c>
      <c r="S112" s="4">
        <v>418</v>
      </c>
      <c r="T112" s="67" t="s">
        <v>150</v>
      </c>
      <c r="U112" s="44"/>
      <c r="V112" s="48"/>
      <c r="W112" s="48"/>
      <c r="X112" s="44">
        <f t="shared" si="20"/>
        <v>0</v>
      </c>
      <c r="Y112" s="44"/>
      <c r="Z112" s="44">
        <v>3300</v>
      </c>
      <c r="AA112" s="44">
        <f>1522.47</f>
        <v>1522.47</v>
      </c>
      <c r="AB112" s="44"/>
      <c r="AC112" s="44">
        <f t="shared" si="21"/>
        <v>4822.47</v>
      </c>
    </row>
    <row r="113" spans="1:29" ht="12.75">
      <c r="A113" s="36">
        <v>3127</v>
      </c>
      <c r="B113" s="4">
        <v>419</v>
      </c>
      <c r="C113" s="77" t="s">
        <v>213</v>
      </c>
      <c r="D113" s="72">
        <v>7900</v>
      </c>
      <c r="E113" s="44">
        <f>130+1615.11</f>
        <v>1745.11</v>
      </c>
      <c r="F113" s="44"/>
      <c r="G113" s="48">
        <f>67</f>
        <v>67</v>
      </c>
      <c r="H113" s="44">
        <f t="shared" si="17"/>
        <v>9712.11</v>
      </c>
      <c r="I113" s="44"/>
      <c r="J113" s="72"/>
      <c r="K113" s="44"/>
      <c r="L113" s="44">
        <f t="shared" si="18"/>
        <v>0</v>
      </c>
      <c r="M113" s="44"/>
      <c r="N113" s="72">
        <v>1536</v>
      </c>
      <c r="O113" s="44">
        <f>82.73</f>
        <v>82.73</v>
      </c>
      <c r="P113" s="44">
        <f t="shared" si="19"/>
        <v>1618.73</v>
      </c>
      <c r="Q113" s="44"/>
      <c r="R113" s="36">
        <v>3127</v>
      </c>
      <c r="S113" s="4">
        <v>419</v>
      </c>
      <c r="T113" s="77" t="s">
        <v>48</v>
      </c>
      <c r="U113" s="44"/>
      <c r="V113" s="44"/>
      <c r="W113" s="44"/>
      <c r="X113" s="44">
        <f t="shared" si="20"/>
        <v>0</v>
      </c>
      <c r="Y113" s="44"/>
      <c r="Z113" s="44"/>
      <c r="AA113" s="44">
        <f>2471.3</f>
        <v>2471.3</v>
      </c>
      <c r="AB113" s="44"/>
      <c r="AC113" s="44">
        <f t="shared" si="21"/>
        <v>2471.3</v>
      </c>
    </row>
    <row r="114" spans="1:29" ht="12.75">
      <c r="A114" s="36">
        <v>3124</v>
      </c>
      <c r="B114" s="4">
        <v>423</v>
      </c>
      <c r="C114" s="77" t="s">
        <v>214</v>
      </c>
      <c r="D114" s="72">
        <v>3927.3</v>
      </c>
      <c r="E114" s="44">
        <f>42.38</f>
        <v>42.38</v>
      </c>
      <c r="F114" s="44"/>
      <c r="G114" s="48">
        <f>71</f>
        <v>71</v>
      </c>
      <c r="H114" s="44">
        <f t="shared" si="17"/>
        <v>4040.6800000000003</v>
      </c>
      <c r="I114" s="44"/>
      <c r="J114" s="72"/>
      <c r="K114" s="44"/>
      <c r="L114" s="44">
        <f t="shared" si="18"/>
        <v>0</v>
      </c>
      <c r="M114" s="44"/>
      <c r="N114" s="72">
        <v>370.4</v>
      </c>
      <c r="O114" s="44">
        <f>-5.46</f>
        <v>-5.46</v>
      </c>
      <c r="P114" s="44">
        <f t="shared" si="19"/>
        <v>364.94</v>
      </c>
      <c r="Q114" s="44"/>
      <c r="R114" s="36">
        <v>3124</v>
      </c>
      <c r="S114" s="4">
        <v>423</v>
      </c>
      <c r="T114" s="77" t="s">
        <v>115</v>
      </c>
      <c r="U114" s="44"/>
      <c r="V114" s="44">
        <f>1040</f>
        <v>1040</v>
      </c>
      <c r="W114" s="44"/>
      <c r="X114" s="44">
        <f t="shared" si="20"/>
        <v>1040</v>
      </c>
      <c r="Y114" s="44"/>
      <c r="Z114" s="44"/>
      <c r="AA114" s="44"/>
      <c r="AB114" s="44"/>
      <c r="AC114" s="44">
        <f t="shared" si="21"/>
        <v>0</v>
      </c>
    </row>
    <row r="115" spans="1:29" ht="12.75">
      <c r="A115" s="36">
        <v>3112</v>
      </c>
      <c r="B115" s="4">
        <v>425</v>
      </c>
      <c r="C115" s="77" t="s">
        <v>116</v>
      </c>
      <c r="D115" s="72">
        <v>1329.4</v>
      </c>
      <c r="E115" s="44">
        <f>-0.05</f>
        <v>-0.05</v>
      </c>
      <c r="F115" s="44"/>
      <c r="G115" s="48"/>
      <c r="H115" s="44">
        <f t="shared" si="17"/>
        <v>1329.3500000000001</v>
      </c>
      <c r="I115" s="44"/>
      <c r="J115" s="72"/>
      <c r="K115" s="44"/>
      <c r="L115" s="44">
        <f t="shared" si="18"/>
        <v>0</v>
      </c>
      <c r="M115" s="44"/>
      <c r="N115" s="72">
        <v>35.4</v>
      </c>
      <c r="O115" s="44">
        <f>-0.04</f>
        <v>-0.04</v>
      </c>
      <c r="P115" s="44">
        <f t="shared" si="19"/>
        <v>35.36</v>
      </c>
      <c r="Q115" s="44"/>
      <c r="R115" s="36">
        <v>3112</v>
      </c>
      <c r="S115" s="4">
        <v>425</v>
      </c>
      <c r="T115" s="77" t="s">
        <v>116</v>
      </c>
      <c r="U115" s="44"/>
      <c r="V115" s="44"/>
      <c r="W115" s="44"/>
      <c r="X115" s="44">
        <f t="shared" si="20"/>
        <v>0</v>
      </c>
      <c r="Y115" s="44"/>
      <c r="Z115" s="44"/>
      <c r="AA115" s="44"/>
      <c r="AB115" s="44"/>
      <c r="AC115" s="44">
        <f t="shared" si="21"/>
        <v>0</v>
      </c>
    </row>
    <row r="116" spans="1:29" ht="12.75">
      <c r="A116" s="36">
        <v>3114</v>
      </c>
      <c r="B116" s="4">
        <v>426</v>
      </c>
      <c r="C116" s="77" t="s">
        <v>215</v>
      </c>
      <c r="D116" s="72">
        <v>989.8</v>
      </c>
      <c r="E116" s="44">
        <f>21.7</f>
        <v>21.7</v>
      </c>
      <c r="F116" s="44"/>
      <c r="G116" s="48">
        <f>30</f>
        <v>30</v>
      </c>
      <c r="H116" s="44">
        <f t="shared" si="17"/>
        <v>1041.5</v>
      </c>
      <c r="I116" s="44"/>
      <c r="J116" s="72"/>
      <c r="K116" s="44"/>
      <c r="L116" s="44">
        <f t="shared" si="18"/>
        <v>0</v>
      </c>
      <c r="M116" s="44"/>
      <c r="N116" s="72">
        <v>0</v>
      </c>
      <c r="O116" s="44"/>
      <c r="P116" s="44">
        <f t="shared" si="19"/>
        <v>0</v>
      </c>
      <c r="Q116" s="44"/>
      <c r="R116" s="36">
        <v>3114</v>
      </c>
      <c r="S116" s="4">
        <v>426</v>
      </c>
      <c r="T116" s="77" t="s">
        <v>49</v>
      </c>
      <c r="U116" s="44"/>
      <c r="V116" s="44"/>
      <c r="W116" s="44"/>
      <c r="X116" s="44">
        <f t="shared" si="20"/>
        <v>0</v>
      </c>
      <c r="Y116" s="44"/>
      <c r="Z116" s="44"/>
      <c r="AA116" s="44"/>
      <c r="AB116" s="44"/>
      <c r="AC116" s="44">
        <f t="shared" si="21"/>
        <v>0</v>
      </c>
    </row>
    <row r="117" spans="1:29" ht="12.75" customHeight="1">
      <c r="A117" s="36">
        <v>3133</v>
      </c>
      <c r="B117" s="4">
        <v>427</v>
      </c>
      <c r="C117" s="77" t="s">
        <v>50</v>
      </c>
      <c r="D117" s="72">
        <v>2562.05</v>
      </c>
      <c r="E117" s="44"/>
      <c r="F117" s="44"/>
      <c r="G117" s="48"/>
      <c r="H117" s="44">
        <f t="shared" si="17"/>
        <v>2562.05</v>
      </c>
      <c r="I117" s="44"/>
      <c r="J117" s="72"/>
      <c r="K117" s="44"/>
      <c r="L117" s="44">
        <f t="shared" si="18"/>
        <v>0</v>
      </c>
      <c r="M117" s="44"/>
      <c r="N117" s="72">
        <v>63.9</v>
      </c>
      <c r="O117" s="44"/>
      <c r="P117" s="44">
        <f t="shared" si="19"/>
        <v>63.9</v>
      </c>
      <c r="Q117" s="44"/>
      <c r="R117" s="36">
        <v>3133</v>
      </c>
      <c r="S117" s="4">
        <v>427</v>
      </c>
      <c r="T117" s="77" t="s">
        <v>50</v>
      </c>
      <c r="U117" s="44"/>
      <c r="V117" s="44"/>
      <c r="W117" s="44"/>
      <c r="X117" s="44">
        <f t="shared" si="20"/>
        <v>0</v>
      </c>
      <c r="Y117" s="44"/>
      <c r="Z117" s="44"/>
      <c r="AA117" s="44"/>
      <c r="AB117" s="44"/>
      <c r="AC117" s="44">
        <f t="shared" si="21"/>
        <v>0</v>
      </c>
    </row>
    <row r="118" spans="1:29" ht="12.75">
      <c r="A118" s="36">
        <v>3133</v>
      </c>
      <c r="B118" s="4">
        <v>428</v>
      </c>
      <c r="C118" s="77" t="s">
        <v>216</v>
      </c>
      <c r="D118" s="72">
        <v>3187.6</v>
      </c>
      <c r="E118" s="44">
        <f>-0.07</f>
        <v>-0.07</v>
      </c>
      <c r="F118" s="44"/>
      <c r="G118" s="48">
        <f>81</f>
        <v>81</v>
      </c>
      <c r="H118" s="44">
        <f t="shared" si="17"/>
        <v>3268.5299999999997</v>
      </c>
      <c r="I118" s="44"/>
      <c r="J118" s="72"/>
      <c r="K118" s="44"/>
      <c r="L118" s="44">
        <f t="shared" si="18"/>
        <v>0</v>
      </c>
      <c r="M118" s="44"/>
      <c r="N118" s="72">
        <v>241.2</v>
      </c>
      <c r="O118" s="44">
        <f>-0.06</f>
        <v>-0.06</v>
      </c>
      <c r="P118" s="44">
        <f t="shared" si="19"/>
        <v>241.14</v>
      </c>
      <c r="Q118" s="44"/>
      <c r="R118" s="36">
        <v>3133</v>
      </c>
      <c r="S118" s="4">
        <v>428</v>
      </c>
      <c r="T118" s="77" t="s">
        <v>117</v>
      </c>
      <c r="U118" s="44"/>
      <c r="V118" s="44"/>
      <c r="W118" s="44"/>
      <c r="X118" s="44">
        <f t="shared" si="20"/>
        <v>0</v>
      </c>
      <c r="Y118" s="44"/>
      <c r="Z118" s="44"/>
      <c r="AA118" s="44"/>
      <c r="AB118" s="44"/>
      <c r="AC118" s="44">
        <f t="shared" si="21"/>
        <v>0</v>
      </c>
    </row>
    <row r="119" spans="1:29" ht="12.75">
      <c r="A119" s="36">
        <v>3114</v>
      </c>
      <c r="B119" s="4">
        <v>431</v>
      </c>
      <c r="C119" s="67" t="s">
        <v>217</v>
      </c>
      <c r="D119" s="72">
        <v>1660</v>
      </c>
      <c r="E119" s="44">
        <f>30+0.04</f>
        <v>30.04</v>
      </c>
      <c r="F119" s="44"/>
      <c r="G119" s="48">
        <f>9.5</f>
        <v>9.5</v>
      </c>
      <c r="H119" s="44">
        <f t="shared" si="17"/>
        <v>1699.54</v>
      </c>
      <c r="I119" s="44"/>
      <c r="J119" s="72"/>
      <c r="K119" s="44"/>
      <c r="L119" s="44">
        <f t="shared" si="18"/>
        <v>0</v>
      </c>
      <c r="M119" s="44"/>
      <c r="N119" s="72">
        <v>122.8</v>
      </c>
      <c r="O119" s="44">
        <f>0.03</f>
        <v>0.03</v>
      </c>
      <c r="P119" s="44">
        <f t="shared" si="19"/>
        <v>122.83</v>
      </c>
      <c r="Q119" s="44"/>
      <c r="R119" s="36">
        <v>3114</v>
      </c>
      <c r="S119" s="4">
        <v>431</v>
      </c>
      <c r="T119" s="67" t="s">
        <v>118</v>
      </c>
      <c r="U119" s="44"/>
      <c r="V119" s="44"/>
      <c r="W119" s="44"/>
      <c r="X119" s="44">
        <f t="shared" si="20"/>
        <v>0</v>
      </c>
      <c r="Y119" s="44"/>
      <c r="Z119" s="44">
        <v>2000</v>
      </c>
      <c r="AA119" s="44">
        <f>250</f>
        <v>250</v>
      </c>
      <c r="AB119" s="44"/>
      <c r="AC119" s="44">
        <f t="shared" si="21"/>
        <v>2250</v>
      </c>
    </row>
    <row r="120" spans="1:29" ht="12.75">
      <c r="A120" s="36">
        <v>3114</v>
      </c>
      <c r="B120" s="4">
        <v>432</v>
      </c>
      <c r="C120" s="77" t="s">
        <v>218</v>
      </c>
      <c r="D120" s="72">
        <v>2449.4</v>
      </c>
      <c r="E120" s="44"/>
      <c r="F120" s="44"/>
      <c r="G120" s="48">
        <f>13</f>
        <v>13</v>
      </c>
      <c r="H120" s="44">
        <f t="shared" si="17"/>
        <v>2462.4</v>
      </c>
      <c r="I120" s="44"/>
      <c r="J120" s="72"/>
      <c r="K120" s="44"/>
      <c r="L120" s="44">
        <f t="shared" si="18"/>
        <v>0</v>
      </c>
      <c r="M120" s="44"/>
      <c r="N120" s="72">
        <v>9.8</v>
      </c>
      <c r="O120" s="44"/>
      <c r="P120" s="44">
        <f t="shared" si="19"/>
        <v>9.8</v>
      </c>
      <c r="Q120" s="44"/>
      <c r="R120" s="36">
        <v>3114</v>
      </c>
      <c r="S120" s="4">
        <v>432</v>
      </c>
      <c r="T120" s="77" t="s">
        <v>119</v>
      </c>
      <c r="U120" s="44"/>
      <c r="V120" s="44"/>
      <c r="W120" s="44"/>
      <c r="X120" s="44">
        <f t="shared" si="20"/>
        <v>0</v>
      </c>
      <c r="Y120" s="44"/>
      <c r="Z120" s="44"/>
      <c r="AA120" s="44"/>
      <c r="AB120" s="44"/>
      <c r="AC120" s="44">
        <f t="shared" si="21"/>
        <v>0</v>
      </c>
    </row>
    <row r="121" spans="1:29" ht="12.75">
      <c r="A121" s="36">
        <v>3114</v>
      </c>
      <c r="B121" s="4">
        <v>433</v>
      </c>
      <c r="C121" s="77" t="s">
        <v>219</v>
      </c>
      <c r="D121" s="72">
        <v>827.5</v>
      </c>
      <c r="E121" s="44">
        <f>20</f>
        <v>20</v>
      </c>
      <c r="F121" s="44"/>
      <c r="G121" s="48">
        <f>11</f>
        <v>11</v>
      </c>
      <c r="H121" s="44">
        <f t="shared" si="17"/>
        <v>858.5</v>
      </c>
      <c r="I121" s="44"/>
      <c r="J121" s="72"/>
      <c r="K121" s="44"/>
      <c r="L121" s="44">
        <f t="shared" si="18"/>
        <v>0</v>
      </c>
      <c r="M121" s="44"/>
      <c r="N121" s="72">
        <v>0</v>
      </c>
      <c r="O121" s="44"/>
      <c r="P121" s="44">
        <f t="shared" si="19"/>
        <v>0</v>
      </c>
      <c r="Q121" s="44"/>
      <c r="R121" s="36">
        <v>3114</v>
      </c>
      <c r="S121" s="4">
        <v>433</v>
      </c>
      <c r="T121" s="77" t="s">
        <v>51</v>
      </c>
      <c r="U121" s="44"/>
      <c r="V121" s="44"/>
      <c r="W121" s="44"/>
      <c r="X121" s="44">
        <f t="shared" si="20"/>
        <v>0</v>
      </c>
      <c r="Y121" s="44"/>
      <c r="Z121" s="44"/>
      <c r="AA121" s="44"/>
      <c r="AB121" s="44"/>
      <c r="AC121" s="44">
        <f t="shared" si="21"/>
        <v>0</v>
      </c>
    </row>
    <row r="122" spans="1:29" ht="12.75">
      <c r="A122" s="36">
        <v>3114</v>
      </c>
      <c r="B122" s="4">
        <v>436</v>
      </c>
      <c r="C122" s="67" t="s">
        <v>120</v>
      </c>
      <c r="D122" s="72">
        <v>2146.7</v>
      </c>
      <c r="E122" s="44"/>
      <c r="F122" s="44"/>
      <c r="G122" s="48"/>
      <c r="H122" s="44">
        <f t="shared" si="17"/>
        <v>2146.7</v>
      </c>
      <c r="I122" s="44"/>
      <c r="J122" s="72"/>
      <c r="K122" s="44"/>
      <c r="L122" s="44">
        <f t="shared" si="18"/>
        <v>0</v>
      </c>
      <c r="M122" s="44"/>
      <c r="N122" s="72">
        <v>58</v>
      </c>
      <c r="O122" s="44"/>
      <c r="P122" s="44">
        <f t="shared" si="19"/>
        <v>58</v>
      </c>
      <c r="Q122" s="44"/>
      <c r="R122" s="36">
        <v>3114</v>
      </c>
      <c r="S122" s="4">
        <v>436</v>
      </c>
      <c r="T122" s="67" t="s">
        <v>120</v>
      </c>
      <c r="U122" s="44"/>
      <c r="V122" s="44"/>
      <c r="W122" s="44"/>
      <c r="X122" s="44">
        <f t="shared" si="20"/>
        <v>0</v>
      </c>
      <c r="Y122" s="44"/>
      <c r="Z122" s="44"/>
      <c r="AA122" s="44"/>
      <c r="AB122" s="44"/>
      <c r="AC122" s="44">
        <f t="shared" si="21"/>
        <v>0</v>
      </c>
    </row>
    <row r="123" spans="1:29" ht="12.75">
      <c r="A123" s="36">
        <v>3127</v>
      </c>
      <c r="B123" s="4">
        <v>445</v>
      </c>
      <c r="C123" s="67" t="s">
        <v>220</v>
      </c>
      <c r="D123" s="72">
        <v>7897.3</v>
      </c>
      <c r="E123" s="44">
        <f>37.08+1120.32</f>
        <v>1157.3999999999999</v>
      </c>
      <c r="F123" s="44"/>
      <c r="G123" s="48">
        <f>115</f>
        <v>115</v>
      </c>
      <c r="H123" s="44">
        <f t="shared" si="17"/>
        <v>9169.7</v>
      </c>
      <c r="I123" s="44"/>
      <c r="J123" s="72"/>
      <c r="K123" s="44">
        <f>81.12</f>
        <v>81.12</v>
      </c>
      <c r="L123" s="44">
        <f t="shared" si="18"/>
        <v>81.12</v>
      </c>
      <c r="M123" s="44"/>
      <c r="N123" s="72">
        <v>1038.4</v>
      </c>
      <c r="O123" s="44">
        <f>40.98</f>
        <v>40.98</v>
      </c>
      <c r="P123" s="44">
        <f t="shared" si="19"/>
        <v>1079.38</v>
      </c>
      <c r="Q123" s="44"/>
      <c r="R123" s="36">
        <v>3127</v>
      </c>
      <c r="S123" s="4">
        <v>445</v>
      </c>
      <c r="T123" s="67" t="s">
        <v>121</v>
      </c>
      <c r="U123" s="44"/>
      <c r="V123" s="44">
        <f>149</f>
        <v>149</v>
      </c>
      <c r="W123" s="44"/>
      <c r="X123" s="44">
        <f t="shared" si="20"/>
        <v>149</v>
      </c>
      <c r="Y123" s="44"/>
      <c r="Z123" s="44">
        <v>1200</v>
      </c>
      <c r="AA123" s="44">
        <f>230</f>
        <v>230</v>
      </c>
      <c r="AB123" s="44"/>
      <c r="AC123" s="44">
        <f t="shared" si="21"/>
        <v>1430</v>
      </c>
    </row>
    <row r="124" spans="1:29" ht="12.75">
      <c r="A124" s="36">
        <v>3127</v>
      </c>
      <c r="B124" s="4">
        <v>447</v>
      </c>
      <c r="C124" s="77" t="s">
        <v>221</v>
      </c>
      <c r="D124" s="72">
        <v>3913.2</v>
      </c>
      <c r="E124" s="59">
        <f>84.8+176.79</f>
        <v>261.59</v>
      </c>
      <c r="F124" s="59"/>
      <c r="G124" s="59">
        <f>137.8</f>
        <v>137.8</v>
      </c>
      <c r="H124" s="44">
        <f t="shared" si="17"/>
        <v>4312.59</v>
      </c>
      <c r="I124" s="59"/>
      <c r="J124" s="72"/>
      <c r="K124" s="59"/>
      <c r="L124" s="44">
        <f t="shared" si="18"/>
        <v>0</v>
      </c>
      <c r="M124" s="59"/>
      <c r="N124" s="72">
        <v>458.3</v>
      </c>
      <c r="O124" s="59">
        <f>49.11</f>
        <v>49.11</v>
      </c>
      <c r="P124" s="44">
        <f t="shared" si="19"/>
        <v>507.41</v>
      </c>
      <c r="Q124" s="59"/>
      <c r="R124" s="36">
        <v>3127</v>
      </c>
      <c r="S124" s="4">
        <v>447</v>
      </c>
      <c r="T124" s="77" t="s">
        <v>52</v>
      </c>
      <c r="U124" s="59"/>
      <c r="V124" s="59">
        <f>236.22</f>
        <v>236.22</v>
      </c>
      <c r="W124" s="59"/>
      <c r="X124" s="44">
        <f t="shared" si="20"/>
        <v>236.22</v>
      </c>
      <c r="Y124" s="59"/>
      <c r="Z124" s="59"/>
      <c r="AA124" s="59"/>
      <c r="AB124" s="59"/>
      <c r="AC124" s="44">
        <f t="shared" si="21"/>
        <v>0</v>
      </c>
    </row>
    <row r="125" spans="1:29" ht="12.75">
      <c r="A125" s="36">
        <v>3114</v>
      </c>
      <c r="B125" s="4">
        <v>452</v>
      </c>
      <c r="C125" s="77" t="s">
        <v>122</v>
      </c>
      <c r="D125" s="72">
        <v>1851.6</v>
      </c>
      <c r="E125" s="44"/>
      <c r="F125" s="44"/>
      <c r="G125" s="44"/>
      <c r="H125" s="44">
        <f>D125+E125+F125+G125</f>
        <v>1851.6</v>
      </c>
      <c r="I125" s="44"/>
      <c r="J125" s="72"/>
      <c r="K125" s="44"/>
      <c r="L125" s="44">
        <f>J125+K125</f>
        <v>0</v>
      </c>
      <c r="M125" s="44"/>
      <c r="N125" s="72">
        <v>16.8</v>
      </c>
      <c r="O125" s="44"/>
      <c r="P125" s="44">
        <f aca="true" t="shared" si="22" ref="P125:P132">N125+O125</f>
        <v>16.8</v>
      </c>
      <c r="Q125" s="44"/>
      <c r="R125" s="36">
        <v>3114</v>
      </c>
      <c r="S125" s="4">
        <v>452</v>
      </c>
      <c r="T125" s="77" t="s">
        <v>122</v>
      </c>
      <c r="U125" s="44"/>
      <c r="V125" s="44"/>
      <c r="W125" s="44"/>
      <c r="X125" s="44">
        <f>SUM(U125:W125)</f>
        <v>0</v>
      </c>
      <c r="Y125" s="44"/>
      <c r="Z125" s="44"/>
      <c r="AA125" s="44"/>
      <c r="AB125" s="44"/>
      <c r="AC125" s="44">
        <f>SUM(Z125:AB125)</f>
        <v>0</v>
      </c>
    </row>
    <row r="126" spans="1:29" ht="12.75">
      <c r="A126" s="36">
        <v>3127</v>
      </c>
      <c r="B126" s="4">
        <v>454</v>
      </c>
      <c r="C126" s="77" t="s">
        <v>222</v>
      </c>
      <c r="D126" s="72">
        <v>13337.6</v>
      </c>
      <c r="E126" s="44">
        <f>45.19+1554.9</f>
        <v>1600.0900000000001</v>
      </c>
      <c r="F126" s="44"/>
      <c r="G126" s="44">
        <f>59</f>
        <v>59</v>
      </c>
      <c r="H126" s="44">
        <f>D126+E126+F126+G126</f>
        <v>14996.69</v>
      </c>
      <c r="I126" s="44"/>
      <c r="J126" s="72"/>
      <c r="K126" s="44">
        <f>61.25</f>
        <v>61.25</v>
      </c>
      <c r="L126" s="44">
        <f>J126+K126</f>
        <v>61.25</v>
      </c>
      <c r="M126" s="44"/>
      <c r="N126" s="72">
        <v>3960</v>
      </c>
      <c r="O126" s="44">
        <f>440.2</f>
        <v>440.2</v>
      </c>
      <c r="P126" s="44">
        <f t="shared" si="22"/>
        <v>4400.2</v>
      </c>
      <c r="Q126" s="44"/>
      <c r="R126" s="36">
        <v>3127</v>
      </c>
      <c r="S126" s="4">
        <v>454</v>
      </c>
      <c r="T126" s="77" t="s">
        <v>123</v>
      </c>
      <c r="U126" s="44"/>
      <c r="V126" s="44"/>
      <c r="W126" s="44"/>
      <c r="X126" s="44">
        <f>SUM(U126:W126)</f>
        <v>0</v>
      </c>
      <c r="Y126" s="44"/>
      <c r="Z126" s="44">
        <v>5300</v>
      </c>
      <c r="AA126" s="44">
        <f>1246.13</f>
        <v>1246.13</v>
      </c>
      <c r="AB126" s="44"/>
      <c r="AC126" s="44">
        <f>SUM(Z126:AB126)</f>
        <v>6546.13</v>
      </c>
    </row>
    <row r="127" spans="1:29" ht="12.75">
      <c r="A127" s="36">
        <v>3146</v>
      </c>
      <c r="B127" s="4">
        <v>455</v>
      </c>
      <c r="C127" s="77" t="s">
        <v>124</v>
      </c>
      <c r="D127" s="72">
        <v>6427.7</v>
      </c>
      <c r="E127" s="68">
        <f>4.37</f>
        <v>4.37</v>
      </c>
      <c r="F127" s="68"/>
      <c r="G127" s="68"/>
      <c r="H127" s="59">
        <f>D127+E127+F127+G127</f>
        <v>6432.07</v>
      </c>
      <c r="I127" s="68"/>
      <c r="J127" s="72"/>
      <c r="K127" s="68"/>
      <c r="L127" s="68">
        <f>J127+K127</f>
        <v>0</v>
      </c>
      <c r="M127" s="68"/>
      <c r="N127" s="72">
        <v>228</v>
      </c>
      <c r="O127" s="68">
        <f>3.5</f>
        <v>3.5</v>
      </c>
      <c r="P127" s="44">
        <f t="shared" si="22"/>
        <v>231.5</v>
      </c>
      <c r="Q127" s="68"/>
      <c r="R127" s="36">
        <v>3146</v>
      </c>
      <c r="S127" s="4">
        <v>455</v>
      </c>
      <c r="T127" s="77" t="s">
        <v>124</v>
      </c>
      <c r="U127" s="68"/>
      <c r="V127" s="68"/>
      <c r="W127" s="68"/>
      <c r="X127" s="59">
        <f>SUM(U127:W127)</f>
        <v>0</v>
      </c>
      <c r="Y127" s="59"/>
      <c r="Z127" s="59"/>
      <c r="AA127" s="59"/>
      <c r="AB127" s="59"/>
      <c r="AC127" s="59">
        <f>SUM(Z127:AB127)</f>
        <v>0</v>
      </c>
    </row>
    <row r="128" spans="1:29" ht="12.75">
      <c r="A128" s="78">
        <v>3127</v>
      </c>
      <c r="B128" s="79">
        <v>456</v>
      </c>
      <c r="C128" s="80" t="s">
        <v>223</v>
      </c>
      <c r="D128" s="81">
        <v>13960.6</v>
      </c>
      <c r="E128" s="44">
        <f>87.8+439.45</f>
        <v>527.25</v>
      </c>
      <c r="F128" s="44"/>
      <c r="G128" s="44">
        <f>188</f>
        <v>188</v>
      </c>
      <c r="H128" s="44">
        <f>D128+E128+F128+G128</f>
        <v>14675.85</v>
      </c>
      <c r="I128" s="44"/>
      <c r="J128" s="81">
        <v>185</v>
      </c>
      <c r="K128" s="44"/>
      <c r="L128" s="44">
        <f>J128+K128</f>
        <v>185</v>
      </c>
      <c r="M128" s="44"/>
      <c r="N128" s="81">
        <v>2000.8</v>
      </c>
      <c r="O128" s="44">
        <f>228.52</f>
        <v>228.52</v>
      </c>
      <c r="P128" s="44">
        <f t="shared" si="22"/>
        <v>2229.32</v>
      </c>
      <c r="Q128" s="44"/>
      <c r="R128" s="78">
        <v>3127</v>
      </c>
      <c r="S128" s="79">
        <v>456</v>
      </c>
      <c r="T128" s="80" t="s">
        <v>151</v>
      </c>
      <c r="U128" s="44">
        <v>3000</v>
      </c>
      <c r="V128" s="44">
        <f>150</f>
        <v>150</v>
      </c>
      <c r="W128" s="44"/>
      <c r="X128" s="44">
        <f>SUM(U128:W128)</f>
        <v>3150</v>
      </c>
      <c r="Y128" s="44"/>
      <c r="Z128" s="44">
        <v>4600</v>
      </c>
      <c r="AA128" s="44">
        <f>516</f>
        <v>516</v>
      </c>
      <c r="AB128" s="44"/>
      <c r="AC128" s="44">
        <f>SUM(Z128:AB128)</f>
        <v>5116</v>
      </c>
    </row>
    <row r="129" spans="1:29" ht="12.75">
      <c r="A129" s="35">
        <v>3127</v>
      </c>
      <c r="B129" s="2">
        <v>457</v>
      </c>
      <c r="C129" s="82" t="s">
        <v>152</v>
      </c>
      <c r="D129" s="73">
        <v>5224.5</v>
      </c>
      <c r="E129" s="44">
        <f>133.3+1340.08</f>
        <v>1473.3799999999999</v>
      </c>
      <c r="F129" s="44"/>
      <c r="G129" s="44"/>
      <c r="H129" s="44">
        <f>D129+E129+F129+G129</f>
        <v>6697.88</v>
      </c>
      <c r="I129" s="44"/>
      <c r="J129" s="73"/>
      <c r="K129" s="44"/>
      <c r="L129" s="44">
        <f>J129+K129</f>
        <v>0</v>
      </c>
      <c r="M129" s="44"/>
      <c r="N129" s="73">
        <v>312</v>
      </c>
      <c r="O129" s="44">
        <f>6.7</f>
        <v>6.7</v>
      </c>
      <c r="P129" s="44">
        <f t="shared" si="22"/>
        <v>318.7</v>
      </c>
      <c r="Q129" s="44"/>
      <c r="R129" s="35">
        <v>3127</v>
      </c>
      <c r="S129" s="2">
        <v>457</v>
      </c>
      <c r="T129" s="82" t="s">
        <v>152</v>
      </c>
      <c r="U129" s="44"/>
      <c r="V129" s="44"/>
      <c r="W129" s="44"/>
      <c r="X129" s="44">
        <f>SUM(U129:W129)</f>
        <v>0</v>
      </c>
      <c r="Y129" s="44"/>
      <c r="Z129" s="44"/>
      <c r="AA129" s="44">
        <f>200</f>
        <v>200</v>
      </c>
      <c r="AB129" s="44"/>
      <c r="AC129" s="44">
        <f>SUM(Z129:AB129)</f>
        <v>200</v>
      </c>
    </row>
    <row r="130" spans="1:29" ht="12.75">
      <c r="A130" s="35">
        <v>3127</v>
      </c>
      <c r="B130" s="2">
        <v>458</v>
      </c>
      <c r="C130" s="82" t="s">
        <v>153</v>
      </c>
      <c r="D130" s="73">
        <v>11805.5</v>
      </c>
      <c r="E130" s="44">
        <f>136.5+795.16</f>
        <v>931.66</v>
      </c>
      <c r="F130" s="44"/>
      <c r="G130" s="44"/>
      <c r="H130" s="44">
        <f>D130+E130+F130+G130</f>
        <v>12737.16</v>
      </c>
      <c r="I130" s="44"/>
      <c r="J130" s="73"/>
      <c r="K130" s="44"/>
      <c r="L130" s="44">
        <f>J130+K130</f>
        <v>0</v>
      </c>
      <c r="M130" s="44"/>
      <c r="N130" s="73">
        <v>1909.5</v>
      </c>
      <c r="O130" s="44">
        <f>-9.31</f>
        <v>-9.31</v>
      </c>
      <c r="P130" s="44">
        <f t="shared" si="22"/>
        <v>1900.19</v>
      </c>
      <c r="Q130" s="44"/>
      <c r="R130" s="35">
        <v>3127</v>
      </c>
      <c r="S130" s="2">
        <v>458</v>
      </c>
      <c r="T130" s="82" t="s">
        <v>153</v>
      </c>
      <c r="U130" s="44"/>
      <c r="V130" s="44"/>
      <c r="W130" s="44"/>
      <c r="X130" s="44">
        <f>SUM(U130:W130)</f>
        <v>0</v>
      </c>
      <c r="Y130" s="44"/>
      <c r="Z130" s="44">
        <v>15000</v>
      </c>
      <c r="AA130" s="44">
        <f>15361.92</f>
        <v>15361.92</v>
      </c>
      <c r="AB130" s="44"/>
      <c r="AC130" s="44">
        <f>SUM(Z130:AB130)</f>
        <v>30361.92</v>
      </c>
    </row>
    <row r="131" spans="1:29" ht="12.75">
      <c r="A131" s="35">
        <v>3127</v>
      </c>
      <c r="B131" s="2">
        <v>459</v>
      </c>
      <c r="C131" s="82" t="s">
        <v>224</v>
      </c>
      <c r="D131" s="73">
        <v>8918.6</v>
      </c>
      <c r="E131" s="44">
        <f>120+205.14</f>
        <v>325.14</v>
      </c>
      <c r="F131" s="44"/>
      <c r="G131" s="44">
        <f>83</f>
        <v>83</v>
      </c>
      <c r="H131" s="44">
        <f>D131+E131+F131+G131</f>
        <v>9326.74</v>
      </c>
      <c r="I131" s="44"/>
      <c r="J131" s="73"/>
      <c r="K131" s="44"/>
      <c r="L131" s="44">
        <f>J131+K131</f>
        <v>0</v>
      </c>
      <c r="M131" s="44"/>
      <c r="N131" s="73">
        <v>1451.8</v>
      </c>
      <c r="O131" s="44">
        <f>11.55</f>
        <v>11.55</v>
      </c>
      <c r="P131" s="44">
        <f t="shared" si="22"/>
        <v>1463.35</v>
      </c>
      <c r="Q131" s="44"/>
      <c r="R131" s="35">
        <v>3127</v>
      </c>
      <c r="S131" s="2">
        <v>459</v>
      </c>
      <c r="T131" s="82" t="s">
        <v>154</v>
      </c>
      <c r="U131" s="44"/>
      <c r="V131" s="44"/>
      <c r="W131" s="44"/>
      <c r="X131" s="44">
        <f>SUM(U131:W131)</f>
        <v>0</v>
      </c>
      <c r="Y131" s="44"/>
      <c r="Z131" s="44">
        <v>8000</v>
      </c>
      <c r="AA131" s="44">
        <f>-2666.36</f>
        <v>-2666.36</v>
      </c>
      <c r="AB131" s="44"/>
      <c r="AC131" s="44">
        <f>SUM(Z131:AB131)</f>
        <v>5333.639999999999</v>
      </c>
    </row>
    <row r="132" spans="1:29" ht="13.5" thickBot="1">
      <c r="A132" s="69">
        <v>3127</v>
      </c>
      <c r="B132" s="70">
        <v>460</v>
      </c>
      <c r="C132" s="83" t="s">
        <v>225</v>
      </c>
      <c r="D132" s="74">
        <v>9847.5</v>
      </c>
      <c r="E132" s="71">
        <f>100+147.57</f>
        <v>247.57</v>
      </c>
      <c r="F132" s="71"/>
      <c r="G132" s="71">
        <f>291.8</f>
        <v>291.8</v>
      </c>
      <c r="H132" s="71">
        <f>D132+E132+F132+G132</f>
        <v>10386.869999999999</v>
      </c>
      <c r="I132" s="71"/>
      <c r="J132" s="74"/>
      <c r="K132" s="71"/>
      <c r="L132" s="71">
        <f>J132+K132</f>
        <v>0</v>
      </c>
      <c r="M132" s="71"/>
      <c r="N132" s="74">
        <v>876</v>
      </c>
      <c r="O132" s="71">
        <f>-6.1</f>
        <v>-6.1</v>
      </c>
      <c r="P132" s="44">
        <f t="shared" si="22"/>
        <v>869.9</v>
      </c>
      <c r="Q132" s="71"/>
      <c r="R132" s="69">
        <v>3127</v>
      </c>
      <c r="S132" s="70">
        <v>460</v>
      </c>
      <c r="T132" s="83" t="s">
        <v>155</v>
      </c>
      <c r="U132" s="71"/>
      <c r="V132" s="71"/>
      <c r="W132" s="71"/>
      <c r="X132" s="71">
        <f>SUM(U132:W132)</f>
        <v>0</v>
      </c>
      <c r="Y132" s="71"/>
      <c r="Z132" s="71"/>
      <c r="AA132" s="71"/>
      <c r="AB132" s="71"/>
      <c r="AC132" s="71">
        <f>SUM(Z132:AB132)</f>
        <v>0</v>
      </c>
    </row>
    <row r="133" spans="4:15" ht="12.75">
      <c r="D133" s="75"/>
      <c r="E133" s="75"/>
      <c r="F133" s="75"/>
      <c r="G133" s="75"/>
      <c r="N133" s="75"/>
      <c r="O133" s="75"/>
    </row>
    <row r="134" spans="4:15" ht="12.75">
      <c r="D134" s="75"/>
      <c r="E134" s="75"/>
      <c r="F134" s="75"/>
      <c r="G134" s="75"/>
      <c r="N134" s="75"/>
      <c r="O134" s="75"/>
    </row>
    <row r="135" spans="4:15" ht="12.75">
      <c r="D135" s="75"/>
      <c r="E135" s="75"/>
      <c r="F135" s="75"/>
      <c r="G135" s="75"/>
      <c r="N135" s="75"/>
      <c r="O135" s="75"/>
    </row>
    <row r="136" spans="4:15" ht="12.75">
      <c r="D136" s="75"/>
      <c r="E136" s="75"/>
      <c r="F136" s="75"/>
      <c r="G136" s="75"/>
      <c r="N136" s="75"/>
      <c r="O136" s="75"/>
    </row>
    <row r="137" spans="4:15" ht="12.75">
      <c r="D137" s="75"/>
      <c r="E137" s="75"/>
      <c r="F137" s="75"/>
      <c r="G137" s="75"/>
      <c r="N137" s="75"/>
      <c r="O137" s="75"/>
    </row>
    <row r="138" spans="4:15" ht="12.75">
      <c r="D138" s="75"/>
      <c r="E138" s="75"/>
      <c r="F138" s="75"/>
      <c r="G138" s="75"/>
      <c r="N138" s="75"/>
      <c r="O138" s="75"/>
    </row>
    <row r="139" spans="4:15" ht="12.75">
      <c r="D139" s="75"/>
      <c r="E139" s="75"/>
      <c r="F139" s="75"/>
      <c r="G139" s="75"/>
      <c r="N139" s="75"/>
      <c r="O139" s="75"/>
    </row>
    <row r="140" spans="14:15" ht="12.75">
      <c r="N140" s="75"/>
      <c r="O140" s="75"/>
    </row>
    <row r="141" spans="14:15" ht="12.75">
      <c r="N141" s="75"/>
      <c r="O141" s="75"/>
    </row>
    <row r="142" spans="14:15" ht="12.75">
      <c r="N142" s="75"/>
      <c r="O142" s="75"/>
    </row>
    <row r="143" spans="14:15" ht="12.75">
      <c r="N143" s="75"/>
      <c r="O143" s="75"/>
    </row>
    <row r="144" spans="14:15" ht="12.75">
      <c r="N144" s="75"/>
      <c r="O144" s="75"/>
    </row>
    <row r="145" spans="14:15" ht="12.75">
      <c r="N145" s="75"/>
      <c r="O145" s="75"/>
    </row>
    <row r="146" spans="14:15" ht="12.75">
      <c r="N146" s="75"/>
      <c r="O146" s="75"/>
    </row>
    <row r="147" spans="14:15" ht="12.75">
      <c r="N147" s="75"/>
      <c r="O147" s="75"/>
    </row>
    <row r="148" spans="14:15" ht="12.75">
      <c r="N148" s="75"/>
      <c r="O148" s="75"/>
    </row>
    <row r="149" spans="14:15" ht="12.75">
      <c r="N149" s="75"/>
      <c r="O149" s="75"/>
    </row>
    <row r="150" spans="14:15" ht="12.75">
      <c r="N150" s="75"/>
      <c r="O150" s="75"/>
    </row>
    <row r="151" spans="14:15" ht="12.75">
      <c r="N151" s="75"/>
      <c r="O151" s="75"/>
    </row>
    <row r="152" spans="14:15" ht="12.75">
      <c r="N152" s="75"/>
      <c r="O152" s="75"/>
    </row>
    <row r="153" spans="14:15" ht="12.75">
      <c r="N153" s="75"/>
      <c r="O153" s="75"/>
    </row>
    <row r="154" spans="14:15" ht="12.75">
      <c r="N154" s="75"/>
      <c r="O154" s="75"/>
    </row>
    <row r="155" spans="14:15" ht="12.75">
      <c r="N155" s="75"/>
      <c r="O155" s="75"/>
    </row>
    <row r="156" spans="14:15" ht="12.75">
      <c r="N156" s="75"/>
      <c r="O156" s="75"/>
    </row>
    <row r="157" spans="14:15" ht="12.75">
      <c r="N157" s="75"/>
      <c r="O157" s="75"/>
    </row>
    <row r="158" spans="14:15" ht="12.75">
      <c r="N158" s="75"/>
      <c r="O158" s="75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2020-02-21T10:17:07Z</cp:lastPrinted>
  <dcterms:created xsi:type="dcterms:W3CDTF">2002-08-26T10:16:33Z</dcterms:created>
  <dcterms:modified xsi:type="dcterms:W3CDTF">2020-03-13T09:53:58Z</dcterms:modified>
  <cp:category/>
  <cp:version/>
  <cp:contentType/>
  <cp:contentStatus/>
</cp:coreProperties>
</file>