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400" windowHeight="8415" activeTab="0"/>
  </bookViews>
  <sheets>
    <sheet name="5. ZR" sheetId="1" r:id="rId1"/>
  </sheets>
  <definedNames>
    <definedName name="_xlnm.Print_Titles" localSheetId="0">'5. ZR'!$8:$9</definedName>
    <definedName name="_xlnm.Print_Area" localSheetId="0">'5. ZR'!$A$1:$Q$573</definedName>
    <definedName name="Z_39FD50E0_9911_4D32_8842_5A58F13D310F_.wvu.Cols" localSheetId="0" hidden="1">'5. ZR'!$D:$K,'5. ZR'!$N:$N,'5. ZR'!#REF!</definedName>
    <definedName name="Z_39FD50E0_9911_4D32_8842_5A58F13D310F_.wvu.PrintTitles" localSheetId="0" hidden="1">'5. ZR'!$8:$9</definedName>
    <definedName name="Z_39FD50E0_9911_4D32_8842_5A58F13D310F_.wvu.Rows" localSheetId="0" hidden="1">'5. ZR'!#REF!</definedName>
  </definedNames>
  <calcPr fullCalcOnLoad="1"/>
</workbook>
</file>

<file path=xl/sharedStrings.xml><?xml version="1.0" encoding="utf-8"?>
<sst xmlns="http://schemas.openxmlformats.org/spreadsheetml/2006/main" count="613" uniqueCount="384">
  <si>
    <t>NÁVRH NA ZMĚNU ROZPOČTU</t>
  </si>
  <si>
    <t>(v tis. Kč)</t>
  </si>
  <si>
    <t>UKAZATEL</t>
  </si>
  <si>
    <t>Schválený</t>
  </si>
  <si>
    <t>1. změna</t>
  </si>
  <si>
    <t xml:space="preserve">pozměňovací </t>
  </si>
  <si>
    <t xml:space="preserve">Rozpočet </t>
  </si>
  <si>
    <t>2. změna</t>
  </si>
  <si>
    <t>3. změna</t>
  </si>
  <si>
    <t>4. změna</t>
  </si>
  <si>
    <t>rozpočet</t>
  </si>
  <si>
    <t>rozpočtu</t>
  </si>
  <si>
    <t>návrhy</t>
  </si>
  <si>
    <t>po 1. změně</t>
  </si>
  <si>
    <t>po 2. změně</t>
  </si>
  <si>
    <t>po 3. změně</t>
  </si>
  <si>
    <t>po 4. změně</t>
  </si>
  <si>
    <t xml:space="preserve">PŘÍJMY    </t>
  </si>
  <si>
    <t>z toho:</t>
  </si>
  <si>
    <t>daň z příjmů právnických osob za kraje</t>
  </si>
  <si>
    <t xml:space="preserve">v tom: </t>
  </si>
  <si>
    <t>přijaté úroky</t>
  </si>
  <si>
    <t>odvody PO</t>
  </si>
  <si>
    <t xml:space="preserve">    v tom odvětví: školství</t>
  </si>
  <si>
    <t xml:space="preserve">                        zdravotnictví</t>
  </si>
  <si>
    <t>neinvestiční přijaté transfery</t>
  </si>
  <si>
    <t>v tom:</t>
  </si>
  <si>
    <t xml:space="preserve">  neinv.transf.ze SR v rámci souhrn.dot.vztahu</t>
  </si>
  <si>
    <t xml:space="preserve">  z VPS</t>
  </si>
  <si>
    <t xml:space="preserve">  z MŠMT</t>
  </si>
  <si>
    <t xml:space="preserve">  z MPSV</t>
  </si>
  <si>
    <t xml:space="preserve">  z MMR</t>
  </si>
  <si>
    <t xml:space="preserve">  z MK</t>
  </si>
  <si>
    <t xml:space="preserve">  z MZ</t>
  </si>
  <si>
    <t xml:space="preserve">  z MV</t>
  </si>
  <si>
    <t xml:space="preserve">  z Národního fondu</t>
  </si>
  <si>
    <t xml:space="preserve">  z Úřadu vlády</t>
  </si>
  <si>
    <t xml:space="preserve">  ze SÚJB</t>
  </si>
  <si>
    <t xml:space="preserve">  ze SFDI</t>
  </si>
  <si>
    <t xml:space="preserve">  ze zahraničí</t>
  </si>
  <si>
    <t xml:space="preserve">  od obcí</t>
  </si>
  <si>
    <t>investiční přijaté transfery</t>
  </si>
  <si>
    <t xml:space="preserve">  z MPO</t>
  </si>
  <si>
    <t xml:space="preserve">  z SFDI</t>
  </si>
  <si>
    <t xml:space="preserve">  z RRRS SV</t>
  </si>
  <si>
    <t xml:space="preserve">  z OSFA</t>
  </si>
  <si>
    <t>Příjmy celkem</t>
  </si>
  <si>
    <t>VÝDAJE</t>
  </si>
  <si>
    <t>kap. 18 - zastupitelstvo kraje</t>
  </si>
  <si>
    <t>běžné výdaje</t>
  </si>
  <si>
    <t>povinné pojistné placené zaměstnavatelem</t>
  </si>
  <si>
    <t>ostatní běžné výdaje</t>
  </si>
  <si>
    <t>ostatní příspěvky a dary</t>
  </si>
  <si>
    <t>kapitálové výdaje</t>
  </si>
  <si>
    <t>ostatní kapitálové výdaje</t>
  </si>
  <si>
    <t>krizové plánování</t>
  </si>
  <si>
    <t>pronájem a nákl.na detaš.pracoviště</t>
  </si>
  <si>
    <t>pronájem služeb a prostor v RC NP</t>
  </si>
  <si>
    <t>projekt koncepce prevence kriminality - SR</t>
  </si>
  <si>
    <t>volby do zastupitelstev obcí - SR</t>
  </si>
  <si>
    <t>volby do zastupitelstev krajů - SR</t>
  </si>
  <si>
    <t>výd.na krajs.koordinátora romských poradců - SR</t>
  </si>
  <si>
    <t>kap. 02 - životní prostředí a zemědělství</t>
  </si>
  <si>
    <t>neinvestiční transfery a.s.</t>
  </si>
  <si>
    <t>neinvestiční transfery obcím</t>
  </si>
  <si>
    <t xml:space="preserve">vodohosp.akce dle vodního zákona </t>
  </si>
  <si>
    <t xml:space="preserve">   z toho: neinvestiční transfery obcím</t>
  </si>
  <si>
    <t>investiční transfery obcím</t>
  </si>
  <si>
    <t xml:space="preserve">   z toho: investiční transfery obcím</t>
  </si>
  <si>
    <t>kap. 09 - volnočasové aktivity</t>
  </si>
  <si>
    <t>soutěže a přehlídky - SR</t>
  </si>
  <si>
    <t>kap. 10 - doprava</t>
  </si>
  <si>
    <t>příspěvky PO na provoz</t>
  </si>
  <si>
    <t>neinvestiční transfer s.r.o. OREDO</t>
  </si>
  <si>
    <t>obnova silničního majetku - SFDI - SR</t>
  </si>
  <si>
    <t xml:space="preserve">kofinancování a předfinancování </t>
  </si>
  <si>
    <t>kofinancování a předfinancování</t>
  </si>
  <si>
    <t>kap. 12 - správa majetku kraje</t>
  </si>
  <si>
    <t>soustředěné pojištění majetku kraje</t>
  </si>
  <si>
    <t>neinv.transfer Regionální radě regionu soudržnosti SV</t>
  </si>
  <si>
    <t>kap. 14 - školství</t>
  </si>
  <si>
    <t>preventivní programy - SR</t>
  </si>
  <si>
    <t>kompenzační pomůcky - SR</t>
  </si>
  <si>
    <t>investiční transfery PO</t>
  </si>
  <si>
    <t xml:space="preserve">investiční půjčené prostředky obcím   </t>
  </si>
  <si>
    <t>kap. 15 - zdravotnictví</t>
  </si>
  <si>
    <t>protidrogová politika-kont.místo na malém městě-SR</t>
  </si>
  <si>
    <t>kulturní aktivity - SR</t>
  </si>
  <si>
    <t>projekty v rámci VISK - SR</t>
  </si>
  <si>
    <t>kap. 28 - sociální věci</t>
  </si>
  <si>
    <t xml:space="preserve">příspěvky PO na provoz </t>
  </si>
  <si>
    <t>zařízení pro děti vyžadující okamžitou pomoc - SR</t>
  </si>
  <si>
    <t xml:space="preserve">kap. 40 - územní plánování </t>
  </si>
  <si>
    <t>kap. 41 - rezerva a ost.výd.netýk.se odvětví</t>
  </si>
  <si>
    <t>daň z příjmů právnických osob za kraj</t>
  </si>
  <si>
    <t>výdaje z finančního vypořádání</t>
  </si>
  <si>
    <t>kap. 50 - Fond rozvoje a reprodukce KHK</t>
  </si>
  <si>
    <t>v tom pro odvětví:</t>
  </si>
  <si>
    <t xml:space="preserve">zastupitelstvo kraje </t>
  </si>
  <si>
    <t xml:space="preserve">  v tom: kapitálové výdaje odvětví</t>
  </si>
  <si>
    <t xml:space="preserve">            nerozděleno</t>
  </si>
  <si>
    <t>doprava</t>
  </si>
  <si>
    <t xml:space="preserve">  v tom: PO - investiční transfery</t>
  </si>
  <si>
    <t xml:space="preserve">správa majetku kraje </t>
  </si>
  <si>
    <t xml:space="preserve">  v tom: běžné výdaje odvětví</t>
  </si>
  <si>
    <t>školství</t>
  </si>
  <si>
    <t xml:space="preserve">   v tom: PO - investiční transfery</t>
  </si>
  <si>
    <t xml:space="preserve">                  - neinvestiční transfery</t>
  </si>
  <si>
    <t xml:space="preserve">             kapitálové výdaje odvětví</t>
  </si>
  <si>
    <t>zdravotnictví</t>
  </si>
  <si>
    <t xml:space="preserve">   v tom: kapitálové výdaje odvětví</t>
  </si>
  <si>
    <t xml:space="preserve">             investiční transfery a.s.</t>
  </si>
  <si>
    <t xml:space="preserve">             neinvestiční transfery a.s.</t>
  </si>
  <si>
    <t xml:space="preserve">             běžné výdaje odvětví</t>
  </si>
  <si>
    <t>kultura</t>
  </si>
  <si>
    <t>sociální věci</t>
  </si>
  <si>
    <t xml:space="preserve">             kapitál.výdaje odvětví</t>
  </si>
  <si>
    <t>nerozděleno na odvětví</t>
  </si>
  <si>
    <t>kap. 20 - použití sociálního fondu - běž.výdaje</t>
  </si>
  <si>
    <t>Výdaje celkem</t>
  </si>
  <si>
    <t>konsolidace výdajů - příděl do soc.fondu</t>
  </si>
  <si>
    <t>Výdaje celkem po konsolidaci</t>
  </si>
  <si>
    <t>přijaté úvěry</t>
  </si>
  <si>
    <t>zapojení výsledku hospodaření</t>
  </si>
  <si>
    <t>neinvestiční dotace městu Trutnov na činnost muzea</t>
  </si>
  <si>
    <t>Příloha č. 1</t>
  </si>
  <si>
    <t>odměny vč. refundací a náhrad mezd v době nemoci</t>
  </si>
  <si>
    <t>platy zam.a ost.pl.za prov.práci vč.náhr.mezd v době nem.</t>
  </si>
  <si>
    <t>splátky úvěru</t>
  </si>
  <si>
    <t>podpora výuky cizích jazyků - SR</t>
  </si>
  <si>
    <t xml:space="preserve">  z MDO</t>
  </si>
  <si>
    <t>úhrada ztráty ve veřejné železniční os.dopravě - SR</t>
  </si>
  <si>
    <t>kap. 49 - Regionální inovační fond KHK</t>
  </si>
  <si>
    <t>krajský program prevence kriminality - SR</t>
  </si>
  <si>
    <t xml:space="preserve">neinvestiční půjčené prostředky </t>
  </si>
  <si>
    <t xml:space="preserve">                        doprava</t>
  </si>
  <si>
    <t xml:space="preserve">                        kultura</t>
  </si>
  <si>
    <t xml:space="preserve">                        soc.věci</t>
  </si>
  <si>
    <t>zapojení zůstatku sociálního fondu z min.let</t>
  </si>
  <si>
    <t>zajiš.podm.zákl.vzděl.nezlet.azyl.na území ČR - SR</t>
  </si>
  <si>
    <t>kontaktní centrum a terénní služby na malém městě-SR</t>
  </si>
  <si>
    <t xml:space="preserve">  z MŽP</t>
  </si>
  <si>
    <t xml:space="preserve">  z SFŽP</t>
  </si>
  <si>
    <t>investiční dotace Krajskému ředitelství policie KHK</t>
  </si>
  <si>
    <t>inkluz.vzděl.a vzděl.žáků se sociokult.znevýhodněním - SR</t>
  </si>
  <si>
    <t xml:space="preserve">  od krajů</t>
  </si>
  <si>
    <t>neinvestiční půjčené prostředky obcím</t>
  </si>
  <si>
    <t>5. změna</t>
  </si>
  <si>
    <t>po 5. změně</t>
  </si>
  <si>
    <t>refundace výdajů spojených s výkupy pozemků - SR</t>
  </si>
  <si>
    <t>dotace na sociální služby</t>
  </si>
  <si>
    <t xml:space="preserve">investiční transfery obcím </t>
  </si>
  <si>
    <t>excelence středních škol - SR</t>
  </si>
  <si>
    <t>kap. 21 - investice a evropské projekty</t>
  </si>
  <si>
    <t>kap. 48 - Dotační fond KHK</t>
  </si>
  <si>
    <t>kapitálové výdaje - doprava</t>
  </si>
  <si>
    <t>průmyslová zóna Vrchlabí</t>
  </si>
  <si>
    <t xml:space="preserve">kofinancování a předfinancování: </t>
  </si>
  <si>
    <t xml:space="preserve">rezerva - a. s. </t>
  </si>
  <si>
    <t>energetika</t>
  </si>
  <si>
    <t>EPC</t>
  </si>
  <si>
    <t>kapitál.výd. - energetika</t>
  </si>
  <si>
    <t>ÚZ</t>
  </si>
  <si>
    <t>podpora soc.znevýh.romských žáků SŠ a stud.VOŠ - SR</t>
  </si>
  <si>
    <t xml:space="preserve">             školství</t>
  </si>
  <si>
    <t xml:space="preserve">             evropská integrace - ostatní</t>
  </si>
  <si>
    <t>příspěvek PO na provoz - CIRI</t>
  </si>
  <si>
    <t xml:space="preserve">             kultura</t>
  </si>
  <si>
    <t>půjčené prostředky obcím na předfinancování</t>
  </si>
  <si>
    <t>ostatní kapitálové výdaje - cyklostezky</t>
  </si>
  <si>
    <t xml:space="preserve">             sociální věci</t>
  </si>
  <si>
    <t xml:space="preserve">             zdravotnictví</t>
  </si>
  <si>
    <t xml:space="preserve">            sport a tělovýchova</t>
  </si>
  <si>
    <t xml:space="preserve">            cestovní ruch</t>
  </si>
  <si>
    <t xml:space="preserve">            regionální rozvoj</t>
  </si>
  <si>
    <t xml:space="preserve">            program obnovy venkova</t>
  </si>
  <si>
    <t xml:space="preserve">rezerva </t>
  </si>
  <si>
    <t>zvýšení platů pracovníků region. školství - SR</t>
  </si>
  <si>
    <t>podpora školních psychologů a sp.pedagogů - SR</t>
  </si>
  <si>
    <t>podpora logopedické prevence v předš.vzděl. - SR</t>
  </si>
  <si>
    <t>Průmyslová zóna Kvasiny III.</t>
  </si>
  <si>
    <t xml:space="preserve"> </t>
  </si>
  <si>
    <t xml:space="preserve">  z Úřadu práce</t>
  </si>
  <si>
    <t>bezplatná výuka ČJ přizpůs.potřebám žáků-cizinců - SR</t>
  </si>
  <si>
    <t xml:space="preserve">investiční transfer - CIRI </t>
  </si>
  <si>
    <t>poskytovatelé sociálních služeb dle Z.108/2006 Sb. - SR</t>
  </si>
  <si>
    <t>společný program na výměnu kotlů v KHK</t>
  </si>
  <si>
    <t>neinvestiční transfery ZOO Dvůr Králové n. Labem, a.s.</t>
  </si>
  <si>
    <t xml:space="preserve">             správa majetku kraje</t>
  </si>
  <si>
    <t>rezerva PO</t>
  </si>
  <si>
    <t xml:space="preserve">            individuální dotace</t>
  </si>
  <si>
    <t>financování asistentů pedagoga - modul A - SR</t>
  </si>
  <si>
    <t>financování asistentů pedagoga - modul B - SR</t>
  </si>
  <si>
    <t>majetková účast v a.s. Zdravotnický holding</t>
  </si>
  <si>
    <t>33122  33163</t>
  </si>
  <si>
    <t>výstavba válečného hrobu obětí prusko-rakouské války-SR</t>
  </si>
  <si>
    <t>podpora odborného vzdělávání - SR</t>
  </si>
  <si>
    <t>Saldo příjmů a výdajů</t>
  </si>
  <si>
    <t xml:space="preserve">   v tom: CIRI, PO</t>
  </si>
  <si>
    <t>tř. 1 - Daňové příjmy</t>
  </si>
  <si>
    <t>tř. 2 - Nedaňové příjmy</t>
  </si>
  <si>
    <t>tř. 3 - Kapitálové příjmy</t>
  </si>
  <si>
    <t>tř. 4 - Přijaté dotace</t>
  </si>
  <si>
    <t>tř. 5 - Běžné výdaje</t>
  </si>
  <si>
    <t>tř. 6 - Kapitálové výdaje</t>
  </si>
  <si>
    <t>tř. 8 - Financování</t>
  </si>
  <si>
    <t>sdílené daně</t>
  </si>
  <si>
    <t>správní poplatky</t>
  </si>
  <si>
    <t>podpora navýšení kapacit ve šk.porad.zařízeních - SR</t>
  </si>
  <si>
    <t>Akce</t>
  </si>
  <si>
    <t xml:space="preserve">             doprava</t>
  </si>
  <si>
    <t>Modernizace a dostavba ON Náchod</t>
  </si>
  <si>
    <t>koncepce podpory mládeže na krajské úrovni - SR</t>
  </si>
  <si>
    <t>17017, 17018</t>
  </si>
  <si>
    <t xml:space="preserve">    v tom: rezerva investiční</t>
  </si>
  <si>
    <t>průmyslová zóna Kvasiny - SR</t>
  </si>
  <si>
    <t xml:space="preserve">            školství - vzdělávání </t>
  </si>
  <si>
    <t xml:space="preserve">            školství - prevence</t>
  </si>
  <si>
    <t>investiční transfery a.s.</t>
  </si>
  <si>
    <t>investiční transfery ZOO Dvůr Králové n. Labem, a.s.</t>
  </si>
  <si>
    <t xml:space="preserve">             org. 2077</t>
  </si>
  <si>
    <t>umoření leasingu RC NP - Immorent</t>
  </si>
  <si>
    <t>BILANCE PŘÍJMŮ A VÝDAJŮ KRÁLOVÉHRADECKÉHO KRAJE</t>
  </si>
  <si>
    <t xml:space="preserve">                        investice </t>
  </si>
  <si>
    <t>ostatní</t>
  </si>
  <si>
    <t xml:space="preserve">vodohospodářské akce </t>
  </si>
  <si>
    <t>pohoštění a dary</t>
  </si>
  <si>
    <t>individuální dotace Rady KHK</t>
  </si>
  <si>
    <t>finanční dary Rady KHK</t>
  </si>
  <si>
    <t xml:space="preserve">            životní prostředí a zemědělství</t>
  </si>
  <si>
    <t>krajský úřad</t>
  </si>
  <si>
    <t>kap. 19 - krajský úřad</t>
  </si>
  <si>
    <t>vzdělávací programy paměťových institucí do škol - SR</t>
  </si>
  <si>
    <t>protiradonová opatření - SR</t>
  </si>
  <si>
    <t>volba prezidenta ČR - SR</t>
  </si>
  <si>
    <t>volby do Senátu PČR - SR</t>
  </si>
  <si>
    <t>vratky návratných finančních výpomocí a půjček</t>
  </si>
  <si>
    <t>příjmy z pronájmu majetku</t>
  </si>
  <si>
    <t>příjmy z dividend</t>
  </si>
  <si>
    <t>podpora výuky plavání v ZŠ - SR</t>
  </si>
  <si>
    <t xml:space="preserve">kap. 13 - evropská integrace </t>
  </si>
  <si>
    <t>1101,2066,AU 54</t>
  </si>
  <si>
    <t>OP Z projekty PO - SR</t>
  </si>
  <si>
    <t>IP Přeshraniční spolupráce zdravotn. oborů - SR</t>
  </si>
  <si>
    <t>17051, 95113</t>
  </si>
  <si>
    <t>17988, 95823</t>
  </si>
  <si>
    <t xml:space="preserve">             krajský úřad</t>
  </si>
  <si>
    <t xml:space="preserve">            kultura a památková péče</t>
  </si>
  <si>
    <t>částeční vyrovnání mezikr.rozdílů v odměňování ped.pracovníků-SR</t>
  </si>
  <si>
    <t>OP VVV - projekty PO - SR</t>
  </si>
  <si>
    <t>modernizace VOŠ a SPŠ Rychnov n.K. - II. etapa - SR</t>
  </si>
  <si>
    <t>řešení mimoř.událostí a kriz.situací ZZS KHK - SR</t>
  </si>
  <si>
    <t>podpora mládeže na krajské úrovni - SR</t>
  </si>
  <si>
    <t>kap. 17 - analýzy a podpora řízení</t>
  </si>
  <si>
    <t xml:space="preserve">             org. 2088</t>
  </si>
  <si>
    <t xml:space="preserve">             org. 2099</t>
  </si>
  <si>
    <t xml:space="preserve">          sport a tělovýchova</t>
  </si>
  <si>
    <t xml:space="preserve">          životní prostředí a zemědělství</t>
  </si>
  <si>
    <t xml:space="preserve">          individuální dotace</t>
  </si>
  <si>
    <t>dotace na činnost - přímé náklady na vzdělávání - SR</t>
  </si>
  <si>
    <t xml:space="preserve">                           - soukromé školství - SR</t>
  </si>
  <si>
    <t>Digitální planetárium - zásobník na chlad, PD kotelny</t>
  </si>
  <si>
    <t>průmyslová zóna Solnice - Kvasiny III.</t>
  </si>
  <si>
    <t xml:space="preserve">poplatky za odebr. množství podzemní vody </t>
  </si>
  <si>
    <t>investiční transfery obcím a DSO</t>
  </si>
  <si>
    <t xml:space="preserve">OP Z - Rozvoj KHK-chytře, efektivně, s prosperitou - SR </t>
  </si>
  <si>
    <t>zlepšení přeshraniční dostupnosti ČR - PL - SR</t>
  </si>
  <si>
    <t>Rozšíření strateg.prům.zóny Solnice-Kvasiny - SFDI - SR</t>
  </si>
  <si>
    <t xml:space="preserve">Krajský akční plán vzdělávání v KHK - SR </t>
  </si>
  <si>
    <t xml:space="preserve">Snížení emisí z lokál.vytápění domácností v KHK III. - SR </t>
  </si>
  <si>
    <t>OP Z - Do praxe bez bariér - SR</t>
  </si>
  <si>
    <t xml:space="preserve">          program obnovy venkova</t>
  </si>
  <si>
    <t xml:space="preserve">          kultura a památková péče</t>
  </si>
  <si>
    <t>dopravní obslužnost:</t>
  </si>
  <si>
    <t>v tom: linková</t>
  </si>
  <si>
    <t xml:space="preserve">         drážní </t>
  </si>
  <si>
    <t>přechod na DBV T</t>
  </si>
  <si>
    <t xml:space="preserve">          regionální rozvoj</t>
  </si>
  <si>
    <t>projekty PO - SR</t>
  </si>
  <si>
    <t>projekt Jak zachraňujete u vás - pro ZZS KHK - SR</t>
  </si>
  <si>
    <t>výdaje spojené s pandemií koronaviru</t>
  </si>
  <si>
    <t xml:space="preserve">             životní prostředí</t>
  </si>
  <si>
    <t>OP Z - Predikce trhu práce - Kompas - SR</t>
  </si>
  <si>
    <t>řešení krizových situací - SR</t>
  </si>
  <si>
    <t xml:space="preserve">ostatní běžné výdaje </t>
  </si>
  <si>
    <t>kap. 16 - kultura a cestovní ruch</t>
  </si>
  <si>
    <t xml:space="preserve">kap. 39 - regionální rozvoj </t>
  </si>
  <si>
    <t xml:space="preserve">             regionální rozvoj </t>
  </si>
  <si>
    <t xml:space="preserve">             kultura </t>
  </si>
  <si>
    <t>financování silnic II. a III. tř. - SFDI - SR</t>
  </si>
  <si>
    <t>náhrady za nařízený výkon studentů v soc.sl. v době nouz.stavu-SR</t>
  </si>
  <si>
    <t>NA ROK 2022</t>
  </si>
  <si>
    <t>kap. 04 - informatika</t>
  </si>
  <si>
    <t xml:space="preserve">            volný čas</t>
  </si>
  <si>
    <t xml:space="preserve">          volný čas</t>
  </si>
  <si>
    <t>ostatní nedaňové příjmy</t>
  </si>
  <si>
    <t>informatika</t>
  </si>
  <si>
    <t>IP Přeshraniční spolupráce technických oborů - SR</t>
  </si>
  <si>
    <t xml:space="preserve">OP Z Služby soc.prevence v KHK V - SR  </t>
  </si>
  <si>
    <t>OP VVV - Smart Akcelerátor II. - SR 2021</t>
  </si>
  <si>
    <t>OP Z - Predikce trhu práce - Kompas - SR 2021</t>
  </si>
  <si>
    <t>Snížení emisí z lokál.vytápění domácností v KHK II - SR 2021</t>
  </si>
  <si>
    <t>Snížení emisí z lokál.vytápění domácností v KHK III. - SR 2021</t>
  </si>
  <si>
    <t xml:space="preserve">potravinová pomoc dětem v KHK V - obědy do škol - SR </t>
  </si>
  <si>
    <t>potravinová pomoc dětem v KHK IV - obědy do škol - SR 2021</t>
  </si>
  <si>
    <t>OP Z - Do praxe bez bariér - SR 2021</t>
  </si>
  <si>
    <t xml:space="preserve">potravinová pomoc dětem v KHK V - obědy do škol - SR 2021 </t>
  </si>
  <si>
    <t>TP Interreg V-A ČR-Polsko - SR 2021</t>
  </si>
  <si>
    <t>Nová zelená úsporám - AMO - SR 2021</t>
  </si>
  <si>
    <t>Krajský akční plán vzdělávání v KHK - SR 2021</t>
  </si>
  <si>
    <t>IKAP rozvoje vzdělávání v KHK II - SR 2021</t>
  </si>
  <si>
    <t>OP Z Rozvoj dostup.a kvality soc.sl.v KHK VII - SR 2021</t>
  </si>
  <si>
    <t>OP Z Služby soc.prevence v KHK V - SR  2021</t>
  </si>
  <si>
    <t>OP Z Služby soc.prevence v KHK VI - SR  2021</t>
  </si>
  <si>
    <t>OP Z Rozvoj reg.partnerství v soc.oblasti v KHK II - SR 2021</t>
  </si>
  <si>
    <t>OP Z Komunitní služby - SR 2021</t>
  </si>
  <si>
    <t xml:space="preserve">mzd.nákl.-prac.povin.studentů-epidemie Covid-19 - SR </t>
  </si>
  <si>
    <t>nástroje pro oživení a odolnost - doučování žáků - SR</t>
  </si>
  <si>
    <t>OPZ - Rozvoj systému hospodaření s energií v KHK - SR 2021</t>
  </si>
  <si>
    <t xml:space="preserve">             informatika</t>
  </si>
  <si>
    <t xml:space="preserve">          školství - vzdělávání </t>
  </si>
  <si>
    <t xml:space="preserve">OP Z Rozvoj reg.partnerství v soc.oblasti v KHK II - SR </t>
  </si>
  <si>
    <t>řešení krizových a havarijních situací</t>
  </si>
  <si>
    <t>CEP a.s. HK - příplatek mimo základní kapitál</t>
  </si>
  <si>
    <t xml:space="preserve">             rezerva odvětví</t>
  </si>
  <si>
    <t xml:space="preserve">              PO - investiční transfery</t>
  </si>
  <si>
    <t xml:space="preserve">                    - neinvestiční transfery</t>
  </si>
  <si>
    <t xml:space="preserve">               rezerva neinvestiční a poplatky</t>
  </si>
  <si>
    <t>učební pomůcky pro MŠ - rozvoj informativního myšlení - SR</t>
  </si>
  <si>
    <t>prevence digi propasti - pořízení digit.techn. pro znev.žáky-SR</t>
  </si>
  <si>
    <t>zajištění testování dětí, žáků a studentů ve školách - SR</t>
  </si>
  <si>
    <t>2. technická pomoc pro KHK - SR</t>
  </si>
  <si>
    <t>podpora služeb s nadreg.a celostátní působností - SR</t>
  </si>
  <si>
    <t>regionální stálá konference III. - SR</t>
  </si>
  <si>
    <t>Interreg VA ČR-PL - Kompetence 4.0. - SR</t>
  </si>
  <si>
    <t>výkon sociální práce 2022</t>
  </si>
  <si>
    <t xml:space="preserve">OP Z Služby soc.prevence v KHK VI - SR  </t>
  </si>
  <si>
    <t>učební pomůcky pro ZŠ a Gymnázia  - rozvoj informat. myšlení - SR</t>
  </si>
  <si>
    <t xml:space="preserve">OP Z Rozvoj dostup.a kvality soc.sl.v KHK VII - SR </t>
  </si>
  <si>
    <t xml:space="preserve">Nová zelená úsporám - AMO - SR </t>
  </si>
  <si>
    <t xml:space="preserve">Krajský akční plán vzdělávání v KHK II - SR </t>
  </si>
  <si>
    <t>příprava a realizace obnovitelných zdrojů energie</t>
  </si>
  <si>
    <t>Výměna kotlů pro nízkopříjmové domácnosti v KHK - SR</t>
  </si>
  <si>
    <t>OPZ - Agentura pro sociální začleňování jako inovační aktér - SR</t>
  </si>
  <si>
    <t xml:space="preserve">OPZ - Rozvoj systému hospodaření s energií v KHK - SR </t>
  </si>
  <si>
    <t>standardizované veřejné služby muzeí a galerií - SR</t>
  </si>
  <si>
    <t>podpora vých.vzdělávacích aktivit v muzejnictví - SR</t>
  </si>
  <si>
    <t xml:space="preserve">IKAP rozvoje vzdělávání v KHK II - SR </t>
  </si>
  <si>
    <t>jednotný inform.systém v let.záchr.službě - pro ZZS KHK - SR</t>
  </si>
  <si>
    <t xml:space="preserve">  z MZE</t>
  </si>
  <si>
    <t>obnova a zajištění lesních porostů - ČLA Trutnov - SR</t>
  </si>
  <si>
    <t>podpora expozičních a výstavních projektů - SR</t>
  </si>
  <si>
    <t xml:space="preserve">ostatní kapitálové výdaje </t>
  </si>
  <si>
    <t>1707x</t>
  </si>
  <si>
    <t>regionální stálá konference IV. - SR</t>
  </si>
  <si>
    <t>volby do 1/3 Senátu Parlam. ČR a do zastup. obcí - SR</t>
  </si>
  <si>
    <t xml:space="preserve">  z MF</t>
  </si>
  <si>
    <t>Komunitní zahrada kapucínského káštera v Opočně - SR</t>
  </si>
  <si>
    <t xml:space="preserve">OP Z Komunitní služby - SR </t>
  </si>
  <si>
    <t xml:space="preserve">OP VVV - Smart Akcelerátor II. - SR </t>
  </si>
  <si>
    <t>podpora vzděl.aktivit národnostních menšin 2022</t>
  </si>
  <si>
    <t xml:space="preserve">  z grantové agentury Dům zahraniční spolupráce</t>
  </si>
  <si>
    <t>Erasmus+ Královéhradecký kraj - dva roky vzdělávání</t>
  </si>
  <si>
    <t>bez ÚZ</t>
  </si>
  <si>
    <t>IP Posilování kompet.ped.prac.a škol.ped.poraden. - SR</t>
  </si>
  <si>
    <t>12002, 95032</t>
  </si>
  <si>
    <t>OP JAK - Šablony I - Zlepšení kvality vzdělávání - SR</t>
  </si>
  <si>
    <t>podpora projektů kreativního učení - SR</t>
  </si>
  <si>
    <t>Snížení emisí z lokál.vytápění domácností v KHK IV. - SR 2021</t>
  </si>
  <si>
    <t>integrovaný systém ochrany mov.kult.dědictví II - SR</t>
  </si>
  <si>
    <t xml:space="preserve">OP Z Služby soc.prevence v KHK VII - SR  </t>
  </si>
  <si>
    <t>národní program podpory CR v regionech - SR</t>
  </si>
  <si>
    <t>jazykové kurzy pro děti cizince migrující z Ukrajiny - SR</t>
  </si>
  <si>
    <t>nástroje pro oživení a odolnost - podpora soc.znevýh.žáků  - SR</t>
  </si>
  <si>
    <t>OP Z+ Podpora procesů reformy péče o duševní zdraví - SR</t>
  </si>
  <si>
    <t>OP Z+ Rozvoj kompetencí soc.služeb v KHK - SR</t>
  </si>
  <si>
    <t>OP Z+ Žijeme v komunitě fáze 1 - SR</t>
  </si>
  <si>
    <t>OP Z+ Žijeme v komunitě fáze 2 - SR</t>
  </si>
  <si>
    <t xml:space="preserve">OP Z+ Rozvoj reg.partnerství v soc.oblasti v KHK III - SR </t>
  </si>
  <si>
    <t>národní plán obnovy - vzdělávací aktivity - SR</t>
  </si>
  <si>
    <t>sociální část center duševního zdraví - SR</t>
  </si>
  <si>
    <t>národní program - Centra odborné přípravy</t>
  </si>
  <si>
    <t>zajištění zázemí provozu a činnosti KACPU - SR</t>
  </si>
  <si>
    <t>14037;8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</si>
</sst>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#,##0.0\ _K_č"/>
    <numFmt numFmtId="168" formatCode="#,##0.0_ ;\-#,##0.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  <numFmt numFmtId="174" formatCode="#,##0.0;[Red]#,##0.0"/>
    <numFmt numFmtId="175" formatCode="#,##0.0_ ;[Red]\-#,##0.0\ "/>
    <numFmt numFmtId="176" formatCode="#,##0.00_ ;\-#,##0.00\ "/>
    <numFmt numFmtId="177" formatCode="#,##0.000"/>
    <numFmt numFmtId="178" formatCode="#,##0.000_ ;\-#,##0.000\ 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sz val="11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u val="single"/>
      <sz val="10"/>
      <name val="Arial CE"/>
      <family val="0"/>
    </font>
    <font>
      <u val="single"/>
      <sz val="9"/>
      <name val="Arial CE"/>
      <family val="0"/>
    </font>
    <font>
      <sz val="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/>
    </border>
  </borders>
  <cellStyleXfs count="63">
    <xf numFmtId="3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" fontId="37" fillId="0" borderId="0" applyNumberFormat="0" applyFill="0" applyBorder="0" applyAlignment="0" applyProtection="0"/>
    <xf numFmtId="0" fontId="38" fillId="20" borderId="2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3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53">
    <xf numFmtId="3" fontId="0" fillId="0" borderId="0" xfId="0" applyAlignment="1">
      <alignment/>
    </xf>
    <xf numFmtId="167" fontId="0" fillId="0" borderId="0" xfId="38" applyNumberFormat="1" applyFont="1" applyAlignment="1">
      <alignment/>
    </xf>
    <xf numFmtId="3" fontId="0" fillId="0" borderId="0" xfId="0" applyAlignment="1">
      <alignment horizontal="right"/>
    </xf>
    <xf numFmtId="3" fontId="2" fillId="0" borderId="0" xfId="0" applyFon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4" fillId="0" borderId="10" xfId="38" applyNumberFormat="1" applyFont="1" applyBorder="1" applyAlignment="1">
      <alignment horizontal="center"/>
    </xf>
    <xf numFmtId="167" fontId="4" fillId="0" borderId="11" xfId="38" applyNumberFormat="1" applyFont="1" applyBorder="1" applyAlignment="1">
      <alignment horizontal="center"/>
    </xf>
    <xf numFmtId="167" fontId="4" fillId="0" borderId="12" xfId="38" applyNumberFormat="1" applyFont="1" applyBorder="1" applyAlignment="1">
      <alignment horizontal="center"/>
    </xf>
    <xf numFmtId="167" fontId="4" fillId="0" borderId="13" xfId="38" applyNumberFormat="1" applyFont="1" applyBorder="1" applyAlignment="1">
      <alignment horizontal="center"/>
    </xf>
    <xf numFmtId="167" fontId="4" fillId="0" borderId="14" xfId="38" applyNumberFormat="1" applyFont="1" applyBorder="1" applyAlignment="1">
      <alignment horizontal="center"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5" xfId="0" applyFont="1" applyBorder="1" applyAlignment="1">
      <alignment/>
    </xf>
    <xf numFmtId="3" fontId="0" fillId="0" borderId="15" xfId="0" applyBorder="1" applyAlignment="1">
      <alignment/>
    </xf>
    <xf numFmtId="3" fontId="4" fillId="0" borderId="15" xfId="0" applyFont="1" applyBorder="1" applyAlignment="1">
      <alignment/>
    </xf>
    <xf numFmtId="3" fontId="5" fillId="0" borderId="15" xfId="0" applyFont="1" applyBorder="1" applyAlignment="1">
      <alignment/>
    </xf>
    <xf numFmtId="3" fontId="0" fillId="0" borderId="16" xfId="0" applyBorder="1" applyAlignment="1">
      <alignment/>
    </xf>
    <xf numFmtId="3" fontId="0" fillId="0" borderId="15" xfId="0" applyFont="1" applyBorder="1" applyAlignment="1">
      <alignment/>
    </xf>
    <xf numFmtId="3" fontId="2" fillId="0" borderId="17" xfId="0" applyFont="1" applyBorder="1" applyAlignment="1">
      <alignment vertical="center"/>
    </xf>
    <xf numFmtId="3" fontId="6" fillId="0" borderId="15" xfId="0" applyFont="1" applyBorder="1" applyAlignment="1">
      <alignment/>
    </xf>
    <xf numFmtId="3" fontId="6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7" fillId="0" borderId="15" xfId="0" applyFont="1" applyBorder="1" applyAlignment="1">
      <alignment/>
    </xf>
    <xf numFmtId="3" fontId="0" fillId="0" borderId="16" xfId="0" applyFont="1" applyBorder="1" applyAlignment="1">
      <alignment/>
    </xf>
    <xf numFmtId="3" fontId="4" fillId="0" borderId="15" xfId="0" applyFont="1" applyFill="1" applyBorder="1" applyAlignment="1">
      <alignment/>
    </xf>
    <xf numFmtId="3" fontId="4" fillId="0" borderId="17" xfId="0" applyFont="1" applyBorder="1" applyAlignment="1">
      <alignment/>
    </xf>
    <xf numFmtId="3" fontId="3" fillId="0" borderId="18" xfId="0" applyFont="1" applyBorder="1" applyAlignment="1">
      <alignment vertical="center"/>
    </xf>
    <xf numFmtId="3" fontId="4" fillId="0" borderId="18" xfId="0" applyFont="1" applyBorder="1" applyAlignment="1">
      <alignment vertical="center"/>
    </xf>
    <xf numFmtId="3" fontId="2" fillId="0" borderId="18" xfId="0" applyFont="1" applyBorder="1" applyAlignment="1">
      <alignment vertical="center"/>
    </xf>
    <xf numFmtId="3" fontId="2" fillId="0" borderId="19" xfId="0" applyFont="1" applyBorder="1" applyAlignment="1">
      <alignment vertical="center"/>
    </xf>
    <xf numFmtId="3" fontId="2" fillId="0" borderId="15" xfId="0" applyFont="1" applyBorder="1" applyAlignment="1">
      <alignment vertical="center"/>
    </xf>
    <xf numFmtId="3" fontId="0" fillId="0" borderId="15" xfId="0" applyFont="1" applyBorder="1" applyAlignment="1">
      <alignment vertical="center"/>
    </xf>
    <xf numFmtId="3" fontId="0" fillId="0" borderId="15" xfId="0" applyBorder="1" applyAlignment="1">
      <alignment vertical="center"/>
    </xf>
    <xf numFmtId="3" fontId="7" fillId="0" borderId="15" xfId="0" applyFont="1" applyBorder="1" applyAlignment="1">
      <alignment/>
    </xf>
    <xf numFmtId="3" fontId="4" fillId="0" borderId="15" xfId="0" applyFont="1" applyBorder="1" applyAlignment="1">
      <alignment horizontal="left" vertical="center"/>
    </xf>
    <xf numFmtId="167" fontId="4" fillId="0" borderId="20" xfId="38" applyNumberFormat="1" applyFont="1" applyBorder="1" applyAlignment="1">
      <alignment horizontal="center"/>
    </xf>
    <xf numFmtId="167" fontId="4" fillId="0" borderId="21" xfId="38" applyNumberFormat="1" applyFont="1" applyBorder="1" applyAlignment="1">
      <alignment horizontal="center"/>
    </xf>
    <xf numFmtId="167" fontId="4" fillId="0" borderId="22" xfId="38" applyNumberFormat="1" applyFont="1" applyBorder="1" applyAlignment="1">
      <alignment horizontal="center"/>
    </xf>
    <xf numFmtId="3" fontId="53" fillId="0" borderId="0" xfId="0" applyFont="1" applyAlignment="1">
      <alignment/>
    </xf>
    <xf numFmtId="169" fontId="0" fillId="0" borderId="0" xfId="0" applyNumberFormat="1" applyAlignment="1">
      <alignment/>
    </xf>
    <xf numFmtId="3" fontId="0" fillId="0" borderId="17" xfId="0" applyBorder="1" applyAlignment="1">
      <alignment vertical="center"/>
    </xf>
    <xf numFmtId="3" fontId="54" fillId="0" borderId="0" xfId="0" applyFont="1" applyAlignment="1">
      <alignment/>
    </xf>
    <xf numFmtId="3" fontId="7" fillId="0" borderId="23" xfId="0" applyFont="1" applyBorder="1" applyAlignment="1">
      <alignment/>
    </xf>
    <xf numFmtId="167" fontId="4" fillId="0" borderId="24" xfId="38" applyNumberFormat="1" applyFont="1" applyBorder="1" applyAlignment="1">
      <alignment horizontal="center"/>
    </xf>
    <xf numFmtId="167" fontId="4" fillId="0" borderId="25" xfId="38" applyNumberFormat="1" applyFont="1" applyBorder="1" applyAlignment="1">
      <alignment horizontal="center"/>
    </xf>
    <xf numFmtId="3" fontId="4" fillId="0" borderId="26" xfId="0" applyFont="1" applyBorder="1" applyAlignment="1">
      <alignment horizontal="center" vertical="center"/>
    </xf>
    <xf numFmtId="3" fontId="4" fillId="0" borderId="23" xfId="0" applyFont="1" applyBorder="1" applyAlignment="1">
      <alignment horizontal="left" vertical="center"/>
    </xf>
    <xf numFmtId="3" fontId="4" fillId="0" borderId="23" xfId="0" applyFont="1" applyBorder="1" applyAlignment="1">
      <alignment/>
    </xf>
    <xf numFmtId="3" fontId="5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0" fillId="0" borderId="23" xfId="0" applyBorder="1" applyAlignment="1">
      <alignment/>
    </xf>
    <xf numFmtId="3" fontId="4" fillId="0" borderId="23" xfId="0" applyFont="1" applyBorder="1" applyAlignment="1">
      <alignment/>
    </xf>
    <xf numFmtId="3" fontId="5" fillId="0" borderId="23" xfId="0" applyFont="1" applyBorder="1" applyAlignment="1">
      <alignment/>
    </xf>
    <xf numFmtId="3" fontId="0" fillId="0" borderId="23" xfId="0" applyFont="1" applyBorder="1" applyAlignment="1">
      <alignment/>
    </xf>
    <xf numFmtId="3" fontId="2" fillId="0" borderId="27" xfId="0" applyFont="1" applyBorder="1" applyAlignment="1">
      <alignment vertical="center"/>
    </xf>
    <xf numFmtId="3" fontId="7" fillId="0" borderId="23" xfId="0" applyFont="1" applyBorder="1" applyAlignment="1">
      <alignment horizontal="center"/>
    </xf>
    <xf numFmtId="3" fontId="0" fillId="0" borderId="15" xfId="0" applyFont="1" applyBorder="1" applyAlignment="1">
      <alignment/>
    </xf>
    <xf numFmtId="3" fontId="9" fillId="0" borderId="23" xfId="0" applyFont="1" applyBorder="1" applyAlignment="1">
      <alignment/>
    </xf>
    <xf numFmtId="3" fontId="7" fillId="0" borderId="28" xfId="0" applyFont="1" applyBorder="1" applyAlignment="1">
      <alignment horizontal="center"/>
    </xf>
    <xf numFmtId="3" fontId="9" fillId="0" borderId="23" xfId="0" applyFont="1" applyBorder="1" applyAlignment="1">
      <alignment horizontal="center"/>
    </xf>
    <xf numFmtId="3" fontId="9" fillId="0" borderId="23" xfId="0" applyFont="1" applyFill="1" applyBorder="1" applyAlignment="1">
      <alignment horizontal="center"/>
    </xf>
    <xf numFmtId="3" fontId="7" fillId="0" borderId="23" xfId="0" applyFont="1" applyFill="1" applyBorder="1" applyAlignment="1">
      <alignment horizontal="center"/>
    </xf>
    <xf numFmtId="3" fontId="9" fillId="0" borderId="18" xfId="0" applyFont="1" applyBorder="1" applyAlignment="1">
      <alignment horizontal="center" vertical="center"/>
    </xf>
    <xf numFmtId="3" fontId="9" fillId="0" borderId="19" xfId="0" applyFont="1" applyBorder="1" applyAlignment="1">
      <alignment horizontal="center" vertical="center"/>
    </xf>
    <xf numFmtId="3" fontId="9" fillId="0" borderId="15" xfId="0" applyFont="1" applyBorder="1" applyAlignment="1">
      <alignment horizontal="center" vertical="center"/>
    </xf>
    <xf numFmtId="3" fontId="9" fillId="0" borderId="17" xfId="0" applyFont="1" applyBorder="1" applyAlignment="1">
      <alignment horizontal="center" vertical="center"/>
    </xf>
    <xf numFmtId="3" fontId="7" fillId="0" borderId="15" xfId="0" applyFont="1" applyBorder="1" applyAlignment="1">
      <alignment horizontal="center" vertical="center"/>
    </xf>
    <xf numFmtId="3" fontId="7" fillId="0" borderId="27" xfId="0" applyFont="1" applyBorder="1" applyAlignment="1">
      <alignment horizontal="center" vertical="center"/>
    </xf>
    <xf numFmtId="3" fontId="7" fillId="0" borderId="0" xfId="0" applyFont="1" applyAlignment="1">
      <alignment/>
    </xf>
    <xf numFmtId="176" fontId="4" fillId="0" borderId="14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0" fillId="0" borderId="10" xfId="38" applyNumberFormat="1" applyFont="1" applyBorder="1" applyAlignment="1">
      <alignment/>
    </xf>
    <xf numFmtId="176" fontId="0" fillId="0" borderId="14" xfId="38" applyNumberFormat="1" applyFont="1" applyBorder="1" applyAlignment="1">
      <alignment/>
    </xf>
    <xf numFmtId="176" fontId="4" fillId="0" borderId="14" xfId="38" applyNumberFormat="1" applyFont="1" applyBorder="1" applyAlignment="1">
      <alignment/>
    </xf>
    <xf numFmtId="176" fontId="4" fillId="0" borderId="10" xfId="38" applyNumberFormat="1" applyFont="1" applyBorder="1" applyAlignment="1">
      <alignment/>
    </xf>
    <xf numFmtId="176" fontId="2" fillId="0" borderId="20" xfId="38" applyNumberFormat="1" applyFont="1" applyBorder="1" applyAlignment="1">
      <alignment vertical="center"/>
    </xf>
    <xf numFmtId="176" fontId="2" fillId="0" borderId="21" xfId="38" applyNumberFormat="1" applyFont="1" applyBorder="1" applyAlignment="1">
      <alignment vertical="center"/>
    </xf>
    <xf numFmtId="176" fontId="6" fillId="0" borderId="14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29" xfId="38" applyNumberFormat="1" applyFont="1" applyBorder="1" applyAlignment="1">
      <alignment/>
    </xf>
    <xf numFmtId="176" fontId="6" fillId="0" borderId="14" xfId="38" applyNumberFormat="1" applyFont="1" applyBorder="1" applyAlignment="1">
      <alignment/>
    </xf>
    <xf numFmtId="176" fontId="6" fillId="0" borderId="10" xfId="38" applyNumberFormat="1" applyFont="1" applyBorder="1" applyAlignment="1">
      <alignment/>
    </xf>
    <xf numFmtId="176" fontId="0" fillId="0" borderId="10" xfId="38" applyNumberFormat="1" applyFont="1" applyFill="1" applyBorder="1" applyAlignment="1">
      <alignment/>
    </xf>
    <xf numFmtId="176" fontId="0" fillId="0" borderId="0" xfId="0" applyNumberFormat="1" applyAlignment="1">
      <alignment/>
    </xf>
    <xf numFmtId="176" fontId="3" fillId="0" borderId="30" xfId="38" applyNumberFormat="1" applyFont="1" applyBorder="1" applyAlignment="1">
      <alignment vertical="center"/>
    </xf>
    <xf numFmtId="176" fontId="3" fillId="0" borderId="12" xfId="38" applyNumberFormat="1" applyFont="1" applyBorder="1" applyAlignment="1">
      <alignment vertical="center"/>
    </xf>
    <xf numFmtId="176" fontId="2" fillId="0" borderId="10" xfId="38" applyNumberFormat="1" applyFont="1" applyBorder="1" applyAlignment="1">
      <alignment vertical="center"/>
    </xf>
    <xf numFmtId="176" fontId="6" fillId="0" borderId="10" xfId="38" applyNumberFormat="1" applyFont="1" applyFill="1" applyBorder="1" applyAlignment="1">
      <alignment/>
    </xf>
    <xf numFmtId="176" fontId="0" fillId="0" borderId="10" xfId="38" applyNumberFormat="1" applyFont="1" applyFill="1" applyBorder="1" applyAlignment="1">
      <alignment/>
    </xf>
    <xf numFmtId="167" fontId="53" fillId="0" borderId="0" xfId="0" applyNumberFormat="1" applyFont="1" applyAlignment="1">
      <alignment horizontal="center" vertical="center"/>
    </xf>
    <xf numFmtId="176" fontId="0" fillId="0" borderId="23" xfId="38" applyNumberFormat="1" applyFont="1" applyBorder="1" applyAlignment="1">
      <alignment/>
    </xf>
    <xf numFmtId="4" fontId="0" fillId="0" borderId="0" xfId="0" applyNumberFormat="1" applyAlignment="1">
      <alignment/>
    </xf>
    <xf numFmtId="176" fontId="4" fillId="0" borderId="0" xfId="38" applyNumberFormat="1" applyFont="1" applyBorder="1" applyAlignment="1">
      <alignment/>
    </xf>
    <xf numFmtId="3" fontId="0" fillId="0" borderId="15" xfId="0" applyFont="1" applyFill="1" applyBorder="1" applyAlignment="1">
      <alignment/>
    </xf>
    <xf numFmtId="3" fontId="4" fillId="0" borderId="27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/>
    </xf>
    <xf numFmtId="176" fontId="0" fillId="0" borderId="10" xfId="38" applyNumberFormat="1" applyFont="1" applyBorder="1" applyAlignment="1">
      <alignment vertical="center"/>
    </xf>
    <xf numFmtId="176" fontId="0" fillId="0" borderId="21" xfId="38" applyNumberFormat="1" applyFont="1" applyBorder="1" applyAlignment="1">
      <alignment vertical="center"/>
    </xf>
    <xf numFmtId="176" fontId="3" fillId="0" borderId="23" xfId="38" applyNumberFormat="1" applyFont="1" applyBorder="1" applyAlignment="1">
      <alignment vertical="center"/>
    </xf>
    <xf numFmtId="176" fontId="3" fillId="0" borderId="27" xfId="38" applyNumberFormat="1" applyFont="1" applyBorder="1" applyAlignment="1">
      <alignment vertical="center"/>
    </xf>
    <xf numFmtId="176" fontId="4" fillId="0" borderId="27" xfId="38" applyNumberFormat="1" applyFont="1" applyBorder="1" applyAlignment="1">
      <alignment vertical="center"/>
    </xf>
    <xf numFmtId="167" fontId="4" fillId="0" borderId="31" xfId="38" applyNumberFormat="1" applyFont="1" applyBorder="1" applyAlignment="1">
      <alignment horizontal="center"/>
    </xf>
    <xf numFmtId="167" fontId="4" fillId="0" borderId="32" xfId="38" applyNumberFormat="1" applyFont="1" applyBorder="1" applyAlignment="1">
      <alignment horizontal="center"/>
    </xf>
    <xf numFmtId="167" fontId="4" fillId="0" borderId="0" xfId="38" applyNumberFormat="1" applyFont="1" applyBorder="1" applyAlignment="1">
      <alignment horizontal="center"/>
    </xf>
    <xf numFmtId="3" fontId="10" fillId="0" borderId="23" xfId="0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3" fontId="0" fillId="0" borderId="28" xfId="0" applyFont="1" applyBorder="1" applyAlignment="1">
      <alignment/>
    </xf>
    <xf numFmtId="3" fontId="0" fillId="0" borderId="0" xfId="0" applyBorder="1" applyAlignment="1">
      <alignment/>
    </xf>
    <xf numFmtId="3" fontId="0" fillId="0" borderId="16" xfId="0" applyFont="1" applyBorder="1" applyAlignment="1">
      <alignment/>
    </xf>
    <xf numFmtId="3" fontId="12" fillId="0" borderId="28" xfId="0" applyFont="1" applyBorder="1" applyAlignment="1">
      <alignment horizontal="center"/>
    </xf>
    <xf numFmtId="3" fontId="0" fillId="0" borderId="15" xfId="0" applyFill="1" applyBorder="1" applyAlignment="1">
      <alignment/>
    </xf>
    <xf numFmtId="3" fontId="0" fillId="0" borderId="0" xfId="0" applyFill="1" applyAlignment="1">
      <alignment/>
    </xf>
    <xf numFmtId="167" fontId="54" fillId="0" borderId="0" xfId="0" applyNumberFormat="1" applyFont="1" applyAlignment="1">
      <alignment horizontal="center" vertical="center"/>
    </xf>
    <xf numFmtId="176" fontId="3" fillId="0" borderId="10" xfId="38" applyNumberFormat="1" applyFont="1" applyBorder="1" applyAlignment="1">
      <alignment vertical="center"/>
    </xf>
    <xf numFmtId="176" fontId="3" fillId="0" borderId="21" xfId="38" applyNumberFormat="1" applyFont="1" applyBorder="1" applyAlignment="1">
      <alignment vertical="center"/>
    </xf>
    <xf numFmtId="176" fontId="0" fillId="0" borderId="33" xfId="38" applyNumberFormat="1" applyFont="1" applyBorder="1" applyAlignment="1">
      <alignment/>
    </xf>
    <xf numFmtId="176" fontId="0" fillId="0" borderId="14" xfId="38" applyNumberFormat="1" applyFont="1" applyFill="1" applyBorder="1" applyAlignment="1">
      <alignment/>
    </xf>
    <xf numFmtId="176" fontId="11" fillId="0" borderId="29" xfId="38" applyNumberFormat="1" applyFont="1" applyBorder="1" applyAlignment="1">
      <alignment/>
    </xf>
    <xf numFmtId="176" fontId="3" fillId="0" borderId="34" xfId="38" applyNumberFormat="1" applyFont="1" applyBorder="1" applyAlignment="1">
      <alignment vertical="center"/>
    </xf>
    <xf numFmtId="176" fontId="4" fillId="0" borderId="34" xfId="38" applyNumberFormat="1" applyFont="1" applyBorder="1" applyAlignment="1">
      <alignment vertical="center"/>
    </xf>
    <xf numFmtId="176" fontId="4" fillId="0" borderId="30" xfId="38" applyNumberFormat="1" applyFont="1" applyBorder="1" applyAlignment="1">
      <alignment vertical="center"/>
    </xf>
    <xf numFmtId="176" fontId="2" fillId="0" borderId="34" xfId="38" applyNumberFormat="1" applyFont="1" applyBorder="1" applyAlignment="1">
      <alignment vertical="center"/>
    </xf>
    <xf numFmtId="176" fontId="2" fillId="0" borderId="30" xfId="38" applyNumberFormat="1" applyFont="1" applyBorder="1" applyAlignment="1">
      <alignment vertical="center"/>
    </xf>
    <xf numFmtId="176" fontId="3" fillId="0" borderId="11" xfId="38" applyNumberFormat="1" applyFont="1" applyBorder="1" applyAlignment="1">
      <alignment vertical="center"/>
    </xf>
    <xf numFmtId="176" fontId="3" fillId="0" borderId="14" xfId="38" applyNumberFormat="1" applyFont="1" applyBorder="1" applyAlignment="1">
      <alignment vertical="center"/>
    </xf>
    <xf numFmtId="176" fontId="3" fillId="0" borderId="20" xfId="38" applyNumberFormat="1" applyFont="1" applyBorder="1" applyAlignment="1">
      <alignment vertical="center"/>
    </xf>
    <xf numFmtId="176" fontId="2" fillId="0" borderId="14" xfId="38" applyNumberFormat="1" applyFont="1" applyBorder="1" applyAlignment="1">
      <alignment vertical="center"/>
    </xf>
    <xf numFmtId="176" fontId="0" fillId="0" borderId="14" xfId="38" applyNumberFormat="1" applyFont="1" applyBorder="1" applyAlignment="1">
      <alignment vertical="center"/>
    </xf>
    <xf numFmtId="176" fontId="0" fillId="0" borderId="33" xfId="38" applyNumberFormat="1" applyFont="1" applyBorder="1" applyAlignment="1">
      <alignment/>
    </xf>
    <xf numFmtId="167" fontId="4" fillId="0" borderId="35" xfId="38" applyNumberFormat="1" applyFont="1" applyBorder="1" applyAlignment="1">
      <alignment horizontal="center"/>
    </xf>
    <xf numFmtId="167" fontId="4" fillId="0" borderId="36" xfId="38" applyNumberFormat="1" applyFont="1" applyBorder="1" applyAlignment="1">
      <alignment horizontal="center"/>
    </xf>
    <xf numFmtId="167" fontId="4" fillId="0" borderId="37" xfId="38" applyNumberFormat="1" applyFont="1" applyBorder="1" applyAlignment="1">
      <alignment horizontal="center"/>
    </xf>
    <xf numFmtId="176" fontId="4" fillId="0" borderId="37" xfId="38" applyNumberFormat="1" applyFont="1" applyBorder="1" applyAlignment="1">
      <alignment/>
    </xf>
    <xf numFmtId="176" fontId="0" fillId="0" borderId="37" xfId="38" applyNumberFormat="1" applyFont="1" applyBorder="1" applyAlignment="1">
      <alignment/>
    </xf>
    <xf numFmtId="176" fontId="4" fillId="0" borderId="37" xfId="38" applyNumberFormat="1" applyFont="1" applyBorder="1" applyAlignment="1">
      <alignment/>
    </xf>
    <xf numFmtId="176" fontId="2" fillId="0" borderId="36" xfId="38" applyNumberFormat="1" applyFont="1" applyBorder="1" applyAlignment="1">
      <alignment vertical="center"/>
    </xf>
    <xf numFmtId="176" fontId="6" fillId="0" borderId="37" xfId="38" applyNumberFormat="1" applyFont="1" applyBorder="1" applyAlignment="1">
      <alignment/>
    </xf>
    <xf numFmtId="176" fontId="6" fillId="0" borderId="37" xfId="38" applyNumberFormat="1" applyFont="1" applyBorder="1" applyAlignment="1">
      <alignment/>
    </xf>
    <xf numFmtId="176" fontId="0" fillId="0" borderId="38" xfId="38" applyNumberFormat="1" applyFont="1" applyBorder="1" applyAlignment="1">
      <alignment/>
    </xf>
    <xf numFmtId="176" fontId="0" fillId="0" borderId="37" xfId="38" applyNumberFormat="1" applyFont="1" applyFill="1" applyBorder="1" applyAlignment="1">
      <alignment/>
    </xf>
    <xf numFmtId="176" fontId="3" fillId="0" borderId="39" xfId="38" applyNumberFormat="1" applyFont="1" applyBorder="1" applyAlignment="1">
      <alignment vertical="center"/>
    </xf>
    <xf numFmtId="176" fontId="3" fillId="0" borderId="35" xfId="38" applyNumberFormat="1" applyFont="1" applyBorder="1" applyAlignment="1">
      <alignment vertical="center"/>
    </xf>
    <xf numFmtId="176" fontId="0" fillId="0" borderId="37" xfId="38" applyNumberFormat="1" applyFont="1" applyBorder="1" applyAlignment="1">
      <alignment vertical="center"/>
    </xf>
    <xf numFmtId="4" fontId="4" fillId="0" borderId="40" xfId="38" applyNumberFormat="1" applyFont="1" applyBorder="1" applyAlignment="1">
      <alignment/>
    </xf>
    <xf numFmtId="4" fontId="0" fillId="0" borderId="40" xfId="38" applyNumberFormat="1" applyFont="1" applyBorder="1" applyAlignment="1">
      <alignment/>
    </xf>
    <xf numFmtId="4" fontId="4" fillId="0" borderId="40" xfId="38" applyNumberFormat="1" applyFont="1" applyBorder="1" applyAlignment="1">
      <alignment/>
    </xf>
    <xf numFmtId="4" fontId="2" fillId="0" borderId="20" xfId="38" applyNumberFormat="1" applyFont="1" applyBorder="1" applyAlignment="1">
      <alignment vertical="center"/>
    </xf>
    <xf numFmtId="4" fontId="2" fillId="0" borderId="22" xfId="38" applyNumberFormat="1" applyFont="1" applyBorder="1" applyAlignment="1">
      <alignment vertical="center"/>
    </xf>
    <xf numFmtId="4" fontId="6" fillId="0" borderId="40" xfId="38" applyNumberFormat="1" applyFont="1" applyBorder="1" applyAlignment="1">
      <alignment/>
    </xf>
    <xf numFmtId="4" fontId="6" fillId="0" borderId="40" xfId="38" applyNumberFormat="1" applyFont="1" applyBorder="1" applyAlignment="1">
      <alignment/>
    </xf>
    <xf numFmtId="4" fontId="4" fillId="0" borderId="14" xfId="38" applyNumberFormat="1" applyFont="1" applyBorder="1" applyAlignment="1">
      <alignment/>
    </xf>
    <xf numFmtId="4" fontId="6" fillId="0" borderId="14" xfId="38" applyNumberFormat="1" applyFont="1" applyBorder="1" applyAlignment="1">
      <alignment/>
    </xf>
    <xf numFmtId="4" fontId="4" fillId="0" borderId="41" xfId="38" applyNumberFormat="1" applyFont="1" applyBorder="1" applyAlignment="1">
      <alignment/>
    </xf>
    <xf numFmtId="4" fontId="0" fillId="0" borderId="33" xfId="38" applyNumberFormat="1" applyFont="1" applyBorder="1" applyAlignment="1">
      <alignment/>
    </xf>
    <xf numFmtId="4" fontId="0" fillId="0" borderId="14" xfId="38" applyNumberFormat="1" applyFont="1" applyBorder="1" applyAlignment="1">
      <alignment/>
    </xf>
    <xf numFmtId="4" fontId="0" fillId="0" borderId="40" xfId="38" applyNumberFormat="1" applyFont="1" applyFill="1" applyBorder="1" applyAlignment="1">
      <alignment/>
    </xf>
    <xf numFmtId="4" fontId="3" fillId="0" borderId="42" xfId="38" applyNumberFormat="1" applyFont="1" applyBorder="1" applyAlignment="1">
      <alignment vertical="center"/>
    </xf>
    <xf numFmtId="4" fontId="2" fillId="0" borderId="42" xfId="38" applyNumberFormat="1" applyFont="1" applyBorder="1" applyAlignment="1">
      <alignment vertical="center"/>
    </xf>
    <xf numFmtId="4" fontId="3" fillId="0" borderId="13" xfId="38" applyNumberFormat="1" applyFont="1" applyBorder="1" applyAlignment="1">
      <alignment vertical="center"/>
    </xf>
    <xf numFmtId="4" fontId="3" fillId="0" borderId="40" xfId="38" applyNumberFormat="1" applyFont="1" applyBorder="1" applyAlignment="1">
      <alignment vertical="center"/>
    </xf>
    <xf numFmtId="4" fontId="3" fillId="0" borderId="22" xfId="38" applyNumberFormat="1" applyFont="1" applyBorder="1" applyAlignment="1">
      <alignment vertical="center"/>
    </xf>
    <xf numFmtId="4" fontId="0" fillId="0" borderId="27" xfId="38" applyNumberFormat="1" applyFont="1" applyBorder="1" applyAlignment="1">
      <alignment vertical="center"/>
    </xf>
    <xf numFmtId="4" fontId="0" fillId="0" borderId="22" xfId="38" applyNumberFormat="1" applyFont="1" applyBorder="1" applyAlignment="1">
      <alignment vertical="center"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4" fillId="0" borderId="14" xfId="38" applyNumberFormat="1" applyFont="1" applyBorder="1" applyAlignment="1">
      <alignment/>
    </xf>
    <xf numFmtId="4" fontId="6" fillId="0" borderId="14" xfId="38" applyNumberFormat="1" applyFont="1" applyBorder="1" applyAlignment="1">
      <alignment/>
    </xf>
    <xf numFmtId="4" fontId="4" fillId="0" borderId="43" xfId="38" applyNumberFormat="1" applyFont="1" applyBorder="1" applyAlignment="1">
      <alignment/>
    </xf>
    <xf numFmtId="4" fontId="0" fillId="0" borderId="14" xfId="38" applyNumberFormat="1" applyFont="1" applyFill="1" applyBorder="1" applyAlignment="1">
      <alignment/>
    </xf>
    <xf numFmtId="4" fontId="3" fillId="0" borderId="34" xfId="38" applyNumberFormat="1" applyFont="1" applyBorder="1" applyAlignment="1">
      <alignment vertical="center"/>
    </xf>
    <xf numFmtId="4" fontId="4" fillId="0" borderId="34" xfId="38" applyNumberFormat="1" applyFont="1" applyBorder="1" applyAlignment="1">
      <alignment vertical="center"/>
    </xf>
    <xf numFmtId="4" fontId="2" fillId="0" borderId="34" xfId="38" applyNumberFormat="1" applyFont="1" applyBorder="1" applyAlignment="1">
      <alignment vertical="center"/>
    </xf>
    <xf numFmtId="4" fontId="3" fillId="0" borderId="11" xfId="38" applyNumberFormat="1" applyFont="1" applyBorder="1" applyAlignment="1">
      <alignment vertical="center"/>
    </xf>
    <xf numFmtId="4" fontId="2" fillId="0" borderId="14" xfId="38" applyNumberFormat="1" applyFont="1" applyBorder="1" applyAlignment="1">
      <alignment vertical="center"/>
    </xf>
    <xf numFmtId="4" fontId="8" fillId="0" borderId="14" xfId="38" applyNumberFormat="1" applyFont="1" applyBorder="1" applyAlignment="1">
      <alignment vertical="center"/>
    </xf>
    <xf numFmtId="3" fontId="7" fillId="0" borderId="15" xfId="0" applyFont="1" applyBorder="1" applyAlignment="1">
      <alignment horizontal="center"/>
    </xf>
    <xf numFmtId="3" fontId="7" fillId="0" borderId="23" xfId="0" applyFont="1" applyBorder="1" applyAlignment="1">
      <alignment horizontal="center"/>
    </xf>
    <xf numFmtId="3" fontId="7" fillId="0" borderId="23" xfId="0" applyFont="1" applyBorder="1" applyAlignment="1">
      <alignment horizontal="center" vertical="center"/>
    </xf>
    <xf numFmtId="4" fontId="4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4" fillId="0" borderId="10" xfId="38" applyNumberFormat="1" applyFont="1" applyBorder="1" applyAlignment="1">
      <alignment/>
    </xf>
    <xf numFmtId="4" fontId="0" fillId="0" borderId="29" xfId="38" applyNumberFormat="1" applyFont="1" applyBorder="1" applyAlignment="1">
      <alignment/>
    </xf>
    <xf numFmtId="4" fontId="6" fillId="0" borderId="10" xfId="38" applyNumberFormat="1" applyFont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29" xfId="38" applyNumberFormat="1" applyFont="1" applyFill="1" applyBorder="1" applyAlignment="1">
      <alignment/>
    </xf>
    <xf numFmtId="4" fontId="2" fillId="0" borderId="10" xfId="38" applyNumberFormat="1" applyFont="1" applyBorder="1" applyAlignment="1">
      <alignment vertical="center"/>
    </xf>
    <xf numFmtId="4" fontId="8" fillId="0" borderId="10" xfId="38" applyNumberFormat="1" applyFont="1" applyBorder="1" applyAlignment="1">
      <alignment vertical="center"/>
    </xf>
    <xf numFmtId="4" fontId="8" fillId="0" borderId="21" xfId="38" applyNumberFormat="1" applyFont="1" applyBorder="1" applyAlignment="1">
      <alignment vertical="center"/>
    </xf>
    <xf numFmtId="4" fontId="2" fillId="0" borderId="21" xfId="38" applyNumberFormat="1" applyFont="1" applyBorder="1" applyAlignment="1">
      <alignment vertical="center"/>
    </xf>
    <xf numFmtId="4" fontId="6" fillId="0" borderId="10" xfId="38" applyNumberFormat="1" applyFont="1" applyBorder="1" applyAlignment="1">
      <alignment/>
    </xf>
    <xf numFmtId="4" fontId="4" fillId="0" borderId="44" xfId="38" applyNumberFormat="1" applyFont="1" applyBorder="1" applyAlignment="1">
      <alignment/>
    </xf>
    <xf numFmtId="4" fontId="4" fillId="0" borderId="41" xfId="38" applyNumberFormat="1" applyFont="1" applyBorder="1" applyAlignment="1">
      <alignment/>
    </xf>
    <xf numFmtId="4" fontId="3" fillId="0" borderId="30" xfId="38" applyNumberFormat="1" applyFont="1" applyBorder="1" applyAlignment="1">
      <alignment vertical="center"/>
    </xf>
    <xf numFmtId="4" fontId="4" fillId="0" borderId="30" xfId="38" applyNumberFormat="1" applyFont="1" applyBorder="1" applyAlignment="1">
      <alignment vertical="center"/>
    </xf>
    <xf numFmtId="4" fontId="2" fillId="0" borderId="30" xfId="38" applyNumberFormat="1" applyFont="1" applyBorder="1" applyAlignment="1">
      <alignment vertical="center"/>
    </xf>
    <xf numFmtId="4" fontId="3" fillId="0" borderId="12" xfId="38" applyNumberFormat="1" applyFont="1" applyBorder="1" applyAlignment="1">
      <alignment vertical="center"/>
    </xf>
    <xf numFmtId="4" fontId="0" fillId="0" borderId="33" xfId="38" applyNumberFormat="1" applyFont="1" applyFill="1" applyBorder="1" applyAlignment="1">
      <alignment/>
    </xf>
    <xf numFmtId="4" fontId="8" fillId="0" borderId="20" xfId="38" applyNumberFormat="1" applyFont="1" applyBorder="1" applyAlignment="1">
      <alignment vertical="center"/>
    </xf>
    <xf numFmtId="176" fontId="6" fillId="0" borderId="23" xfId="38" applyNumberFormat="1" applyFont="1" applyBorder="1" applyAlignment="1">
      <alignment/>
    </xf>
    <xf numFmtId="176" fontId="6" fillId="0" borderId="45" xfId="38" applyNumberFormat="1" applyFont="1" applyBorder="1" applyAlignment="1">
      <alignment/>
    </xf>
    <xf numFmtId="176" fontId="6" fillId="0" borderId="0" xfId="38" applyNumberFormat="1" applyFont="1" applyBorder="1" applyAlignment="1">
      <alignment/>
    </xf>
    <xf numFmtId="176" fontId="0" fillId="0" borderId="0" xfId="38" applyNumberFormat="1" applyFont="1" applyBorder="1" applyAlignment="1">
      <alignment/>
    </xf>
    <xf numFmtId="4" fontId="0" fillId="0" borderId="23" xfId="38" applyNumberFormat="1" applyFont="1" applyBorder="1" applyAlignment="1">
      <alignment/>
    </xf>
    <xf numFmtId="4" fontId="0" fillId="0" borderId="46" xfId="38" applyNumberFormat="1" applyFont="1" applyBorder="1" applyAlignment="1">
      <alignment/>
    </xf>
    <xf numFmtId="4" fontId="4" fillId="0" borderId="46" xfId="38" applyNumberFormat="1" applyFont="1" applyBorder="1" applyAlignment="1">
      <alignment/>
    </xf>
    <xf numFmtId="49" fontId="5" fillId="0" borderId="23" xfId="0" applyNumberFormat="1" applyFont="1" applyBorder="1" applyAlignment="1">
      <alignment horizontal="left"/>
    </xf>
    <xf numFmtId="3" fontId="13" fillId="0" borderId="23" xfId="0" applyFont="1" applyBorder="1" applyAlignment="1">
      <alignment horizontal="center"/>
    </xf>
    <xf numFmtId="4" fontId="0" fillId="0" borderId="40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3" xfId="38" applyNumberFormat="1" applyFont="1" applyFill="1" applyBorder="1" applyAlignment="1">
      <alignment/>
    </xf>
    <xf numFmtId="4" fontId="4" fillId="0" borderId="46" xfId="38" applyNumberFormat="1" applyFont="1" applyBorder="1" applyAlignment="1">
      <alignment/>
    </xf>
    <xf numFmtId="4" fontId="3" fillId="0" borderId="47" xfId="38" applyNumberFormat="1" applyFont="1" applyBorder="1" applyAlignment="1">
      <alignment vertical="center"/>
    </xf>
    <xf numFmtId="4" fontId="4" fillId="0" borderId="47" xfId="38" applyNumberFormat="1" applyFont="1" applyBorder="1" applyAlignment="1">
      <alignment vertical="center"/>
    </xf>
    <xf numFmtId="4" fontId="2" fillId="0" borderId="47" xfId="38" applyNumberFormat="1" applyFont="1" applyBorder="1" applyAlignment="1">
      <alignment vertical="center"/>
    </xf>
    <xf numFmtId="4" fontId="3" fillId="0" borderId="26" xfId="38" applyNumberFormat="1" applyFont="1" applyBorder="1" applyAlignment="1">
      <alignment vertical="center"/>
    </xf>
    <xf numFmtId="167" fontId="4" fillId="0" borderId="26" xfId="38" applyNumberFormat="1" applyFont="1" applyBorder="1" applyAlignment="1">
      <alignment horizontal="center"/>
    </xf>
    <xf numFmtId="167" fontId="4" fillId="0" borderId="27" xfId="38" applyNumberFormat="1" applyFont="1" applyBorder="1" applyAlignment="1">
      <alignment horizontal="center"/>
    </xf>
    <xf numFmtId="167" fontId="4" fillId="0" borderId="23" xfId="38" applyNumberFormat="1" applyFont="1" applyBorder="1" applyAlignment="1">
      <alignment horizontal="center"/>
    </xf>
    <xf numFmtId="4" fontId="4" fillId="0" borderId="23" xfId="38" applyNumberFormat="1" applyFont="1" applyBorder="1" applyAlignment="1">
      <alignment/>
    </xf>
    <xf numFmtId="4" fontId="4" fillId="0" borderId="23" xfId="38" applyNumberFormat="1" applyFont="1" applyBorder="1" applyAlignment="1">
      <alignment/>
    </xf>
    <xf numFmtId="4" fontId="2" fillId="0" borderId="27" xfId="38" applyNumberFormat="1" applyFont="1" applyBorder="1" applyAlignment="1">
      <alignment vertical="center"/>
    </xf>
    <xf numFmtId="4" fontId="6" fillId="0" borderId="23" xfId="38" applyNumberFormat="1" applyFont="1" applyBorder="1" applyAlignment="1">
      <alignment/>
    </xf>
    <xf numFmtId="4" fontId="6" fillId="0" borderId="23" xfId="38" applyNumberFormat="1" applyFont="1" applyBorder="1" applyAlignment="1">
      <alignment/>
    </xf>
    <xf numFmtId="4" fontId="0" fillId="0" borderId="28" xfId="38" applyNumberFormat="1" applyFont="1" applyBorder="1" applyAlignment="1">
      <alignment/>
    </xf>
    <xf numFmtId="4" fontId="4" fillId="0" borderId="48" xfId="38" applyNumberFormat="1" applyFont="1" applyBorder="1" applyAlignment="1">
      <alignment/>
    </xf>
    <xf numFmtId="4" fontId="2" fillId="0" borderId="23" xfId="38" applyNumberFormat="1" applyFont="1" applyBorder="1" applyAlignment="1">
      <alignment vertical="center"/>
    </xf>
    <xf numFmtId="4" fontId="8" fillId="0" borderId="23" xfId="38" applyNumberFormat="1" applyFont="1" applyBorder="1" applyAlignment="1">
      <alignment vertical="center"/>
    </xf>
    <xf numFmtId="4" fontId="0" fillId="0" borderId="23" xfId="38" applyNumberFormat="1" applyFont="1" applyBorder="1" applyAlignment="1">
      <alignment vertical="center"/>
    </xf>
    <xf numFmtId="4" fontId="4" fillId="0" borderId="37" xfId="38" applyNumberFormat="1" applyFont="1" applyBorder="1" applyAlignment="1">
      <alignment/>
    </xf>
    <xf numFmtId="4" fontId="0" fillId="0" borderId="37" xfId="38" applyNumberFormat="1" applyFont="1" applyBorder="1" applyAlignment="1">
      <alignment/>
    </xf>
    <xf numFmtId="4" fontId="4" fillId="0" borderId="37" xfId="38" applyNumberFormat="1" applyFont="1" applyBorder="1" applyAlignment="1">
      <alignment/>
    </xf>
    <xf numFmtId="4" fontId="3" fillId="0" borderId="39" xfId="38" applyNumberFormat="1" applyFont="1" applyBorder="1" applyAlignment="1">
      <alignment vertical="center"/>
    </xf>
    <xf numFmtId="167" fontId="4" fillId="0" borderId="46" xfId="38" applyNumberFormat="1" applyFont="1" applyBorder="1" applyAlignment="1">
      <alignment horizontal="center"/>
    </xf>
    <xf numFmtId="4" fontId="2" fillId="0" borderId="25" xfId="38" applyNumberFormat="1" applyFont="1" applyBorder="1" applyAlignment="1">
      <alignment vertical="center"/>
    </xf>
    <xf numFmtId="4" fontId="6" fillId="0" borderId="46" xfId="38" applyNumberFormat="1" applyFont="1" applyBorder="1" applyAlignment="1">
      <alignment/>
    </xf>
    <xf numFmtId="4" fontId="6" fillId="0" borderId="46" xfId="38" applyNumberFormat="1" applyFont="1" applyBorder="1" applyAlignment="1">
      <alignment/>
    </xf>
    <xf numFmtId="4" fontId="0" fillId="0" borderId="49" xfId="38" applyNumberFormat="1" applyFont="1" applyBorder="1" applyAlignment="1">
      <alignment/>
    </xf>
    <xf numFmtId="4" fontId="4" fillId="0" borderId="50" xfId="38" applyNumberFormat="1" applyFont="1" applyBorder="1" applyAlignment="1">
      <alignment/>
    </xf>
    <xf numFmtId="4" fontId="6" fillId="0" borderId="45" xfId="38" applyNumberFormat="1" applyFont="1" applyBorder="1" applyAlignment="1">
      <alignment/>
    </xf>
    <xf numFmtId="4" fontId="0" fillId="0" borderId="46" xfId="38" applyNumberFormat="1" applyFont="1" applyFill="1" applyBorder="1" applyAlignment="1">
      <alignment/>
    </xf>
    <xf numFmtId="4" fontId="0" fillId="0" borderId="45" xfId="38" applyNumberFormat="1" applyFont="1" applyBorder="1" applyAlignment="1">
      <alignment/>
    </xf>
    <xf numFmtId="4" fontId="3" fillId="0" borderId="51" xfId="38" applyNumberFormat="1" applyFont="1" applyBorder="1" applyAlignment="1">
      <alignment vertical="center"/>
    </xf>
    <xf numFmtId="4" fontId="2" fillId="0" borderId="51" xfId="38" applyNumberFormat="1" applyFont="1" applyBorder="1" applyAlignment="1">
      <alignment vertical="center"/>
    </xf>
    <xf numFmtId="4" fontId="3" fillId="0" borderId="24" xfId="38" applyNumberFormat="1" applyFont="1" applyBorder="1" applyAlignment="1">
      <alignment vertical="center"/>
    </xf>
    <xf numFmtId="176" fontId="3" fillId="0" borderId="45" xfId="38" applyNumberFormat="1" applyFont="1" applyBorder="1" applyAlignment="1">
      <alignment vertical="center"/>
    </xf>
    <xf numFmtId="176" fontId="3" fillId="0" borderId="52" xfId="38" applyNumberFormat="1" applyFont="1" applyBorder="1" applyAlignment="1">
      <alignment vertical="center"/>
    </xf>
    <xf numFmtId="4" fontId="3" fillId="0" borderId="53" xfId="38" applyNumberFormat="1" applyFont="1" applyBorder="1" applyAlignment="1">
      <alignment vertical="center"/>
    </xf>
    <xf numFmtId="4" fontId="8" fillId="0" borderId="46" xfId="38" applyNumberFormat="1" applyFont="1" applyBorder="1" applyAlignment="1">
      <alignment vertical="center"/>
    </xf>
    <xf numFmtId="4" fontId="0" fillId="0" borderId="46" xfId="38" applyNumberFormat="1" applyFont="1" applyBorder="1" applyAlignment="1">
      <alignment vertical="center"/>
    </xf>
    <xf numFmtId="4" fontId="0" fillId="0" borderId="25" xfId="38" applyNumberFormat="1" applyFont="1" applyBorder="1" applyAlignment="1">
      <alignment vertical="center"/>
    </xf>
    <xf numFmtId="4" fontId="7" fillId="0" borderId="10" xfId="38" applyNumberFormat="1" applyFont="1" applyBorder="1" applyAlignment="1">
      <alignment/>
    </xf>
    <xf numFmtId="4" fontId="0" fillId="0" borderId="10" xfId="38" applyNumberFormat="1" applyFont="1" applyBorder="1" applyAlignment="1">
      <alignment vertical="center"/>
    </xf>
    <xf numFmtId="4" fontId="0" fillId="0" borderId="21" xfId="38" applyNumberFormat="1" applyFont="1" applyBorder="1" applyAlignment="1">
      <alignment vertical="center"/>
    </xf>
    <xf numFmtId="176" fontId="4" fillId="0" borderId="0" xfId="38" applyNumberFormat="1" applyFont="1" applyBorder="1" applyAlignment="1">
      <alignment/>
    </xf>
    <xf numFmtId="176" fontId="2" fillId="0" borderId="32" xfId="38" applyNumberFormat="1" applyFont="1" applyBorder="1" applyAlignment="1">
      <alignment vertical="center"/>
    </xf>
    <xf numFmtId="176" fontId="6" fillId="0" borderId="0" xfId="38" applyNumberFormat="1" applyFont="1" applyBorder="1" applyAlignment="1">
      <alignment/>
    </xf>
    <xf numFmtId="176" fontId="0" fillId="0" borderId="54" xfId="38" applyNumberFormat="1" applyFont="1" applyBorder="1" applyAlignment="1">
      <alignment/>
    </xf>
    <xf numFmtId="176" fontId="6" fillId="0" borderId="46" xfId="38" applyNumberFormat="1" applyFont="1" applyBorder="1" applyAlignment="1">
      <alignment/>
    </xf>
    <xf numFmtId="176" fontId="0" fillId="0" borderId="46" xfId="38" applyNumberFormat="1" applyFont="1" applyBorder="1" applyAlignment="1">
      <alignment/>
    </xf>
    <xf numFmtId="176" fontId="0" fillId="0" borderId="0" xfId="38" applyNumberFormat="1" applyFont="1" applyFill="1" applyBorder="1" applyAlignment="1">
      <alignment/>
    </xf>
    <xf numFmtId="176" fontId="3" fillId="0" borderId="55" xfId="38" applyNumberFormat="1" applyFont="1" applyBorder="1" applyAlignment="1">
      <alignment vertical="center"/>
    </xf>
    <xf numFmtId="176" fontId="4" fillId="0" borderId="55" xfId="38" applyNumberFormat="1" applyFont="1" applyBorder="1" applyAlignment="1">
      <alignment/>
    </xf>
    <xf numFmtId="176" fontId="2" fillId="0" borderId="55" xfId="38" applyNumberFormat="1" applyFont="1" applyBorder="1" applyAlignment="1">
      <alignment vertical="center"/>
    </xf>
    <xf numFmtId="176" fontId="3" fillId="0" borderId="31" xfId="38" applyNumberFormat="1" applyFont="1" applyBorder="1" applyAlignment="1">
      <alignment vertical="center"/>
    </xf>
    <xf numFmtId="176" fontId="8" fillId="0" borderId="0" xfId="38" applyNumberFormat="1" applyFont="1" applyBorder="1" applyAlignment="1">
      <alignment vertical="center"/>
    </xf>
    <xf numFmtId="176" fontId="0" fillId="0" borderId="0" xfId="38" applyNumberFormat="1" applyFont="1" applyBorder="1" applyAlignment="1">
      <alignment vertical="center"/>
    </xf>
    <xf numFmtId="176" fontId="0" fillId="0" borderId="25" xfId="38" applyNumberFormat="1" applyFont="1" applyBorder="1" applyAlignment="1">
      <alignment vertical="center"/>
    </xf>
    <xf numFmtId="176" fontId="0" fillId="0" borderId="37" xfId="38" applyNumberFormat="1" applyFont="1" applyBorder="1" applyAlignment="1">
      <alignment/>
    </xf>
    <xf numFmtId="176" fontId="6" fillId="0" borderId="37" xfId="38" applyNumberFormat="1" applyFont="1" applyFill="1" applyBorder="1" applyAlignment="1">
      <alignment/>
    </xf>
    <xf numFmtId="176" fontId="0" fillId="0" borderId="37" xfId="38" applyNumberFormat="1" applyFont="1" applyFill="1" applyBorder="1" applyAlignment="1">
      <alignment/>
    </xf>
    <xf numFmtId="176" fontId="0" fillId="0" borderId="39" xfId="38" applyNumberFormat="1" applyFont="1" applyBorder="1" applyAlignment="1">
      <alignment vertical="center"/>
    </xf>
    <xf numFmtId="176" fontId="2" fillId="0" borderId="37" xfId="38" applyNumberFormat="1" applyFont="1" applyBorder="1" applyAlignment="1">
      <alignment vertical="center"/>
    </xf>
    <xf numFmtId="176" fontId="0" fillId="0" borderId="36" xfId="38" applyNumberFormat="1" applyFont="1" applyBorder="1" applyAlignment="1">
      <alignment vertical="center"/>
    </xf>
    <xf numFmtId="4" fontId="4" fillId="0" borderId="56" xfId="38" applyNumberFormat="1" applyFont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8" xfId="0" applyNumberFormat="1" applyBorder="1" applyAlignment="1">
      <alignment/>
    </xf>
    <xf numFmtId="4" fontId="3" fillId="0" borderId="23" xfId="38" applyNumberFormat="1" applyFont="1" applyBorder="1" applyAlignment="1">
      <alignment vertical="center"/>
    </xf>
    <xf numFmtId="4" fontId="3" fillId="0" borderId="27" xfId="38" applyNumberFormat="1" applyFont="1" applyBorder="1" applyAlignment="1">
      <alignment vertical="center"/>
    </xf>
    <xf numFmtId="4" fontId="2" fillId="0" borderId="26" xfId="38" applyNumberFormat="1" applyFont="1" applyBorder="1" applyAlignment="1">
      <alignment vertical="center"/>
    </xf>
    <xf numFmtId="4" fontId="0" fillId="0" borderId="27" xfId="0" applyNumberFormat="1" applyBorder="1" applyAlignment="1">
      <alignment/>
    </xf>
    <xf numFmtId="3" fontId="0" fillId="0" borderId="40" xfId="0" applyBorder="1" applyAlignment="1">
      <alignment/>
    </xf>
    <xf numFmtId="4" fontId="0" fillId="0" borderId="57" xfId="0" applyNumberFormat="1" applyBorder="1" applyAlignment="1">
      <alignment/>
    </xf>
    <xf numFmtId="4" fontId="2" fillId="0" borderId="13" xfId="38" applyNumberFormat="1" applyFont="1" applyBorder="1" applyAlignment="1">
      <alignment vertical="center"/>
    </xf>
    <xf numFmtId="4" fontId="0" fillId="0" borderId="22" xfId="0" applyNumberFormat="1" applyBorder="1" applyAlignment="1">
      <alignment/>
    </xf>
    <xf numFmtId="176" fontId="3" fillId="0" borderId="40" xfId="38" applyNumberFormat="1" applyFont="1" applyBorder="1" applyAlignment="1">
      <alignment vertical="center"/>
    </xf>
    <xf numFmtId="176" fontId="3" fillId="0" borderId="22" xfId="38" applyNumberFormat="1" applyFont="1" applyBorder="1" applyAlignment="1">
      <alignment vertical="center"/>
    </xf>
    <xf numFmtId="176" fontId="4" fillId="0" borderId="0" xfId="38" applyNumberFormat="1" applyFont="1" applyFill="1" applyBorder="1" applyAlignment="1">
      <alignment/>
    </xf>
    <xf numFmtId="176" fontId="8" fillId="0" borderId="0" xfId="38" applyNumberFormat="1" applyFont="1" applyFill="1" applyBorder="1" applyAlignment="1">
      <alignment vertical="center"/>
    </xf>
    <xf numFmtId="4" fontId="0" fillId="0" borderId="57" xfId="38" applyNumberFormat="1" applyFont="1" applyBorder="1" applyAlignment="1">
      <alignment/>
    </xf>
    <xf numFmtId="176" fontId="6" fillId="0" borderId="40" xfId="38" applyNumberFormat="1" applyFont="1" applyBorder="1" applyAlignment="1">
      <alignment/>
    </xf>
    <xf numFmtId="3" fontId="5" fillId="0" borderId="23" xfId="0" applyFont="1" applyBorder="1" applyAlignment="1">
      <alignment horizontal="center"/>
    </xf>
    <xf numFmtId="176" fontId="0" fillId="0" borderId="33" xfId="38" applyNumberFormat="1" applyFont="1" applyFill="1" applyBorder="1" applyAlignment="1">
      <alignment/>
    </xf>
    <xf numFmtId="4" fontId="0" fillId="0" borderId="37" xfId="0" applyNumberFormat="1" applyBorder="1" applyAlignment="1">
      <alignment/>
    </xf>
    <xf numFmtId="4" fontId="2" fillId="0" borderId="36" xfId="38" applyNumberFormat="1" applyFont="1" applyBorder="1" applyAlignment="1">
      <alignment vertical="center"/>
    </xf>
    <xf numFmtId="4" fontId="6" fillId="0" borderId="37" xfId="38" applyNumberFormat="1" applyFont="1" applyBorder="1" applyAlignment="1">
      <alignment/>
    </xf>
    <xf numFmtId="4" fontId="6" fillId="0" borderId="37" xfId="38" applyNumberFormat="1" applyFont="1" applyBorder="1" applyAlignment="1">
      <alignment/>
    </xf>
    <xf numFmtId="4" fontId="0" fillId="0" borderId="38" xfId="38" applyNumberFormat="1" applyFont="1" applyBorder="1" applyAlignment="1">
      <alignment/>
    </xf>
    <xf numFmtId="4" fontId="4" fillId="0" borderId="58" xfId="38" applyNumberFormat="1" applyFont="1" applyBorder="1" applyAlignment="1">
      <alignment/>
    </xf>
    <xf numFmtId="4" fontId="0" fillId="0" borderId="37" xfId="38" applyNumberFormat="1" applyFont="1" applyFill="1" applyBorder="1" applyAlignment="1">
      <alignment/>
    </xf>
    <xf numFmtId="4" fontId="4" fillId="0" borderId="39" xfId="38" applyNumberFormat="1" applyFont="1" applyBorder="1" applyAlignment="1">
      <alignment vertical="center"/>
    </xf>
    <xf numFmtId="4" fontId="2" fillId="0" borderId="39" xfId="38" applyNumberFormat="1" applyFont="1" applyBorder="1" applyAlignment="1">
      <alignment vertical="center"/>
    </xf>
    <xf numFmtId="4" fontId="3" fillId="0" borderId="35" xfId="38" applyNumberFormat="1" applyFont="1" applyBorder="1" applyAlignment="1">
      <alignment vertical="center"/>
    </xf>
    <xf numFmtId="176" fontId="3" fillId="0" borderId="37" xfId="38" applyNumberFormat="1" applyFont="1" applyBorder="1" applyAlignment="1">
      <alignment vertical="center"/>
    </xf>
    <xf numFmtId="176" fontId="3" fillId="0" borderId="36" xfId="38" applyNumberFormat="1" applyFont="1" applyBorder="1" applyAlignment="1">
      <alignment vertical="center"/>
    </xf>
    <xf numFmtId="4" fontId="2" fillId="0" borderId="37" xfId="38" applyNumberFormat="1" applyFont="1" applyBorder="1" applyAlignment="1">
      <alignment vertical="center"/>
    </xf>
    <xf numFmtId="4" fontId="8" fillId="0" borderId="37" xfId="38" applyNumberFormat="1" applyFont="1" applyBorder="1" applyAlignment="1">
      <alignment vertical="center"/>
    </xf>
    <xf numFmtId="4" fontId="8" fillId="0" borderId="36" xfId="38" applyNumberFormat="1" applyFont="1" applyBorder="1" applyAlignment="1">
      <alignment vertical="center"/>
    </xf>
    <xf numFmtId="167" fontId="4" fillId="0" borderId="19" xfId="38" applyNumberFormat="1" applyFont="1" applyBorder="1" applyAlignment="1">
      <alignment horizontal="center"/>
    </xf>
    <xf numFmtId="167" fontId="4" fillId="0" borderId="17" xfId="38" applyNumberFormat="1" applyFont="1" applyBorder="1" applyAlignment="1">
      <alignment horizontal="center"/>
    </xf>
    <xf numFmtId="167" fontId="4" fillId="0" borderId="15" xfId="38" applyNumberFormat="1" applyFont="1" applyBorder="1" applyAlignment="1">
      <alignment horizontal="center"/>
    </xf>
    <xf numFmtId="4" fontId="4" fillId="0" borderId="15" xfId="38" applyNumberFormat="1" applyFont="1" applyBorder="1" applyAlignment="1">
      <alignment/>
    </xf>
    <xf numFmtId="4" fontId="0" fillId="0" borderId="15" xfId="38" applyNumberFormat="1" applyFont="1" applyBorder="1" applyAlignment="1">
      <alignment/>
    </xf>
    <xf numFmtId="4" fontId="4" fillId="0" borderId="15" xfId="38" applyNumberFormat="1" applyFont="1" applyBorder="1" applyAlignment="1">
      <alignment/>
    </xf>
    <xf numFmtId="4" fontId="2" fillId="0" borderId="17" xfId="38" applyNumberFormat="1" applyFont="1" applyBorder="1" applyAlignment="1">
      <alignment vertical="center"/>
    </xf>
    <xf numFmtId="4" fontId="6" fillId="0" borderId="15" xfId="38" applyNumberFormat="1" applyFont="1" applyBorder="1" applyAlignment="1">
      <alignment/>
    </xf>
    <xf numFmtId="4" fontId="6" fillId="0" borderId="15" xfId="38" applyNumberFormat="1" applyFont="1" applyBorder="1" applyAlignment="1">
      <alignment/>
    </xf>
    <xf numFmtId="4" fontId="0" fillId="0" borderId="16" xfId="38" applyNumberFormat="1" applyFont="1" applyBorder="1" applyAlignment="1">
      <alignment/>
    </xf>
    <xf numFmtId="176" fontId="6" fillId="0" borderId="15" xfId="38" applyNumberFormat="1" applyFont="1" applyBorder="1" applyAlignment="1">
      <alignment/>
    </xf>
    <xf numFmtId="4" fontId="4" fillId="0" borderId="59" xfId="38" applyNumberFormat="1" applyFont="1" applyBorder="1" applyAlignment="1">
      <alignment/>
    </xf>
    <xf numFmtId="4" fontId="3" fillId="0" borderId="18" xfId="38" applyNumberFormat="1" applyFont="1" applyBorder="1" applyAlignment="1">
      <alignment vertical="center"/>
    </xf>
    <xf numFmtId="4" fontId="4" fillId="0" borderId="59" xfId="38" applyNumberFormat="1" applyFont="1" applyBorder="1" applyAlignment="1">
      <alignment/>
    </xf>
    <xf numFmtId="4" fontId="2" fillId="0" borderId="18" xfId="38" applyNumberFormat="1" applyFont="1" applyBorder="1" applyAlignment="1">
      <alignment vertical="center"/>
    </xf>
    <xf numFmtId="4" fontId="3" fillId="0" borderId="19" xfId="38" applyNumberFormat="1" applyFont="1" applyBorder="1" applyAlignment="1">
      <alignment vertical="center"/>
    </xf>
    <xf numFmtId="176" fontId="3" fillId="0" borderId="15" xfId="38" applyNumberFormat="1" applyFont="1" applyBorder="1" applyAlignment="1">
      <alignment vertical="center"/>
    </xf>
    <xf numFmtId="176" fontId="3" fillId="0" borderId="17" xfId="38" applyNumberFormat="1" applyFont="1" applyBorder="1" applyAlignment="1">
      <alignment vertical="center"/>
    </xf>
    <xf numFmtId="4" fontId="8" fillId="0" borderId="15" xfId="38" applyNumberFormat="1" applyFont="1" applyBorder="1" applyAlignment="1">
      <alignment vertical="center"/>
    </xf>
    <xf numFmtId="4" fontId="0" fillId="0" borderId="15" xfId="38" applyNumberFormat="1" applyFont="1" applyBorder="1" applyAlignment="1">
      <alignment vertical="center"/>
    </xf>
    <xf numFmtId="4" fontId="0" fillId="0" borderId="17" xfId="38" applyNumberFormat="1" applyFont="1" applyBorder="1" applyAlignment="1">
      <alignment vertical="center"/>
    </xf>
    <xf numFmtId="169" fontId="7" fillId="0" borderId="23" xfId="0" applyNumberFormat="1" applyFont="1" applyBorder="1" applyAlignment="1">
      <alignment horizontal="center"/>
    </xf>
    <xf numFmtId="3" fontId="0" fillId="0" borderId="17" xfId="0" applyBorder="1" applyAlignment="1">
      <alignment/>
    </xf>
    <xf numFmtId="3" fontId="7" fillId="0" borderId="27" xfId="0" applyFont="1" applyBorder="1" applyAlignment="1">
      <alignment horizontal="center"/>
    </xf>
    <xf numFmtId="176" fontId="0" fillId="0" borderId="20" xfId="38" applyNumberFormat="1" applyFont="1" applyBorder="1" applyAlignment="1">
      <alignment/>
    </xf>
    <xf numFmtId="176" fontId="0" fillId="0" borderId="36" xfId="38" applyNumberFormat="1" applyFont="1" applyBorder="1" applyAlignment="1">
      <alignment/>
    </xf>
    <xf numFmtId="176" fontId="0" fillId="0" borderId="21" xfId="38" applyNumberFormat="1" applyFont="1" applyBorder="1" applyAlignment="1">
      <alignment/>
    </xf>
    <xf numFmtId="176" fontId="0" fillId="0" borderId="32" xfId="38" applyNumberFormat="1" applyFont="1" applyBorder="1" applyAlignment="1">
      <alignment/>
    </xf>
    <xf numFmtId="4" fontId="0" fillId="0" borderId="27" xfId="38" applyNumberFormat="1" applyFont="1" applyBorder="1" applyAlignment="1">
      <alignment/>
    </xf>
    <xf numFmtId="4" fontId="0" fillId="0" borderId="21" xfId="38" applyNumberFormat="1" applyFont="1" applyBorder="1" applyAlignment="1">
      <alignment/>
    </xf>
    <xf numFmtId="4" fontId="0" fillId="0" borderId="25" xfId="38" applyNumberFormat="1" applyFont="1" applyBorder="1" applyAlignment="1">
      <alignment/>
    </xf>
    <xf numFmtId="4" fontId="0" fillId="0" borderId="20" xfId="38" applyNumberFormat="1" applyFont="1" applyBorder="1" applyAlignment="1">
      <alignment/>
    </xf>
    <xf numFmtId="4" fontId="0" fillId="0" borderId="36" xfId="38" applyNumberFormat="1" applyFont="1" applyBorder="1" applyAlignment="1">
      <alignment/>
    </xf>
    <xf numFmtId="4" fontId="0" fillId="0" borderId="17" xfId="38" applyNumberFormat="1" applyFont="1" applyBorder="1" applyAlignment="1">
      <alignment/>
    </xf>
    <xf numFmtId="3" fontId="7" fillId="0" borderId="17" xfId="0" applyFont="1" applyBorder="1" applyAlignment="1">
      <alignment/>
    </xf>
    <xf numFmtId="176" fontId="0" fillId="0" borderId="20" xfId="38" applyNumberFormat="1" applyFont="1" applyFill="1" applyBorder="1" applyAlignment="1">
      <alignment/>
    </xf>
    <xf numFmtId="176" fontId="0" fillId="0" borderId="36" xfId="38" applyNumberFormat="1" applyFont="1" applyFill="1" applyBorder="1" applyAlignment="1">
      <alignment/>
    </xf>
    <xf numFmtId="4" fontId="0" fillId="0" borderId="20" xfId="38" applyNumberFormat="1" applyFont="1" applyFill="1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>
      <alignment/>
    </xf>
    <xf numFmtId="166" fontId="2" fillId="0" borderId="0" xfId="38" applyFont="1" applyAlignment="1">
      <alignment horizontal="center"/>
    </xf>
    <xf numFmtId="3" fontId="3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3" fontId="4" fillId="0" borderId="19" xfId="0" applyFont="1" applyBorder="1" applyAlignment="1">
      <alignment horizontal="center" vertical="center"/>
    </xf>
    <xf numFmtId="3" fontId="0" fillId="0" borderId="17" xfId="0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6"/>
  <sheetViews>
    <sheetView tabSelected="1" zoomScale="110" zoomScaleNormal="110" zoomScaleSheetLayoutView="69" zoomScalePageLayoutView="0" workbookViewId="0" topLeftCell="A1">
      <pane xSplit="1" ySplit="9" topLeftCell="C8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39" sqref="R39"/>
    </sheetView>
  </sheetViews>
  <sheetFormatPr defaultColWidth="9.00390625" defaultRowHeight="12.75"/>
  <cols>
    <col min="1" max="1" width="53.00390625" style="0" customWidth="1"/>
    <col min="2" max="2" width="8.625" style="0" hidden="1" customWidth="1"/>
    <col min="3" max="3" width="15.25390625" style="0" customWidth="1"/>
    <col min="4" max="4" width="15.875" style="0" hidden="1" customWidth="1"/>
    <col min="5" max="5" width="12.875" style="0" hidden="1" customWidth="1"/>
    <col min="6" max="6" width="16.375" style="0" hidden="1" customWidth="1"/>
    <col min="7" max="7" width="15.125" style="0" hidden="1" customWidth="1"/>
    <col min="8" max="8" width="12.75390625" style="0" hidden="1" customWidth="1"/>
    <col min="9" max="9" width="16.00390625" style="0" hidden="1" customWidth="1"/>
    <col min="10" max="10" width="13.75390625" style="0" hidden="1" customWidth="1"/>
    <col min="11" max="11" width="13.125" style="0" hidden="1" customWidth="1"/>
    <col min="12" max="12" width="16.25390625" style="0" hidden="1" customWidth="1"/>
    <col min="13" max="13" width="13.375" style="0" hidden="1" customWidth="1"/>
    <col min="14" max="14" width="13.25390625" style="0" hidden="1" customWidth="1"/>
    <col min="15" max="15" width="17.625" style="0" customWidth="1"/>
    <col min="16" max="16" width="13.25390625" style="0" customWidth="1"/>
    <col min="17" max="17" width="17.875" style="0" customWidth="1"/>
    <col min="18" max="18" width="21.00390625" style="0" customWidth="1"/>
  </cols>
  <sheetData>
    <row r="1" spans="3:17" ht="12.75">
      <c r="C1" s="1"/>
      <c r="D1" s="1"/>
      <c r="E1" s="1"/>
      <c r="F1" s="2"/>
      <c r="I1" s="2"/>
      <c r="L1" s="2"/>
      <c r="O1" s="2"/>
      <c r="Q1" s="2" t="s">
        <v>125</v>
      </c>
    </row>
    <row r="2" spans="3:6" ht="9.75" customHeight="1">
      <c r="C2" s="1"/>
      <c r="D2" s="1"/>
      <c r="E2" s="1"/>
      <c r="F2" s="2"/>
    </row>
    <row r="3" spans="1:17" ht="15.75">
      <c r="A3" s="346" t="s">
        <v>222</v>
      </c>
      <c r="B3" s="346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</row>
    <row r="4" spans="1:17" ht="15.75">
      <c r="A4" s="348" t="s">
        <v>291</v>
      </c>
      <c r="B4" s="348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</row>
    <row r="5" spans="1:17" ht="15">
      <c r="A5" s="349" t="s">
        <v>0</v>
      </c>
      <c r="B5" s="349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</row>
    <row r="6" spans="1:17" ht="12.75">
      <c r="A6" s="350" t="s">
        <v>1</v>
      </c>
      <c r="B6" s="350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</row>
    <row r="7" spans="1:13" ht="8.25" customHeight="1" thickBot="1">
      <c r="A7" s="3"/>
      <c r="B7" s="3"/>
      <c r="C7" s="112"/>
      <c r="D7" s="89"/>
      <c r="E7" s="4"/>
      <c r="F7" s="4"/>
      <c r="J7" s="41"/>
      <c r="M7" s="38"/>
    </row>
    <row r="8" spans="1:17" ht="12.75">
      <c r="A8" s="351" t="s">
        <v>2</v>
      </c>
      <c r="B8" s="45" t="s">
        <v>209</v>
      </c>
      <c r="C8" s="6" t="s">
        <v>3</v>
      </c>
      <c r="D8" s="129" t="s">
        <v>4</v>
      </c>
      <c r="E8" s="7" t="s">
        <v>5</v>
      </c>
      <c r="F8" s="101" t="s">
        <v>6</v>
      </c>
      <c r="G8" s="216" t="s">
        <v>7</v>
      </c>
      <c r="H8" s="7" t="s">
        <v>5</v>
      </c>
      <c r="I8" s="43" t="s">
        <v>6</v>
      </c>
      <c r="J8" s="216" t="s">
        <v>8</v>
      </c>
      <c r="K8" s="7" t="s">
        <v>5</v>
      </c>
      <c r="L8" s="43" t="s">
        <v>6</v>
      </c>
      <c r="M8" s="6" t="s">
        <v>9</v>
      </c>
      <c r="N8" s="129" t="s">
        <v>5</v>
      </c>
      <c r="O8" s="308" t="s">
        <v>6</v>
      </c>
      <c r="P8" s="216" t="s">
        <v>147</v>
      </c>
      <c r="Q8" s="8" t="s">
        <v>6</v>
      </c>
    </row>
    <row r="9" spans="1:17" ht="13.5" thickBot="1">
      <c r="A9" s="352"/>
      <c r="B9" s="94" t="s">
        <v>162</v>
      </c>
      <c r="C9" s="35" t="s">
        <v>10</v>
      </c>
      <c r="D9" s="130" t="s">
        <v>11</v>
      </c>
      <c r="E9" s="36" t="s">
        <v>12</v>
      </c>
      <c r="F9" s="102" t="s">
        <v>13</v>
      </c>
      <c r="G9" s="217" t="s">
        <v>11</v>
      </c>
      <c r="H9" s="36" t="s">
        <v>12</v>
      </c>
      <c r="I9" s="44" t="s">
        <v>14</v>
      </c>
      <c r="J9" s="217" t="s">
        <v>11</v>
      </c>
      <c r="K9" s="36" t="s">
        <v>12</v>
      </c>
      <c r="L9" s="44" t="s">
        <v>15</v>
      </c>
      <c r="M9" s="35" t="s">
        <v>11</v>
      </c>
      <c r="N9" s="130" t="s">
        <v>12</v>
      </c>
      <c r="O9" s="309" t="s">
        <v>16</v>
      </c>
      <c r="P9" s="217" t="s">
        <v>11</v>
      </c>
      <c r="Q9" s="37" t="s">
        <v>148</v>
      </c>
    </row>
    <row r="10" spans="1:17" ht="15.75" customHeight="1">
      <c r="A10" s="34" t="s">
        <v>17</v>
      </c>
      <c r="B10" s="46"/>
      <c r="C10" s="9"/>
      <c r="D10" s="131"/>
      <c r="E10" s="5"/>
      <c r="F10" s="103"/>
      <c r="G10" s="218"/>
      <c r="H10" s="5"/>
      <c r="I10" s="233"/>
      <c r="J10" s="218"/>
      <c r="K10" s="5"/>
      <c r="L10" s="233"/>
      <c r="M10" s="9"/>
      <c r="N10" s="131"/>
      <c r="O10" s="310"/>
      <c r="P10" s="50"/>
      <c r="Q10" s="281"/>
    </row>
    <row r="11" spans="1:17" ht="12.75">
      <c r="A11" s="10" t="s">
        <v>199</v>
      </c>
      <c r="B11" s="47"/>
      <c r="C11" s="69">
        <f>C13+C14+C15+C16</f>
        <v>4735000</v>
      </c>
      <c r="D11" s="132">
        <f>D13+D14+D15+D16</f>
        <v>32523.22</v>
      </c>
      <c r="E11" s="70">
        <f>E13+E14+E15</f>
        <v>0</v>
      </c>
      <c r="F11" s="92">
        <f>F13+F14+F15+F16</f>
        <v>4767523.22</v>
      </c>
      <c r="G11" s="219">
        <f>G13+G14+G15+G16</f>
        <v>227213.25</v>
      </c>
      <c r="H11" s="178">
        <f>H13+H14+H15</f>
        <v>26510.17</v>
      </c>
      <c r="I11" s="205">
        <f aca="true" t="shared" si="0" ref="I11:Q11">I13+I14+I15+I16</f>
        <v>5021246.64</v>
      </c>
      <c r="J11" s="219">
        <f t="shared" si="0"/>
        <v>445354.08</v>
      </c>
      <c r="K11" s="178">
        <f t="shared" si="0"/>
        <v>30380</v>
      </c>
      <c r="L11" s="205">
        <f t="shared" si="0"/>
        <v>5496980.72</v>
      </c>
      <c r="M11" s="150">
        <f t="shared" si="0"/>
        <v>32031.449999999997</v>
      </c>
      <c r="N11" s="229">
        <f t="shared" si="0"/>
        <v>15570</v>
      </c>
      <c r="O11" s="311">
        <f t="shared" si="0"/>
        <v>5544582.17</v>
      </c>
      <c r="P11" s="229">
        <f t="shared" si="0"/>
        <v>0</v>
      </c>
      <c r="Q11" s="143">
        <f t="shared" si="0"/>
        <v>5544582.17</v>
      </c>
    </row>
    <row r="12" spans="1:17" ht="12.75">
      <c r="A12" s="11" t="s">
        <v>18</v>
      </c>
      <c r="B12" s="48"/>
      <c r="C12" s="69"/>
      <c r="D12" s="132"/>
      <c r="E12" s="70"/>
      <c r="F12" s="92"/>
      <c r="G12" s="219"/>
      <c r="H12" s="178"/>
      <c r="I12" s="205"/>
      <c r="J12" s="219"/>
      <c r="K12" s="178"/>
      <c r="L12" s="205"/>
      <c r="M12" s="150"/>
      <c r="N12" s="229"/>
      <c r="O12" s="311"/>
      <c r="P12" s="209"/>
      <c r="Q12" s="208"/>
    </row>
    <row r="13" spans="1:17" ht="12.75">
      <c r="A13" s="56" t="s">
        <v>206</v>
      </c>
      <c r="B13" s="48"/>
      <c r="C13" s="72">
        <v>4701580</v>
      </c>
      <c r="D13" s="133"/>
      <c r="E13" s="70"/>
      <c r="F13" s="202">
        <f>C13+D13+E13</f>
        <v>4701580</v>
      </c>
      <c r="G13" s="203">
        <f>187120.2+40000</f>
        <v>227120.2</v>
      </c>
      <c r="H13" s="179">
        <f>11350+3284+4742.84+300+1333.33+4000+1500</f>
        <v>26510.17</v>
      </c>
      <c r="I13" s="204">
        <f>F13+G13+H13</f>
        <v>4955210.37</v>
      </c>
      <c r="J13" s="203">
        <f>4000+25000+8593+65000+368+25500+3500+2000+10000+10000+122000+3357+14047.2+488.88+149000+2500</f>
        <v>445354.08</v>
      </c>
      <c r="K13" s="179">
        <f>14000+8700+7680</f>
        <v>30380</v>
      </c>
      <c r="L13" s="204">
        <f>I13+J13+K13</f>
        <v>5430944.45</v>
      </c>
      <c r="M13" s="154">
        <f>500+1500+10000+6393.6+1050+400+12187.85</f>
        <v>32031.449999999997</v>
      </c>
      <c r="N13" s="230">
        <f>2000+7920+1450+4200</f>
        <v>15570</v>
      </c>
      <c r="O13" s="312">
        <f>L13+M13+N13</f>
        <v>5478545.9</v>
      </c>
      <c r="P13" s="209"/>
      <c r="Q13" s="208">
        <f aca="true" t="shared" si="1" ref="Q13:Q82">O13+P13</f>
        <v>5478545.9</v>
      </c>
    </row>
    <row r="14" spans="1:17" ht="12.75">
      <c r="A14" s="12" t="s">
        <v>19</v>
      </c>
      <c r="B14" s="49"/>
      <c r="C14" s="72"/>
      <c r="D14" s="139">
        <f>32523.22</f>
        <v>32523.22</v>
      </c>
      <c r="E14" s="71"/>
      <c r="F14" s="202">
        <f>C14+D14+E14</f>
        <v>32523.22</v>
      </c>
      <c r="G14" s="203"/>
      <c r="H14" s="178"/>
      <c r="I14" s="204">
        <f>F14+G14+H14</f>
        <v>32523.22</v>
      </c>
      <c r="J14" s="203"/>
      <c r="K14" s="178"/>
      <c r="L14" s="204">
        <f>I14+J14+K14</f>
        <v>32523.22</v>
      </c>
      <c r="M14" s="154"/>
      <c r="N14" s="229"/>
      <c r="O14" s="312">
        <f>L14+M14+N14</f>
        <v>32523.22</v>
      </c>
      <c r="P14" s="209"/>
      <c r="Q14" s="208">
        <f t="shared" si="1"/>
        <v>32523.22</v>
      </c>
    </row>
    <row r="15" spans="1:17" ht="12.75">
      <c r="A15" s="56" t="s">
        <v>207</v>
      </c>
      <c r="B15" s="49"/>
      <c r="C15" s="72">
        <v>3420</v>
      </c>
      <c r="D15" s="139"/>
      <c r="E15" s="71"/>
      <c r="F15" s="202">
        <f>C15+D15+E15</f>
        <v>3420</v>
      </c>
      <c r="G15" s="203">
        <f>93.05</f>
        <v>93.05</v>
      </c>
      <c r="H15" s="178"/>
      <c r="I15" s="204">
        <f>F15+G15+H15</f>
        <v>3513.05</v>
      </c>
      <c r="J15" s="203"/>
      <c r="K15" s="178"/>
      <c r="L15" s="204">
        <f>I15+J15+K15</f>
        <v>3513.05</v>
      </c>
      <c r="M15" s="154"/>
      <c r="N15" s="229"/>
      <c r="O15" s="312">
        <f>L15+M15+N15</f>
        <v>3513.05</v>
      </c>
      <c r="P15" s="163"/>
      <c r="Q15" s="208">
        <f t="shared" si="1"/>
        <v>3513.05</v>
      </c>
    </row>
    <row r="16" spans="1:17" ht="12.75">
      <c r="A16" s="56" t="s">
        <v>263</v>
      </c>
      <c r="B16" s="49"/>
      <c r="C16" s="72">
        <v>30000</v>
      </c>
      <c r="D16" s="139"/>
      <c r="E16" s="71"/>
      <c r="F16" s="202">
        <f>C16+D16+E16</f>
        <v>30000</v>
      </c>
      <c r="G16" s="203"/>
      <c r="H16" s="178"/>
      <c r="I16" s="204">
        <f>F16+G16+H16</f>
        <v>30000</v>
      </c>
      <c r="J16" s="203"/>
      <c r="K16" s="178"/>
      <c r="L16" s="204">
        <f>I16+J16+K16</f>
        <v>30000</v>
      </c>
      <c r="M16" s="154"/>
      <c r="N16" s="229"/>
      <c r="O16" s="312">
        <f>L16+M16+N16</f>
        <v>30000</v>
      </c>
      <c r="P16" s="163"/>
      <c r="Q16" s="208">
        <f t="shared" si="1"/>
        <v>30000</v>
      </c>
    </row>
    <row r="17" spans="1:17" ht="12.75">
      <c r="A17" s="10" t="s">
        <v>200</v>
      </c>
      <c r="B17" s="47"/>
      <c r="C17" s="69">
        <f aca="true" t="shared" si="2" ref="C17:Q17">SUM(C19:C23)+C30</f>
        <v>256410.62</v>
      </c>
      <c r="D17" s="132">
        <f t="shared" si="2"/>
        <v>23628.260000000002</v>
      </c>
      <c r="E17" s="70">
        <f t="shared" si="2"/>
        <v>32165.7</v>
      </c>
      <c r="F17" s="92">
        <f t="shared" si="2"/>
        <v>312204.58</v>
      </c>
      <c r="G17" s="219">
        <f t="shared" si="2"/>
        <v>27454.89</v>
      </c>
      <c r="H17" s="178">
        <f t="shared" si="2"/>
        <v>8691.199999999999</v>
      </c>
      <c r="I17" s="205">
        <f t="shared" si="2"/>
        <v>348350.67</v>
      </c>
      <c r="J17" s="219">
        <f t="shared" si="2"/>
        <v>55062.3</v>
      </c>
      <c r="K17" s="178">
        <f t="shared" si="2"/>
        <v>11529.78</v>
      </c>
      <c r="L17" s="205">
        <f t="shared" si="2"/>
        <v>414942.75</v>
      </c>
      <c r="M17" s="150">
        <f t="shared" si="2"/>
        <v>10325.830000000005</v>
      </c>
      <c r="N17" s="229">
        <f t="shared" si="2"/>
        <v>13553.37</v>
      </c>
      <c r="O17" s="311">
        <f t="shared" si="2"/>
        <v>438821.94999999995</v>
      </c>
      <c r="P17" s="219">
        <f t="shared" si="2"/>
        <v>30077.14</v>
      </c>
      <c r="Q17" s="143">
        <f t="shared" si="2"/>
        <v>468899.08999999997</v>
      </c>
    </row>
    <row r="18" spans="1:17" ht="10.5" customHeight="1">
      <c r="A18" s="11" t="s">
        <v>20</v>
      </c>
      <c r="B18" s="48"/>
      <c r="C18" s="69"/>
      <c r="D18" s="132"/>
      <c r="E18" s="70"/>
      <c r="F18" s="92"/>
      <c r="G18" s="219"/>
      <c r="H18" s="178"/>
      <c r="I18" s="205"/>
      <c r="J18" s="219"/>
      <c r="K18" s="178"/>
      <c r="L18" s="205"/>
      <c r="M18" s="150"/>
      <c r="N18" s="229"/>
      <c r="O18" s="311"/>
      <c r="P18" s="209"/>
      <c r="Q18" s="208"/>
    </row>
    <row r="19" spans="1:17" ht="12.75">
      <c r="A19" s="12" t="s">
        <v>21</v>
      </c>
      <c r="B19" s="49"/>
      <c r="C19" s="72">
        <v>6000</v>
      </c>
      <c r="D19" s="133"/>
      <c r="E19" s="71"/>
      <c r="F19" s="202">
        <f>C19+D19+E19</f>
        <v>6000</v>
      </c>
      <c r="G19" s="203">
        <f>52.35+135.42+54.78</f>
        <v>242.54999999999998</v>
      </c>
      <c r="H19" s="179"/>
      <c r="I19" s="204">
        <f>F19+G19+H19</f>
        <v>6242.55</v>
      </c>
      <c r="J19" s="203">
        <f>180.48+31.52</f>
        <v>212</v>
      </c>
      <c r="K19" s="179"/>
      <c r="L19" s="204">
        <f>I19+J19+K19</f>
        <v>6454.55</v>
      </c>
      <c r="M19" s="154">
        <f>24.05+105.2+36.43+59.58+30.73</f>
        <v>255.98999999999998</v>
      </c>
      <c r="N19" s="230"/>
      <c r="O19" s="312">
        <f>L19+M19+N19</f>
        <v>6710.54</v>
      </c>
      <c r="P19" s="209">
        <f>243.16</f>
        <v>243.16</v>
      </c>
      <c r="Q19" s="208">
        <f t="shared" si="1"/>
        <v>6953.7</v>
      </c>
    </row>
    <row r="20" spans="1:17" ht="12.75">
      <c r="A20" s="56" t="s">
        <v>236</v>
      </c>
      <c r="B20" s="49"/>
      <c r="C20" s="72"/>
      <c r="D20" s="133">
        <f>10557.37+500</f>
        <v>11057.37</v>
      </c>
      <c r="E20" s="71">
        <f>11155.93+21009.77</f>
        <v>32165.7</v>
      </c>
      <c r="F20" s="202">
        <f aca="true" t="shared" si="3" ref="F20:F30">C20+D20+E20</f>
        <v>43223.07</v>
      </c>
      <c r="G20" s="203">
        <f>381.38+1891.4</f>
        <v>2272.78</v>
      </c>
      <c r="H20" s="179">
        <f>99.55+8591.65</f>
        <v>8691.199999999999</v>
      </c>
      <c r="I20" s="204">
        <f aca="true" t="shared" si="4" ref="I20:I30">F20+G20+H20</f>
        <v>54187.049999999996</v>
      </c>
      <c r="J20" s="203">
        <f>5475.79+100.15+1960.27+1875.78+3161.87+315+2595.41</f>
        <v>15484.27</v>
      </c>
      <c r="K20" s="179">
        <f>11529.78</f>
        <v>11529.78</v>
      </c>
      <c r="L20" s="204">
        <f>I20+J20+K20</f>
        <v>81201.09999999999</v>
      </c>
      <c r="M20" s="154">
        <f>1041.65+22004+5147.45</f>
        <v>28193.100000000002</v>
      </c>
      <c r="N20" s="230">
        <f>13553.37</f>
        <v>13553.37</v>
      </c>
      <c r="O20" s="312">
        <f>L20+M20+N20</f>
        <v>122947.56999999999</v>
      </c>
      <c r="P20" s="209">
        <f>226.74+1050+3504.31+5784.81+6664+337.79+918.1+87.91</f>
        <v>18573.66</v>
      </c>
      <c r="Q20" s="208">
        <f t="shared" si="1"/>
        <v>141521.22999999998</v>
      </c>
    </row>
    <row r="21" spans="1:17" ht="12.75">
      <c r="A21" s="13" t="s">
        <v>237</v>
      </c>
      <c r="B21" s="50"/>
      <c r="C21" s="72">
        <v>133697.86</v>
      </c>
      <c r="D21" s="133"/>
      <c r="E21" s="71"/>
      <c r="F21" s="202">
        <f t="shared" si="3"/>
        <v>133697.86</v>
      </c>
      <c r="G21" s="203"/>
      <c r="H21" s="179"/>
      <c r="I21" s="204">
        <f t="shared" si="4"/>
        <v>133697.86</v>
      </c>
      <c r="J21" s="203"/>
      <c r="K21" s="179"/>
      <c r="L21" s="204">
        <f>I21+J21+K21</f>
        <v>133697.86</v>
      </c>
      <c r="M21" s="154">
        <f>-12187.85</f>
        <v>-12187.85</v>
      </c>
      <c r="N21" s="230"/>
      <c r="O21" s="312">
        <f>L21+M21+N21</f>
        <v>121510.00999999998</v>
      </c>
      <c r="P21" s="209"/>
      <c r="Q21" s="208">
        <f t="shared" si="1"/>
        <v>121510.00999999998</v>
      </c>
    </row>
    <row r="22" spans="1:17" ht="12.75" hidden="1">
      <c r="A22" s="13" t="s">
        <v>238</v>
      </c>
      <c r="B22" s="50"/>
      <c r="C22" s="72"/>
      <c r="D22" s="133"/>
      <c r="E22" s="71"/>
      <c r="F22" s="202">
        <f t="shared" si="3"/>
        <v>0</v>
      </c>
      <c r="G22" s="203"/>
      <c r="H22" s="179"/>
      <c r="I22" s="204">
        <f t="shared" si="4"/>
        <v>0</v>
      </c>
      <c r="J22" s="203"/>
      <c r="K22" s="179"/>
      <c r="L22" s="204"/>
      <c r="M22" s="154"/>
      <c r="N22" s="230"/>
      <c r="O22" s="312"/>
      <c r="P22" s="209"/>
      <c r="Q22" s="208"/>
    </row>
    <row r="23" spans="1:17" ht="12.75">
      <c r="A23" s="12" t="s">
        <v>22</v>
      </c>
      <c r="B23" s="49"/>
      <c r="C23" s="72">
        <f>SUM(C24:C29)</f>
        <v>116712.76000000001</v>
      </c>
      <c r="D23" s="133">
        <f>SUM(D24:D29)</f>
        <v>2805.32</v>
      </c>
      <c r="E23" s="71">
        <f aca="true" t="shared" si="5" ref="E23:Q23">SUM(E24:E29)</f>
        <v>0</v>
      </c>
      <c r="F23" s="202">
        <f t="shared" si="5"/>
        <v>119518.08000000002</v>
      </c>
      <c r="G23" s="203">
        <f t="shared" si="5"/>
        <v>5701.15</v>
      </c>
      <c r="H23" s="179">
        <f t="shared" si="5"/>
        <v>0</v>
      </c>
      <c r="I23" s="204">
        <f t="shared" si="5"/>
        <v>125219.23000000001</v>
      </c>
      <c r="J23" s="203">
        <f t="shared" si="5"/>
        <v>443.29</v>
      </c>
      <c r="K23" s="179">
        <f t="shared" si="5"/>
        <v>0</v>
      </c>
      <c r="L23" s="204">
        <f t="shared" si="5"/>
        <v>125662.52000000002</v>
      </c>
      <c r="M23" s="154">
        <f t="shared" si="5"/>
        <v>743.64</v>
      </c>
      <c r="N23" s="230">
        <f t="shared" si="5"/>
        <v>0</v>
      </c>
      <c r="O23" s="312">
        <f t="shared" si="5"/>
        <v>126406.16</v>
      </c>
      <c r="P23" s="203">
        <f t="shared" si="5"/>
        <v>-919.9200000000001</v>
      </c>
      <c r="Q23" s="144">
        <f t="shared" si="5"/>
        <v>125486.23999999999</v>
      </c>
    </row>
    <row r="24" spans="1:17" ht="12.75">
      <c r="A24" s="12" t="s">
        <v>23</v>
      </c>
      <c r="B24" s="49"/>
      <c r="C24" s="72">
        <v>48358.8</v>
      </c>
      <c r="D24" s="133">
        <f>2805.32</f>
        <v>2805.32</v>
      </c>
      <c r="E24" s="71"/>
      <c r="F24" s="202">
        <f t="shared" si="3"/>
        <v>51164.12</v>
      </c>
      <c r="G24" s="203">
        <f>1857.85</f>
        <v>1857.85</v>
      </c>
      <c r="H24" s="179"/>
      <c r="I24" s="204">
        <f t="shared" si="4"/>
        <v>53021.97</v>
      </c>
      <c r="J24" s="203">
        <f>113.93+329.36</f>
        <v>443.29</v>
      </c>
      <c r="K24" s="179"/>
      <c r="L24" s="204">
        <f aca="true" t="shared" si="6" ref="L24:L30">I24+J24+K24</f>
        <v>53465.26</v>
      </c>
      <c r="M24" s="154">
        <f>219.46+521.78</f>
        <v>741.24</v>
      </c>
      <c r="N24" s="230"/>
      <c r="O24" s="312">
        <f aca="true" t="shared" si="7" ref="O24:O30">L24+M24+N24</f>
        <v>54206.5</v>
      </c>
      <c r="P24" s="209">
        <f>-1135.9</f>
        <v>-1135.9</v>
      </c>
      <c r="Q24" s="208">
        <f t="shared" si="1"/>
        <v>53070.6</v>
      </c>
    </row>
    <row r="25" spans="1:17" ht="12.75">
      <c r="A25" s="13" t="s">
        <v>135</v>
      </c>
      <c r="B25" s="50"/>
      <c r="C25" s="72">
        <v>921.46</v>
      </c>
      <c r="D25" s="133"/>
      <c r="E25" s="71"/>
      <c r="F25" s="202">
        <f t="shared" si="3"/>
        <v>921.46</v>
      </c>
      <c r="G25" s="203"/>
      <c r="H25" s="179"/>
      <c r="I25" s="204">
        <f t="shared" si="4"/>
        <v>921.46</v>
      </c>
      <c r="J25" s="203"/>
      <c r="K25" s="179"/>
      <c r="L25" s="204">
        <f t="shared" si="6"/>
        <v>921.46</v>
      </c>
      <c r="M25" s="154"/>
      <c r="N25" s="230"/>
      <c r="O25" s="312">
        <f t="shared" si="7"/>
        <v>921.46</v>
      </c>
      <c r="P25" s="209"/>
      <c r="Q25" s="208">
        <f t="shared" si="1"/>
        <v>921.46</v>
      </c>
    </row>
    <row r="26" spans="1:17" ht="12.75">
      <c r="A26" s="12" t="s">
        <v>24</v>
      </c>
      <c r="B26" s="49"/>
      <c r="C26" s="72">
        <v>26632</v>
      </c>
      <c r="D26" s="133"/>
      <c r="E26" s="71"/>
      <c r="F26" s="202">
        <f t="shared" si="3"/>
        <v>26632</v>
      </c>
      <c r="G26" s="203">
        <f>2148</f>
        <v>2148</v>
      </c>
      <c r="H26" s="179"/>
      <c r="I26" s="204">
        <f t="shared" si="4"/>
        <v>28780</v>
      </c>
      <c r="J26" s="203"/>
      <c r="K26" s="179"/>
      <c r="L26" s="204">
        <f t="shared" si="6"/>
        <v>28780</v>
      </c>
      <c r="M26" s="154"/>
      <c r="N26" s="230"/>
      <c r="O26" s="312">
        <f t="shared" si="7"/>
        <v>28780</v>
      </c>
      <c r="P26" s="209"/>
      <c r="Q26" s="208">
        <f t="shared" si="1"/>
        <v>28780</v>
      </c>
    </row>
    <row r="27" spans="1:17" ht="12.75">
      <c r="A27" s="13" t="s">
        <v>136</v>
      </c>
      <c r="B27" s="50"/>
      <c r="C27" s="72">
        <v>10544.8</v>
      </c>
      <c r="D27" s="133"/>
      <c r="E27" s="71"/>
      <c r="F27" s="202">
        <f t="shared" si="3"/>
        <v>10544.8</v>
      </c>
      <c r="G27" s="203">
        <f>1695.3</f>
        <v>1695.3</v>
      </c>
      <c r="H27" s="179"/>
      <c r="I27" s="204">
        <f t="shared" si="4"/>
        <v>12240.099999999999</v>
      </c>
      <c r="J27" s="203"/>
      <c r="K27" s="179"/>
      <c r="L27" s="204">
        <f t="shared" si="6"/>
        <v>12240.099999999999</v>
      </c>
      <c r="M27" s="154"/>
      <c r="N27" s="230"/>
      <c r="O27" s="312">
        <f t="shared" si="7"/>
        <v>12240.099999999999</v>
      </c>
      <c r="P27" s="209">
        <f>240.3-24.32</f>
        <v>215.98000000000002</v>
      </c>
      <c r="Q27" s="208">
        <f t="shared" si="1"/>
        <v>12456.079999999998</v>
      </c>
    </row>
    <row r="28" spans="1:17" ht="12.75">
      <c r="A28" s="13" t="s">
        <v>223</v>
      </c>
      <c r="B28" s="50"/>
      <c r="C28" s="72">
        <v>316.8</v>
      </c>
      <c r="D28" s="133"/>
      <c r="E28" s="71"/>
      <c r="F28" s="202">
        <f t="shared" si="3"/>
        <v>316.8</v>
      </c>
      <c r="G28" s="203"/>
      <c r="H28" s="179"/>
      <c r="I28" s="204">
        <f t="shared" si="4"/>
        <v>316.8</v>
      </c>
      <c r="J28" s="203"/>
      <c r="K28" s="179"/>
      <c r="L28" s="204">
        <f t="shared" si="6"/>
        <v>316.8</v>
      </c>
      <c r="M28" s="154">
        <f>2.4</f>
        <v>2.4</v>
      </c>
      <c r="N28" s="230"/>
      <c r="O28" s="312">
        <f t="shared" si="7"/>
        <v>319.2</v>
      </c>
      <c r="P28" s="209"/>
      <c r="Q28" s="208">
        <f t="shared" si="1"/>
        <v>319.2</v>
      </c>
    </row>
    <row r="29" spans="1:17" ht="12.75">
      <c r="A29" s="13" t="s">
        <v>137</v>
      </c>
      <c r="B29" s="50"/>
      <c r="C29" s="72">
        <v>29938.9</v>
      </c>
      <c r="D29" s="133"/>
      <c r="E29" s="71"/>
      <c r="F29" s="202">
        <f t="shared" si="3"/>
        <v>29938.9</v>
      </c>
      <c r="G29" s="203"/>
      <c r="H29" s="179"/>
      <c r="I29" s="204">
        <f t="shared" si="4"/>
        <v>29938.9</v>
      </c>
      <c r="J29" s="203"/>
      <c r="K29" s="179"/>
      <c r="L29" s="204">
        <f t="shared" si="6"/>
        <v>29938.9</v>
      </c>
      <c r="M29" s="154"/>
      <c r="N29" s="230"/>
      <c r="O29" s="312">
        <f t="shared" si="7"/>
        <v>29938.9</v>
      </c>
      <c r="P29" s="209"/>
      <c r="Q29" s="208">
        <f>O29+P29</f>
        <v>29938.9</v>
      </c>
    </row>
    <row r="30" spans="1:17" ht="12.75">
      <c r="A30" s="13" t="s">
        <v>295</v>
      </c>
      <c r="B30" s="50"/>
      <c r="C30" s="72"/>
      <c r="D30" s="268">
        <f>599.97+969.05+896.26+162.48+2449.23+127.25+2087.5+1031.02+29.07+906.91+486.94+19.89</f>
        <v>9765.57</v>
      </c>
      <c r="E30" s="71"/>
      <c r="F30" s="202">
        <f t="shared" si="3"/>
        <v>9765.57</v>
      </c>
      <c r="G30" s="209">
        <f>5846.49+200.96+122.58+42.8+33.11+122.17+35.57+1824.36+914.8+127.5+3753.21+1203.18+174.49+248.65+3287.21+451.08+850.25</f>
        <v>19238.41</v>
      </c>
      <c r="H30" s="180"/>
      <c r="I30" s="204">
        <f t="shared" si="4"/>
        <v>29003.98</v>
      </c>
      <c r="J30" s="209">
        <f>11063.69+778.62+7.7+999.8+1791+720.82+863.64+992.12+472.83+40.27+300.77+15989.93+57.48+171.36+101.8+2.24+1000+354.82+3032.86+180.99</f>
        <v>38922.740000000005</v>
      </c>
      <c r="K30" s="180"/>
      <c r="L30" s="204">
        <f t="shared" si="6"/>
        <v>67926.72</v>
      </c>
      <c r="M30" s="164">
        <f>1733.32+119.86+2213.14+6.07+3070.46+203.25+655.42+13236.69-27053.62-863.64</f>
        <v>-6679.05</v>
      </c>
      <c r="N30" s="293"/>
      <c r="O30" s="312">
        <f t="shared" si="7"/>
        <v>61247.67</v>
      </c>
      <c r="P30" s="163">
        <f>238.6+1374+3121.19-2.26+148+7270.71+30</f>
        <v>12180.24</v>
      </c>
      <c r="Q30" s="208">
        <f>O30+P30</f>
        <v>73427.91</v>
      </c>
    </row>
    <row r="31" spans="1:17" ht="12.75">
      <c r="A31" s="14" t="s">
        <v>201</v>
      </c>
      <c r="B31" s="51"/>
      <c r="C31" s="73">
        <f>SUM(C33:C37)</f>
        <v>5000</v>
      </c>
      <c r="D31" s="134">
        <f aca="true" t="shared" si="8" ref="D31:Q31">SUM(D33:D37)</f>
        <v>7574.7</v>
      </c>
      <c r="E31" s="74">
        <f t="shared" si="8"/>
        <v>0</v>
      </c>
      <c r="F31" s="254">
        <f t="shared" si="8"/>
        <v>12574.7</v>
      </c>
      <c r="G31" s="220">
        <f t="shared" si="8"/>
        <v>-1314.62</v>
      </c>
      <c r="H31" s="181">
        <f t="shared" si="8"/>
        <v>0</v>
      </c>
      <c r="I31" s="211">
        <f t="shared" si="8"/>
        <v>11260.080000000002</v>
      </c>
      <c r="J31" s="220">
        <f t="shared" si="8"/>
        <v>1109.8</v>
      </c>
      <c r="K31" s="181">
        <f t="shared" si="8"/>
        <v>0</v>
      </c>
      <c r="L31" s="211">
        <f t="shared" si="8"/>
        <v>12369.880000000001</v>
      </c>
      <c r="M31" s="165">
        <f t="shared" si="8"/>
        <v>0</v>
      </c>
      <c r="N31" s="231">
        <f t="shared" si="8"/>
        <v>0</v>
      </c>
      <c r="O31" s="313">
        <f t="shared" si="8"/>
        <v>12369.880000000001</v>
      </c>
      <c r="P31" s="220">
        <f t="shared" si="8"/>
        <v>0</v>
      </c>
      <c r="Q31" s="145">
        <f t="shared" si="8"/>
        <v>12369.880000000001</v>
      </c>
    </row>
    <row r="32" spans="1:17" ht="11.25" customHeight="1">
      <c r="A32" s="11" t="s">
        <v>20</v>
      </c>
      <c r="B32" s="48"/>
      <c r="C32" s="72"/>
      <c r="D32" s="133"/>
      <c r="E32" s="71"/>
      <c r="F32" s="202"/>
      <c r="G32" s="203"/>
      <c r="H32" s="179"/>
      <c r="I32" s="204"/>
      <c r="J32" s="203"/>
      <c r="K32" s="179"/>
      <c r="L32" s="204"/>
      <c r="M32" s="154"/>
      <c r="N32" s="230"/>
      <c r="O32" s="312"/>
      <c r="P32" s="209"/>
      <c r="Q32" s="208"/>
    </row>
    <row r="33" spans="1:17" ht="12.75">
      <c r="A33" s="56" t="s">
        <v>105</v>
      </c>
      <c r="B33" s="49"/>
      <c r="C33" s="72"/>
      <c r="D33" s="133"/>
      <c r="E33" s="71"/>
      <c r="F33" s="202">
        <f>C33+D33+E33</f>
        <v>0</v>
      </c>
      <c r="G33" s="203"/>
      <c r="H33" s="179"/>
      <c r="I33" s="204">
        <f>F33+G33+H33</f>
        <v>0</v>
      </c>
      <c r="J33" s="203">
        <f>1109.8</f>
        <v>1109.8</v>
      </c>
      <c r="K33" s="179"/>
      <c r="L33" s="204">
        <f>I33+J33+K33</f>
        <v>1109.8</v>
      </c>
      <c r="M33" s="154"/>
      <c r="N33" s="230"/>
      <c r="O33" s="312">
        <f>L33+M33+N33</f>
        <v>1109.8</v>
      </c>
      <c r="P33" s="209"/>
      <c r="Q33" s="208">
        <f t="shared" si="1"/>
        <v>1109.8</v>
      </c>
    </row>
    <row r="34" spans="1:17" ht="12.75" hidden="1">
      <c r="A34" s="13" t="s">
        <v>101</v>
      </c>
      <c r="B34" s="50"/>
      <c r="C34" s="72"/>
      <c r="D34" s="133"/>
      <c r="E34" s="71"/>
      <c r="F34" s="202">
        <f>C34+D34+E34</f>
        <v>0</v>
      </c>
      <c r="G34" s="203"/>
      <c r="H34" s="179"/>
      <c r="I34" s="204">
        <f>F34+G34+H34</f>
        <v>0</v>
      </c>
      <c r="J34" s="210"/>
      <c r="K34" s="179"/>
      <c r="L34" s="204">
        <f>I34+J34+K34</f>
        <v>0</v>
      </c>
      <c r="M34" s="168"/>
      <c r="N34" s="230"/>
      <c r="O34" s="312">
        <f>L34+M34+N34</f>
        <v>0</v>
      </c>
      <c r="P34" s="209"/>
      <c r="Q34" s="208">
        <f t="shared" si="1"/>
        <v>0</v>
      </c>
    </row>
    <row r="35" spans="1:17" ht="12.75" hidden="1">
      <c r="A35" s="13" t="s">
        <v>103</v>
      </c>
      <c r="B35" s="50"/>
      <c r="C35" s="72"/>
      <c r="D35" s="133"/>
      <c r="E35" s="71"/>
      <c r="F35" s="202">
        <f>C35+D35+E35</f>
        <v>0</v>
      </c>
      <c r="G35" s="203"/>
      <c r="H35" s="179"/>
      <c r="I35" s="204"/>
      <c r="J35" s="210"/>
      <c r="K35" s="179"/>
      <c r="L35" s="204"/>
      <c r="M35" s="168"/>
      <c r="N35" s="230"/>
      <c r="O35" s="312"/>
      <c r="P35" s="209"/>
      <c r="Q35" s="208"/>
    </row>
    <row r="36" spans="1:17" ht="12.75" hidden="1">
      <c r="A36" s="13" t="s">
        <v>109</v>
      </c>
      <c r="B36" s="50"/>
      <c r="C36" s="72"/>
      <c r="D36" s="133"/>
      <c r="E36" s="71"/>
      <c r="F36" s="202">
        <f>C36+D36+E36</f>
        <v>0</v>
      </c>
      <c r="G36" s="203"/>
      <c r="H36" s="179"/>
      <c r="I36" s="204">
        <f>F36+G36+H36</f>
        <v>0</v>
      </c>
      <c r="J36" s="210"/>
      <c r="K36" s="179"/>
      <c r="L36" s="204">
        <f>I36+J36+K36</f>
        <v>0</v>
      </c>
      <c r="M36" s="168"/>
      <c r="N36" s="230"/>
      <c r="O36" s="312">
        <f>L36+M36+N36</f>
        <v>0</v>
      </c>
      <c r="P36" s="209"/>
      <c r="Q36" s="208">
        <f t="shared" si="1"/>
        <v>0</v>
      </c>
    </row>
    <row r="37" spans="1:17" ht="12.75">
      <c r="A37" s="56" t="s">
        <v>224</v>
      </c>
      <c r="B37" s="49"/>
      <c r="C37" s="72">
        <v>5000</v>
      </c>
      <c r="D37" s="133">
        <f>7574.7</f>
        <v>7574.7</v>
      </c>
      <c r="E37" s="71"/>
      <c r="F37" s="202">
        <f>C37+D37+E37</f>
        <v>12574.7</v>
      </c>
      <c r="G37" s="203">
        <f>-1314.62</f>
        <v>-1314.62</v>
      </c>
      <c r="H37" s="179"/>
      <c r="I37" s="204">
        <f>F37+G37+H37</f>
        <v>11260.080000000002</v>
      </c>
      <c r="J37" s="203"/>
      <c r="K37" s="179"/>
      <c r="L37" s="204">
        <f>I37+J37+K37</f>
        <v>11260.080000000002</v>
      </c>
      <c r="M37" s="154"/>
      <c r="N37" s="230"/>
      <c r="O37" s="312">
        <f>L37+M37+N37</f>
        <v>11260.080000000002</v>
      </c>
      <c r="P37" s="209"/>
      <c r="Q37" s="208">
        <f t="shared" si="1"/>
        <v>11260.080000000002</v>
      </c>
    </row>
    <row r="38" spans="1:17" ht="12.75">
      <c r="A38" s="14" t="s">
        <v>202</v>
      </c>
      <c r="B38" s="49"/>
      <c r="C38" s="72"/>
      <c r="D38" s="133"/>
      <c r="E38" s="71"/>
      <c r="F38" s="202"/>
      <c r="G38" s="203"/>
      <c r="H38" s="179"/>
      <c r="I38" s="204"/>
      <c r="J38" s="203"/>
      <c r="K38" s="179"/>
      <c r="L38" s="204"/>
      <c r="M38" s="154"/>
      <c r="N38" s="230"/>
      <c r="O38" s="312"/>
      <c r="P38" s="209"/>
      <c r="Q38" s="208"/>
    </row>
    <row r="39" spans="1:18" ht="12.75">
      <c r="A39" s="10" t="s">
        <v>25</v>
      </c>
      <c r="B39" s="47"/>
      <c r="C39" s="69">
        <f>SUM(C41:C64)</f>
        <v>119059</v>
      </c>
      <c r="D39" s="132">
        <f aca="true" t="shared" si="9" ref="D39:Q39">SUM(D41:D64)</f>
        <v>1899071.45</v>
      </c>
      <c r="E39" s="70">
        <f t="shared" si="9"/>
        <v>0</v>
      </c>
      <c r="F39" s="92">
        <f t="shared" si="9"/>
        <v>2018130.45</v>
      </c>
      <c r="G39" s="219">
        <f t="shared" si="9"/>
        <v>8868552.12</v>
      </c>
      <c r="H39" s="178">
        <f t="shared" si="9"/>
        <v>0</v>
      </c>
      <c r="I39" s="205">
        <f t="shared" si="9"/>
        <v>10886682.57</v>
      </c>
      <c r="J39" s="219">
        <f t="shared" si="9"/>
        <v>435593.66</v>
      </c>
      <c r="K39" s="178">
        <f t="shared" si="9"/>
        <v>0</v>
      </c>
      <c r="L39" s="205">
        <f t="shared" si="9"/>
        <v>11322276.229999999</v>
      </c>
      <c r="M39" s="150">
        <f t="shared" si="9"/>
        <v>624534.88</v>
      </c>
      <c r="N39" s="229">
        <f t="shared" si="9"/>
        <v>0</v>
      </c>
      <c r="O39" s="311">
        <f t="shared" si="9"/>
        <v>11946811.109999998</v>
      </c>
      <c r="P39" s="219">
        <f t="shared" si="9"/>
        <v>127008.79999999999</v>
      </c>
      <c r="Q39" s="143">
        <f t="shared" si="9"/>
        <v>12073819.909999996</v>
      </c>
      <c r="R39" s="287"/>
    </row>
    <row r="40" spans="1:17" ht="10.5" customHeight="1">
      <c r="A40" s="15" t="s">
        <v>26</v>
      </c>
      <c r="B40" s="52"/>
      <c r="C40" s="72"/>
      <c r="D40" s="133"/>
      <c r="E40" s="71"/>
      <c r="F40" s="202"/>
      <c r="G40" s="203"/>
      <c r="H40" s="179"/>
      <c r="I40" s="204"/>
      <c r="J40" s="203"/>
      <c r="K40" s="179"/>
      <c r="L40" s="204"/>
      <c r="M40" s="154"/>
      <c r="N40" s="230"/>
      <c r="O40" s="312"/>
      <c r="P40" s="209"/>
      <c r="Q40" s="208"/>
    </row>
    <row r="41" spans="1:17" ht="12.75">
      <c r="A41" s="13" t="s">
        <v>27</v>
      </c>
      <c r="B41" s="50"/>
      <c r="C41" s="72">
        <v>118809</v>
      </c>
      <c r="D41" s="133"/>
      <c r="E41" s="71"/>
      <c r="F41" s="202">
        <f aca="true" t="shared" si="10" ref="F41:F64">C41+D41+E41</f>
        <v>118809</v>
      </c>
      <c r="G41" s="203"/>
      <c r="H41" s="179"/>
      <c r="I41" s="204">
        <f>F41+G41+H41</f>
        <v>118809</v>
      </c>
      <c r="J41" s="203"/>
      <c r="K41" s="179"/>
      <c r="L41" s="204">
        <f>I41+J41+K41</f>
        <v>118809</v>
      </c>
      <c r="M41" s="154"/>
      <c r="N41" s="230"/>
      <c r="O41" s="312">
        <f>L41+M41+N41</f>
        <v>118809</v>
      </c>
      <c r="P41" s="209"/>
      <c r="Q41" s="208">
        <f t="shared" si="1"/>
        <v>118809</v>
      </c>
    </row>
    <row r="42" spans="1:17" ht="12.75">
      <c r="A42" s="13" t="s">
        <v>28</v>
      </c>
      <c r="B42" s="50"/>
      <c r="C42" s="72"/>
      <c r="D42" s="133"/>
      <c r="E42" s="71"/>
      <c r="F42" s="202">
        <f t="shared" si="10"/>
        <v>0</v>
      </c>
      <c r="G42" s="203">
        <f>20349.31+1435.13</f>
        <v>21784.440000000002</v>
      </c>
      <c r="H42" s="179"/>
      <c r="I42" s="204">
        <f aca="true" t="shared" si="11" ref="I42:I64">F42+G42+H42</f>
        <v>21784.440000000002</v>
      </c>
      <c r="J42" s="203">
        <f>10625.02+764.95+23578.3+23551.11</f>
        <v>58519.380000000005</v>
      </c>
      <c r="K42" s="179"/>
      <c r="L42" s="204">
        <f aca="true" t="shared" si="12" ref="L42:L64">I42+J42+K42</f>
        <v>80303.82</v>
      </c>
      <c r="M42" s="154">
        <f>1000+27673.74+4.55+100</f>
        <v>28778.29</v>
      </c>
      <c r="N42" s="230"/>
      <c r="O42" s="312">
        <f aca="true" t="shared" si="13" ref="O42:O64">L42+M42+N42</f>
        <v>109082.11000000002</v>
      </c>
      <c r="P42" s="209">
        <f>74448.44</f>
        <v>74448.44</v>
      </c>
      <c r="Q42" s="208">
        <f t="shared" si="1"/>
        <v>183530.55000000002</v>
      </c>
    </row>
    <row r="43" spans="1:17" ht="12.75">
      <c r="A43" s="13" t="s">
        <v>356</v>
      </c>
      <c r="B43" s="50"/>
      <c r="C43" s="72"/>
      <c r="D43" s="133"/>
      <c r="E43" s="71"/>
      <c r="F43" s="202"/>
      <c r="G43" s="203"/>
      <c r="H43" s="179"/>
      <c r="I43" s="204"/>
      <c r="J43" s="203"/>
      <c r="K43" s="179"/>
      <c r="L43" s="204">
        <f t="shared" si="12"/>
        <v>0</v>
      </c>
      <c r="M43" s="154">
        <f>425.3+115.72</f>
        <v>541.02</v>
      </c>
      <c r="N43" s="230"/>
      <c r="O43" s="312">
        <f t="shared" si="13"/>
        <v>541.02</v>
      </c>
      <c r="P43" s="209"/>
      <c r="Q43" s="208">
        <f t="shared" si="1"/>
        <v>541.02</v>
      </c>
    </row>
    <row r="44" spans="1:17" ht="12.75">
      <c r="A44" s="13" t="s">
        <v>29</v>
      </c>
      <c r="B44" s="50"/>
      <c r="C44" s="72"/>
      <c r="D44" s="133">
        <f>772855.17+41253.78+18081.7+41301.16+772855.17</f>
        <v>1646346.98</v>
      </c>
      <c r="E44" s="71"/>
      <c r="F44" s="202">
        <f t="shared" si="10"/>
        <v>1646346.98</v>
      </c>
      <c r="G44" s="203">
        <f>13698.4+21681+772855.17+2133+41885.67+480.4+6925868.2+980.4+149383.17+32526+3064.67+425.46-248.2</f>
        <v>7964733.34</v>
      </c>
      <c r="H44" s="179"/>
      <c r="I44" s="204">
        <f t="shared" si="11"/>
        <v>9611080.32</v>
      </c>
      <c r="J44" s="203">
        <f>14844.55+136819.92+976.13+7172.57-147.49+102.38+330.8</f>
        <v>160098.86000000002</v>
      </c>
      <c r="K44" s="179"/>
      <c r="L44" s="204">
        <f t="shared" si="12"/>
        <v>9771179.18</v>
      </c>
      <c r="M44" s="154">
        <f>51+357.33+1879.18+1464.57+43257.03+145518.11+88276.06+12245.1+1864.04+147.49+1740.57+300+6900.16+1185.32</f>
        <v>305185.9599999999</v>
      </c>
      <c r="N44" s="230"/>
      <c r="O44" s="312">
        <f t="shared" si="13"/>
        <v>10076365.139999999</v>
      </c>
      <c r="P44" s="209">
        <f>-23989.77+12535.39-4675.68-0.41-43.32+85-300-201.8+182.28-3.11-298.79</f>
        <v>-16710.210000000003</v>
      </c>
      <c r="Q44" s="208">
        <f t="shared" si="1"/>
        <v>10059654.929999998</v>
      </c>
    </row>
    <row r="45" spans="1:17" ht="12.75">
      <c r="A45" s="13" t="s">
        <v>30</v>
      </c>
      <c r="B45" s="50"/>
      <c r="C45" s="72"/>
      <c r="D45" s="133">
        <f>29773.34+1600+206235.5+3000+1449.15</f>
        <v>242057.99</v>
      </c>
      <c r="E45" s="71"/>
      <c r="F45" s="202">
        <f t="shared" si="10"/>
        <v>242057.99</v>
      </c>
      <c r="G45" s="203">
        <f>103117.75+1290.41+645.2-29773.34+7000+744849+1001.13+17341.72+1391.46</f>
        <v>846863.33</v>
      </c>
      <c r="H45" s="179"/>
      <c r="I45" s="204">
        <f t="shared" si="11"/>
        <v>1088921.3199999998</v>
      </c>
      <c r="J45" s="203">
        <f>29.89+4752.48+2000</f>
        <v>6782.37</v>
      </c>
      <c r="K45" s="179"/>
      <c r="L45" s="204">
        <f t="shared" si="12"/>
        <v>1095703.69</v>
      </c>
      <c r="M45" s="154">
        <f>155064+1798.67+1820.79+2241.67+91100.15</f>
        <v>252025.28000000003</v>
      </c>
      <c r="N45" s="230"/>
      <c r="O45" s="312">
        <f t="shared" si="13"/>
        <v>1347728.97</v>
      </c>
      <c r="P45" s="209">
        <f>500+2695.94+1628.32+14334.99+13270+9050.52+225.01</f>
        <v>41704.780000000006</v>
      </c>
      <c r="Q45" s="208">
        <f t="shared" si="1"/>
        <v>1389433.75</v>
      </c>
    </row>
    <row r="46" spans="1:17" ht="12.75">
      <c r="A46" s="13" t="s">
        <v>31</v>
      </c>
      <c r="B46" s="50"/>
      <c r="C46" s="72"/>
      <c r="D46" s="133">
        <f>13.8+16.41+13.64+9566+659.56</f>
        <v>10269.41</v>
      </c>
      <c r="E46" s="71"/>
      <c r="F46" s="202">
        <f t="shared" si="10"/>
        <v>10269.41</v>
      </c>
      <c r="G46" s="203">
        <f>16.99+1316.39+6.93+7.72+14.14+21.2+1151.87+45.74</f>
        <v>2580.98</v>
      </c>
      <c r="H46" s="179"/>
      <c r="I46" s="204">
        <f t="shared" si="11"/>
        <v>12850.39</v>
      </c>
      <c r="J46" s="203">
        <f>621.96+20.05+2345.11+7.93+13.12+18.28+17.52</f>
        <v>3043.97</v>
      </c>
      <c r="K46" s="179"/>
      <c r="L46" s="204">
        <f t="shared" si="12"/>
        <v>15894.359999999999</v>
      </c>
      <c r="M46" s="154">
        <f>1041.65+57.57+1654.81+388.6</f>
        <v>3142.6299999999997</v>
      </c>
      <c r="N46" s="230"/>
      <c r="O46" s="312">
        <f t="shared" si="13"/>
        <v>19036.989999999998</v>
      </c>
      <c r="P46" s="209">
        <f>25.8+22.27-316.82</f>
        <v>-268.75</v>
      </c>
      <c r="Q46" s="208">
        <f t="shared" si="1"/>
        <v>18768.239999999998</v>
      </c>
    </row>
    <row r="47" spans="1:17" ht="12.75">
      <c r="A47" s="13" t="s">
        <v>32</v>
      </c>
      <c r="B47" s="50"/>
      <c r="C47" s="72"/>
      <c r="D47" s="133"/>
      <c r="E47" s="71"/>
      <c r="F47" s="202">
        <f t="shared" si="10"/>
        <v>0</v>
      </c>
      <c r="G47" s="203">
        <f>810</f>
        <v>810</v>
      </c>
      <c r="H47" s="179"/>
      <c r="I47" s="204">
        <f t="shared" si="11"/>
        <v>810</v>
      </c>
      <c r="J47" s="203">
        <f>27.5+34.16+83+345+140+60+50+69+135+32+65+28+69+63+126+130+215+97+100+200+92+117+90</f>
        <v>2367.66</v>
      </c>
      <c r="K47" s="179"/>
      <c r="L47" s="204">
        <f t="shared" si="12"/>
        <v>3177.66</v>
      </c>
      <c r="M47" s="154">
        <f>-33+32.02</f>
        <v>-0.9799999999999969</v>
      </c>
      <c r="N47" s="230"/>
      <c r="O47" s="312">
        <f t="shared" si="13"/>
        <v>3176.68</v>
      </c>
      <c r="P47" s="209">
        <f>-65-0.27+270.46</f>
        <v>205.19</v>
      </c>
      <c r="Q47" s="208">
        <f t="shared" si="1"/>
        <v>3381.87</v>
      </c>
    </row>
    <row r="48" spans="1:17" ht="12.75">
      <c r="A48" s="13" t="s">
        <v>33</v>
      </c>
      <c r="B48" s="50"/>
      <c r="C48" s="72"/>
      <c r="D48" s="133"/>
      <c r="E48" s="71"/>
      <c r="F48" s="202">
        <f t="shared" si="10"/>
        <v>0</v>
      </c>
      <c r="G48" s="203">
        <f>1900+3524.8</f>
        <v>5424.8</v>
      </c>
      <c r="H48" s="179"/>
      <c r="I48" s="204">
        <f t="shared" si="11"/>
        <v>5424.8</v>
      </c>
      <c r="J48" s="203">
        <f>180</f>
        <v>180</v>
      </c>
      <c r="K48" s="179"/>
      <c r="L48" s="204">
        <f t="shared" si="12"/>
        <v>5604.8</v>
      </c>
      <c r="M48" s="154"/>
      <c r="N48" s="230"/>
      <c r="O48" s="312">
        <f t="shared" si="13"/>
        <v>5604.8</v>
      </c>
      <c r="P48" s="209">
        <f>22672.2</f>
        <v>22672.2</v>
      </c>
      <c r="Q48" s="208">
        <f t="shared" si="1"/>
        <v>28277</v>
      </c>
    </row>
    <row r="49" spans="1:17" ht="12.75">
      <c r="A49" s="13" t="s">
        <v>34</v>
      </c>
      <c r="B49" s="50"/>
      <c r="C49" s="72"/>
      <c r="D49" s="133"/>
      <c r="E49" s="71"/>
      <c r="F49" s="202">
        <f t="shared" si="10"/>
        <v>0</v>
      </c>
      <c r="G49" s="203"/>
      <c r="H49" s="179"/>
      <c r="I49" s="204">
        <f t="shared" si="11"/>
        <v>0</v>
      </c>
      <c r="J49" s="203"/>
      <c r="K49" s="179"/>
      <c r="L49" s="204">
        <f t="shared" si="12"/>
        <v>0</v>
      </c>
      <c r="M49" s="154"/>
      <c r="N49" s="230"/>
      <c r="O49" s="312">
        <f t="shared" si="13"/>
        <v>0</v>
      </c>
      <c r="P49" s="209">
        <f>4541.42+291.4</f>
        <v>4832.82</v>
      </c>
      <c r="Q49" s="208">
        <f t="shared" si="1"/>
        <v>4832.82</v>
      </c>
    </row>
    <row r="50" spans="1:17" ht="12.75">
      <c r="A50" s="13" t="s">
        <v>130</v>
      </c>
      <c r="B50" s="50"/>
      <c r="C50" s="72"/>
      <c r="D50" s="133"/>
      <c r="E50" s="71"/>
      <c r="F50" s="202">
        <f t="shared" si="10"/>
        <v>0</v>
      </c>
      <c r="G50" s="203"/>
      <c r="H50" s="179"/>
      <c r="I50" s="204">
        <f t="shared" si="11"/>
        <v>0</v>
      </c>
      <c r="J50" s="203">
        <f>214113.36</f>
        <v>214113.36</v>
      </c>
      <c r="K50" s="179"/>
      <c r="L50" s="204">
        <f t="shared" si="12"/>
        <v>214113.36</v>
      </c>
      <c r="M50" s="154"/>
      <c r="N50" s="230"/>
      <c r="O50" s="312">
        <f t="shared" si="13"/>
        <v>214113.36</v>
      </c>
      <c r="P50" s="209"/>
      <c r="Q50" s="208">
        <f t="shared" si="1"/>
        <v>214113.36</v>
      </c>
    </row>
    <row r="51" spans="1:17" ht="12.75">
      <c r="A51" s="13" t="s">
        <v>141</v>
      </c>
      <c r="B51" s="50"/>
      <c r="C51" s="72"/>
      <c r="D51" s="133"/>
      <c r="E51" s="71"/>
      <c r="F51" s="202">
        <f t="shared" si="10"/>
        <v>0</v>
      </c>
      <c r="G51" s="203">
        <f>10140</f>
        <v>10140</v>
      </c>
      <c r="H51" s="179"/>
      <c r="I51" s="204">
        <f t="shared" si="11"/>
        <v>10140</v>
      </c>
      <c r="J51" s="203"/>
      <c r="K51" s="179"/>
      <c r="L51" s="204">
        <f t="shared" si="12"/>
        <v>10140</v>
      </c>
      <c r="M51" s="154"/>
      <c r="N51" s="230"/>
      <c r="O51" s="312">
        <f t="shared" si="13"/>
        <v>10140</v>
      </c>
      <c r="P51" s="209">
        <f>-5951.44</f>
        <v>-5951.44</v>
      </c>
      <c r="Q51" s="208">
        <f t="shared" si="1"/>
        <v>4188.56</v>
      </c>
    </row>
    <row r="52" spans="1:17" ht="12.75">
      <c r="A52" s="17" t="s">
        <v>42</v>
      </c>
      <c r="B52" s="50"/>
      <c r="C52" s="72"/>
      <c r="D52" s="133"/>
      <c r="E52" s="71"/>
      <c r="F52" s="202">
        <f t="shared" si="10"/>
        <v>0</v>
      </c>
      <c r="G52" s="203">
        <f>1916.76</f>
        <v>1916.76</v>
      </c>
      <c r="H52" s="179"/>
      <c r="I52" s="204">
        <f t="shared" si="11"/>
        <v>1916.76</v>
      </c>
      <c r="J52" s="203"/>
      <c r="K52" s="179"/>
      <c r="L52" s="204">
        <f t="shared" si="12"/>
        <v>1916.76</v>
      </c>
      <c r="M52" s="154">
        <f>293.36</f>
        <v>293.36</v>
      </c>
      <c r="N52" s="230"/>
      <c r="O52" s="312">
        <f t="shared" si="13"/>
        <v>2210.12</v>
      </c>
      <c r="P52" s="209"/>
      <c r="Q52" s="208">
        <f t="shared" si="1"/>
        <v>2210.12</v>
      </c>
    </row>
    <row r="53" spans="1:17" ht="12.75">
      <c r="A53" s="17" t="s">
        <v>349</v>
      </c>
      <c r="B53" s="50"/>
      <c r="C53" s="72"/>
      <c r="D53" s="133"/>
      <c r="E53" s="71"/>
      <c r="F53" s="202"/>
      <c r="G53" s="203"/>
      <c r="H53" s="179"/>
      <c r="I53" s="204">
        <f t="shared" si="11"/>
        <v>0</v>
      </c>
      <c r="J53" s="203">
        <f>420.75</f>
        <v>420.75</v>
      </c>
      <c r="K53" s="179"/>
      <c r="L53" s="204">
        <f t="shared" si="12"/>
        <v>420.75</v>
      </c>
      <c r="M53" s="154"/>
      <c r="N53" s="230"/>
      <c r="O53" s="312">
        <f t="shared" si="13"/>
        <v>420.75</v>
      </c>
      <c r="P53" s="209"/>
      <c r="Q53" s="208">
        <f t="shared" si="1"/>
        <v>420.75</v>
      </c>
    </row>
    <row r="54" spans="1:17" ht="12.75">
      <c r="A54" s="13" t="s">
        <v>35</v>
      </c>
      <c r="B54" s="50"/>
      <c r="C54" s="72"/>
      <c r="D54" s="133">
        <f>389.37</f>
        <v>389.37</v>
      </c>
      <c r="E54" s="71"/>
      <c r="F54" s="202">
        <f t="shared" si="10"/>
        <v>389.37</v>
      </c>
      <c r="G54" s="203">
        <f>288.83</f>
        <v>288.83</v>
      </c>
      <c r="H54" s="179"/>
      <c r="I54" s="204">
        <f t="shared" si="11"/>
        <v>678.2</v>
      </c>
      <c r="J54" s="203">
        <f>340.85+297.85</f>
        <v>638.7</v>
      </c>
      <c r="K54" s="179"/>
      <c r="L54" s="204">
        <f t="shared" si="12"/>
        <v>1316.9</v>
      </c>
      <c r="M54" s="154">
        <f>1643.9+655.71</f>
        <v>2299.61</v>
      </c>
      <c r="N54" s="230"/>
      <c r="O54" s="312">
        <f t="shared" si="13"/>
        <v>3616.51</v>
      </c>
      <c r="P54" s="275"/>
      <c r="Q54" s="208">
        <f t="shared" si="1"/>
        <v>3616.51</v>
      </c>
    </row>
    <row r="55" spans="1:17" ht="12.75">
      <c r="A55" s="13" t="s">
        <v>36</v>
      </c>
      <c r="B55" s="50"/>
      <c r="C55" s="72"/>
      <c r="D55" s="133"/>
      <c r="E55" s="71"/>
      <c r="F55" s="202">
        <f t="shared" si="10"/>
        <v>0</v>
      </c>
      <c r="G55" s="203">
        <f>603+492</f>
        <v>1095</v>
      </c>
      <c r="H55" s="179"/>
      <c r="I55" s="204">
        <f t="shared" si="11"/>
        <v>1095</v>
      </c>
      <c r="J55" s="210">
        <f>500</f>
        <v>500</v>
      </c>
      <c r="K55" s="179"/>
      <c r="L55" s="204">
        <f t="shared" si="12"/>
        <v>1595</v>
      </c>
      <c r="M55" s="154"/>
      <c r="N55" s="230"/>
      <c r="O55" s="312">
        <f t="shared" si="13"/>
        <v>1595</v>
      </c>
      <c r="P55" s="209"/>
      <c r="Q55" s="208">
        <f t="shared" si="1"/>
        <v>1595</v>
      </c>
    </row>
    <row r="56" spans="1:17" ht="12.75" hidden="1">
      <c r="A56" s="13" t="s">
        <v>182</v>
      </c>
      <c r="B56" s="50"/>
      <c r="C56" s="72"/>
      <c r="D56" s="133"/>
      <c r="E56" s="71"/>
      <c r="F56" s="202">
        <f t="shared" si="10"/>
        <v>0</v>
      </c>
      <c r="G56" s="203"/>
      <c r="H56" s="179"/>
      <c r="I56" s="204">
        <f t="shared" si="11"/>
        <v>0</v>
      </c>
      <c r="J56" s="210"/>
      <c r="K56" s="179"/>
      <c r="L56" s="204">
        <f t="shared" si="12"/>
        <v>0</v>
      </c>
      <c r="M56" s="154"/>
      <c r="N56" s="230"/>
      <c r="O56" s="312">
        <f t="shared" si="13"/>
        <v>0</v>
      </c>
      <c r="P56" s="209"/>
      <c r="Q56" s="208">
        <f t="shared" si="1"/>
        <v>0</v>
      </c>
    </row>
    <row r="57" spans="1:17" ht="12.75" hidden="1">
      <c r="A57" s="13" t="s">
        <v>142</v>
      </c>
      <c r="B57" s="50"/>
      <c r="C57" s="72"/>
      <c r="D57" s="133"/>
      <c r="E57" s="71"/>
      <c r="F57" s="202">
        <f t="shared" si="10"/>
        <v>0</v>
      </c>
      <c r="G57" s="203"/>
      <c r="H57" s="179"/>
      <c r="I57" s="204">
        <f t="shared" si="11"/>
        <v>0</v>
      </c>
      <c r="J57" s="210"/>
      <c r="K57" s="179"/>
      <c r="L57" s="204">
        <f t="shared" si="12"/>
        <v>0</v>
      </c>
      <c r="M57" s="154"/>
      <c r="N57" s="230"/>
      <c r="O57" s="312">
        <f t="shared" si="13"/>
        <v>0</v>
      </c>
      <c r="P57" s="209"/>
      <c r="Q57" s="208">
        <f t="shared" si="1"/>
        <v>0</v>
      </c>
    </row>
    <row r="58" spans="1:17" ht="12.75" hidden="1">
      <c r="A58" s="13" t="s">
        <v>37</v>
      </c>
      <c r="B58" s="50"/>
      <c r="C58" s="72"/>
      <c r="D58" s="133"/>
      <c r="E58" s="71"/>
      <c r="F58" s="202">
        <f t="shared" si="10"/>
        <v>0</v>
      </c>
      <c r="G58" s="203"/>
      <c r="H58" s="179"/>
      <c r="I58" s="204">
        <f t="shared" si="11"/>
        <v>0</v>
      </c>
      <c r="J58" s="203"/>
      <c r="K58" s="179"/>
      <c r="L58" s="204">
        <f t="shared" si="12"/>
        <v>0</v>
      </c>
      <c r="M58" s="154"/>
      <c r="N58" s="230"/>
      <c r="O58" s="312">
        <f t="shared" si="13"/>
        <v>0</v>
      </c>
      <c r="P58" s="209"/>
      <c r="Q58" s="208">
        <f t="shared" si="1"/>
        <v>0</v>
      </c>
    </row>
    <row r="59" spans="1:17" ht="12.75" hidden="1">
      <c r="A59" s="13" t="s">
        <v>44</v>
      </c>
      <c r="B59" s="50"/>
      <c r="C59" s="72"/>
      <c r="D59" s="133"/>
      <c r="E59" s="71"/>
      <c r="F59" s="202">
        <f t="shared" si="10"/>
        <v>0</v>
      </c>
      <c r="G59" s="203"/>
      <c r="H59" s="179"/>
      <c r="I59" s="204">
        <f t="shared" si="11"/>
        <v>0</v>
      </c>
      <c r="J59" s="203"/>
      <c r="K59" s="179"/>
      <c r="L59" s="204">
        <f t="shared" si="12"/>
        <v>0</v>
      </c>
      <c r="M59" s="154"/>
      <c r="N59" s="230"/>
      <c r="O59" s="312">
        <f t="shared" si="13"/>
        <v>0</v>
      </c>
      <c r="P59" s="209"/>
      <c r="Q59" s="208">
        <f t="shared" si="1"/>
        <v>0</v>
      </c>
    </row>
    <row r="60" spans="1:17" ht="12.75">
      <c r="A60" s="13" t="s">
        <v>38</v>
      </c>
      <c r="B60" s="50"/>
      <c r="C60" s="72"/>
      <c r="D60" s="133"/>
      <c r="E60" s="71"/>
      <c r="F60" s="202">
        <f t="shared" si="10"/>
        <v>0</v>
      </c>
      <c r="G60" s="203"/>
      <c r="H60" s="179"/>
      <c r="I60" s="204">
        <f t="shared" si="11"/>
        <v>0</v>
      </c>
      <c r="J60" s="203"/>
      <c r="K60" s="179"/>
      <c r="L60" s="204">
        <f t="shared" si="12"/>
        <v>0</v>
      </c>
      <c r="M60" s="154">
        <f>4077.77</f>
        <v>4077.77</v>
      </c>
      <c r="N60" s="230"/>
      <c r="O60" s="312">
        <f t="shared" si="13"/>
        <v>4077.77</v>
      </c>
      <c r="P60" s="209">
        <f>6068.29</f>
        <v>6068.29</v>
      </c>
      <c r="Q60" s="208">
        <f t="shared" si="1"/>
        <v>10146.06</v>
      </c>
    </row>
    <row r="61" spans="1:17" ht="12.75">
      <c r="A61" s="13" t="s">
        <v>361</v>
      </c>
      <c r="B61" s="50"/>
      <c r="C61" s="72"/>
      <c r="D61" s="133"/>
      <c r="E61" s="71"/>
      <c r="F61" s="202"/>
      <c r="G61" s="203"/>
      <c r="H61" s="179"/>
      <c r="I61" s="204"/>
      <c r="J61" s="203"/>
      <c r="K61" s="179"/>
      <c r="L61" s="204">
        <f t="shared" si="12"/>
        <v>0</v>
      </c>
      <c r="M61" s="154">
        <f>219.17</f>
        <v>219.17</v>
      </c>
      <c r="N61" s="230"/>
      <c r="O61" s="312">
        <f t="shared" si="13"/>
        <v>219.17</v>
      </c>
      <c r="P61" s="209"/>
      <c r="Q61" s="208">
        <f t="shared" si="1"/>
        <v>219.17</v>
      </c>
    </row>
    <row r="62" spans="1:17" ht="12.75" hidden="1">
      <c r="A62" s="13" t="s">
        <v>39</v>
      </c>
      <c r="B62" s="50"/>
      <c r="C62" s="72"/>
      <c r="D62" s="133"/>
      <c r="E62" s="71"/>
      <c r="F62" s="202">
        <f t="shared" si="10"/>
        <v>0</v>
      </c>
      <c r="G62" s="203"/>
      <c r="H62" s="179"/>
      <c r="I62" s="204">
        <f t="shared" si="11"/>
        <v>0</v>
      </c>
      <c r="J62" s="203"/>
      <c r="K62" s="179"/>
      <c r="L62" s="204">
        <f t="shared" si="12"/>
        <v>0</v>
      </c>
      <c r="M62" s="154"/>
      <c r="N62" s="230"/>
      <c r="O62" s="312">
        <f t="shared" si="13"/>
        <v>0</v>
      </c>
      <c r="P62" s="209"/>
      <c r="Q62" s="208">
        <f t="shared" si="1"/>
        <v>0</v>
      </c>
    </row>
    <row r="63" spans="1:17" ht="12.75">
      <c r="A63" s="13" t="s">
        <v>40</v>
      </c>
      <c r="B63" s="50"/>
      <c r="C63" s="72">
        <v>250</v>
      </c>
      <c r="D63" s="133">
        <f>7.7</f>
        <v>7.7</v>
      </c>
      <c r="E63" s="71"/>
      <c r="F63" s="202">
        <f t="shared" si="10"/>
        <v>257.7</v>
      </c>
      <c r="G63" s="203">
        <f>1850.95</f>
        <v>1850.95</v>
      </c>
      <c r="H63" s="179"/>
      <c r="I63" s="204">
        <f t="shared" si="11"/>
        <v>2108.65</v>
      </c>
      <c r="J63" s="203">
        <f>-7.7</f>
        <v>-7.7</v>
      </c>
      <c r="K63" s="179"/>
      <c r="L63" s="204">
        <f t="shared" si="12"/>
        <v>2100.9500000000003</v>
      </c>
      <c r="M63" s="154">
        <f>42.8+12.71+863.64</f>
        <v>919.15</v>
      </c>
      <c r="N63" s="230"/>
      <c r="O63" s="312">
        <f t="shared" si="13"/>
        <v>3020.1000000000004</v>
      </c>
      <c r="P63" s="209">
        <f>7.48</f>
        <v>7.48</v>
      </c>
      <c r="Q63" s="208">
        <f t="shared" si="1"/>
        <v>3027.5800000000004</v>
      </c>
    </row>
    <row r="64" spans="1:17" ht="12.75">
      <c r="A64" s="13" t="s">
        <v>145</v>
      </c>
      <c r="B64" s="50"/>
      <c r="C64" s="72"/>
      <c r="D64" s="133"/>
      <c r="E64" s="71"/>
      <c r="F64" s="202">
        <f t="shared" si="10"/>
        <v>0</v>
      </c>
      <c r="G64" s="203">
        <f>11063.69</f>
        <v>11063.69</v>
      </c>
      <c r="H64" s="179"/>
      <c r="I64" s="204">
        <f t="shared" si="11"/>
        <v>11063.69</v>
      </c>
      <c r="J64" s="203">
        <f>-11063.69</f>
        <v>-11063.69</v>
      </c>
      <c r="K64" s="179"/>
      <c r="L64" s="204">
        <f t="shared" si="12"/>
        <v>0</v>
      </c>
      <c r="M64" s="154">
        <f>27053.62</f>
        <v>27053.62</v>
      </c>
      <c r="N64" s="230"/>
      <c r="O64" s="312">
        <f t="shared" si="13"/>
        <v>27053.62</v>
      </c>
      <c r="P64" s="209"/>
      <c r="Q64" s="208">
        <f t="shared" si="1"/>
        <v>27053.62</v>
      </c>
    </row>
    <row r="65" spans="1:17" ht="12.75">
      <c r="A65" s="10" t="s">
        <v>41</v>
      </c>
      <c r="B65" s="47"/>
      <c r="C65" s="69">
        <f>SUM(C67:C82)</f>
        <v>0</v>
      </c>
      <c r="D65" s="132">
        <f aca="true" t="shared" si="14" ref="D65:Q65">SUM(D67:D82)</f>
        <v>50153.369999999995</v>
      </c>
      <c r="E65" s="70">
        <f t="shared" si="14"/>
        <v>0</v>
      </c>
      <c r="F65" s="92">
        <f t="shared" si="14"/>
        <v>50153.369999999995</v>
      </c>
      <c r="G65" s="219">
        <f t="shared" si="14"/>
        <v>701627.75</v>
      </c>
      <c r="H65" s="178">
        <f t="shared" si="14"/>
        <v>0</v>
      </c>
      <c r="I65" s="205">
        <f t="shared" si="14"/>
        <v>751781.12</v>
      </c>
      <c r="J65" s="219">
        <f t="shared" si="14"/>
        <v>49604.37</v>
      </c>
      <c r="K65" s="178">
        <f t="shared" si="14"/>
        <v>0</v>
      </c>
      <c r="L65" s="205">
        <f t="shared" si="14"/>
        <v>801385.4900000001</v>
      </c>
      <c r="M65" s="150">
        <f t="shared" si="14"/>
        <v>113722.72</v>
      </c>
      <c r="N65" s="229">
        <f t="shared" si="14"/>
        <v>0</v>
      </c>
      <c r="O65" s="311">
        <f t="shared" si="14"/>
        <v>915108.21</v>
      </c>
      <c r="P65" s="219">
        <f t="shared" si="14"/>
        <v>24883.90000000001</v>
      </c>
      <c r="Q65" s="143">
        <f t="shared" si="14"/>
        <v>939992.1100000001</v>
      </c>
    </row>
    <row r="66" spans="1:17" ht="12.75">
      <c r="A66" s="15" t="s">
        <v>26</v>
      </c>
      <c r="B66" s="52"/>
      <c r="C66" s="72"/>
      <c r="D66" s="133"/>
      <c r="E66" s="71"/>
      <c r="F66" s="202"/>
      <c r="G66" s="203"/>
      <c r="H66" s="179"/>
      <c r="I66" s="204"/>
      <c r="J66" s="203"/>
      <c r="K66" s="179"/>
      <c r="L66" s="204"/>
      <c r="M66" s="154"/>
      <c r="N66" s="230"/>
      <c r="O66" s="312"/>
      <c r="P66" s="209"/>
      <c r="Q66" s="208"/>
    </row>
    <row r="67" spans="1:17" ht="12.75">
      <c r="A67" s="13" t="s">
        <v>29</v>
      </c>
      <c r="B67" s="50"/>
      <c r="C67" s="72"/>
      <c r="D67" s="133"/>
      <c r="E67" s="71"/>
      <c r="F67" s="202">
        <f aca="true" t="shared" si="15" ref="F67:F82">C67+D67+E67</f>
        <v>0</v>
      </c>
      <c r="G67" s="203"/>
      <c r="H67" s="179"/>
      <c r="I67" s="204">
        <f>F67+G67+H67</f>
        <v>0</v>
      </c>
      <c r="J67" s="203"/>
      <c r="K67" s="179"/>
      <c r="L67" s="204">
        <f>I67+J67+K67</f>
        <v>0</v>
      </c>
      <c r="M67" s="154">
        <f>1045</f>
        <v>1045</v>
      </c>
      <c r="N67" s="230"/>
      <c r="O67" s="312">
        <f>L67+M67+N67</f>
        <v>1045</v>
      </c>
      <c r="P67" s="209"/>
      <c r="Q67" s="208">
        <f t="shared" si="1"/>
        <v>1045</v>
      </c>
    </row>
    <row r="68" spans="1:18" ht="12.75">
      <c r="A68" s="17" t="s">
        <v>30</v>
      </c>
      <c r="B68" s="53"/>
      <c r="C68" s="72"/>
      <c r="D68" s="133"/>
      <c r="E68" s="71"/>
      <c r="F68" s="202">
        <f t="shared" si="15"/>
        <v>0</v>
      </c>
      <c r="G68" s="203">
        <f>8107.36+11925.81+12257.92</f>
        <v>32291.089999999997</v>
      </c>
      <c r="H68" s="179"/>
      <c r="I68" s="204">
        <f aca="true" t="shared" si="16" ref="I68:I82">F68+G68+H68</f>
        <v>32291.089999999997</v>
      </c>
      <c r="J68" s="203">
        <f>119.54</f>
        <v>119.54</v>
      </c>
      <c r="K68" s="179"/>
      <c r="L68" s="204">
        <f aca="true" t="shared" si="17" ref="L68:L82">I68+J68+K68</f>
        <v>32410.629999999997</v>
      </c>
      <c r="M68" s="154"/>
      <c r="N68" s="230"/>
      <c r="O68" s="312">
        <f aca="true" t="shared" si="18" ref="O68:O82">L68+M68+N68</f>
        <v>32410.629999999997</v>
      </c>
      <c r="P68" s="209">
        <f>60000+210.39</f>
        <v>60210.39</v>
      </c>
      <c r="Q68" s="208">
        <f t="shared" si="1"/>
        <v>92621.01999999999</v>
      </c>
      <c r="R68" s="91"/>
    </row>
    <row r="69" spans="1:17" ht="12.75">
      <c r="A69" s="17" t="s">
        <v>28</v>
      </c>
      <c r="B69" s="53"/>
      <c r="C69" s="72"/>
      <c r="D69" s="133"/>
      <c r="E69" s="71"/>
      <c r="F69" s="202">
        <f t="shared" si="15"/>
        <v>0</v>
      </c>
      <c r="G69" s="203"/>
      <c r="H69" s="179"/>
      <c r="I69" s="204">
        <f t="shared" si="16"/>
        <v>0</v>
      </c>
      <c r="J69" s="203"/>
      <c r="K69" s="179"/>
      <c r="L69" s="204">
        <f t="shared" si="17"/>
        <v>0</v>
      </c>
      <c r="M69" s="154">
        <f>1252.6</f>
        <v>1252.6</v>
      </c>
      <c r="N69" s="230"/>
      <c r="O69" s="312">
        <f t="shared" si="18"/>
        <v>1252.6</v>
      </c>
      <c r="P69" s="209"/>
      <c r="Q69" s="208">
        <f t="shared" si="1"/>
        <v>1252.6</v>
      </c>
    </row>
    <row r="70" spans="1:17" ht="12.75">
      <c r="A70" s="17" t="s">
        <v>42</v>
      </c>
      <c r="B70" s="53"/>
      <c r="C70" s="72"/>
      <c r="D70" s="133"/>
      <c r="E70" s="71"/>
      <c r="F70" s="202">
        <f t="shared" si="15"/>
        <v>0</v>
      </c>
      <c r="G70" s="203"/>
      <c r="H70" s="179"/>
      <c r="I70" s="204">
        <f t="shared" si="16"/>
        <v>0</v>
      </c>
      <c r="J70" s="203"/>
      <c r="K70" s="179"/>
      <c r="L70" s="204">
        <f t="shared" si="17"/>
        <v>0</v>
      </c>
      <c r="M70" s="154">
        <f>4554.2+1064.5</f>
        <v>5618.7</v>
      </c>
      <c r="N70" s="230"/>
      <c r="O70" s="312">
        <f t="shared" si="18"/>
        <v>5618.7</v>
      </c>
      <c r="P70" s="209">
        <f>6.7</f>
        <v>6.7</v>
      </c>
      <c r="Q70" s="208">
        <f t="shared" si="1"/>
        <v>5625.4</v>
      </c>
    </row>
    <row r="71" spans="1:18" ht="12.75">
      <c r="A71" s="13" t="s">
        <v>31</v>
      </c>
      <c r="B71" s="50"/>
      <c r="C71" s="72"/>
      <c r="D71" s="133">
        <f>10557.37+21889.3+15539.92+2166.78</f>
        <v>50153.369999999995</v>
      </c>
      <c r="E71" s="71"/>
      <c r="F71" s="202">
        <f t="shared" si="15"/>
        <v>50153.369999999995</v>
      </c>
      <c r="G71" s="203">
        <f>1556.23+4257.22+2057.75+7249.16+739.53+30925.71+2767.29+5056.24</f>
        <v>54609.13</v>
      </c>
      <c r="H71" s="179"/>
      <c r="I71" s="204">
        <f t="shared" si="16"/>
        <v>104762.5</v>
      </c>
      <c r="J71" s="203">
        <f>780.74+7152.84+3161.87+17954.49</f>
        <v>29049.940000000002</v>
      </c>
      <c r="K71" s="179"/>
      <c r="L71" s="204">
        <f t="shared" si="17"/>
        <v>133812.44</v>
      </c>
      <c r="M71" s="154">
        <f>93272.86+11713.91+53.54</f>
        <v>105040.31</v>
      </c>
      <c r="N71" s="230"/>
      <c r="O71" s="312">
        <f t="shared" si="18"/>
        <v>238852.75</v>
      </c>
      <c r="P71" s="209">
        <f>7856.79+60983.55</f>
        <v>68840.34</v>
      </c>
      <c r="Q71" s="208">
        <f t="shared" si="1"/>
        <v>307693.08999999997</v>
      </c>
      <c r="R71" s="91"/>
    </row>
    <row r="72" spans="1:18" ht="12.75">
      <c r="A72" s="13" t="s">
        <v>32</v>
      </c>
      <c r="B72" s="50"/>
      <c r="C72" s="72"/>
      <c r="D72" s="133"/>
      <c r="E72" s="71"/>
      <c r="F72" s="202"/>
      <c r="G72" s="203"/>
      <c r="H72" s="179"/>
      <c r="I72" s="204">
        <f t="shared" si="16"/>
        <v>0</v>
      </c>
      <c r="J72" s="203">
        <f>440</f>
        <v>440</v>
      </c>
      <c r="K72" s="179"/>
      <c r="L72" s="204">
        <f t="shared" si="17"/>
        <v>440</v>
      </c>
      <c r="M72" s="154"/>
      <c r="N72" s="230"/>
      <c r="O72" s="312">
        <f t="shared" si="18"/>
        <v>440</v>
      </c>
      <c r="P72" s="209"/>
      <c r="Q72" s="208">
        <f t="shared" si="1"/>
        <v>440</v>
      </c>
      <c r="R72" s="91"/>
    </row>
    <row r="73" spans="1:17" ht="12.75">
      <c r="A73" s="13" t="s">
        <v>349</v>
      </c>
      <c r="B73" s="50"/>
      <c r="C73" s="72"/>
      <c r="D73" s="133"/>
      <c r="E73" s="71"/>
      <c r="F73" s="202">
        <f t="shared" si="15"/>
        <v>0</v>
      </c>
      <c r="G73" s="203"/>
      <c r="H73" s="179"/>
      <c r="I73" s="204">
        <f t="shared" si="16"/>
        <v>0</v>
      </c>
      <c r="J73" s="203"/>
      <c r="K73" s="179"/>
      <c r="L73" s="204">
        <f t="shared" si="17"/>
        <v>0</v>
      </c>
      <c r="M73" s="154"/>
      <c r="N73" s="230"/>
      <c r="O73" s="312"/>
      <c r="P73" s="209">
        <f>5505.2</f>
        <v>5505.2</v>
      </c>
      <c r="Q73" s="208">
        <f t="shared" si="1"/>
        <v>5505.2</v>
      </c>
    </row>
    <row r="74" spans="1:18" ht="12.75">
      <c r="A74" s="13" t="s">
        <v>141</v>
      </c>
      <c r="B74" s="50"/>
      <c r="C74" s="72"/>
      <c r="D74" s="133"/>
      <c r="E74" s="71"/>
      <c r="F74" s="202">
        <f t="shared" si="15"/>
        <v>0</v>
      </c>
      <c r="G74" s="203">
        <f>6293.92+135200</f>
        <v>141493.92</v>
      </c>
      <c r="H74" s="179"/>
      <c r="I74" s="204">
        <f t="shared" si="16"/>
        <v>141493.92</v>
      </c>
      <c r="J74" s="203">
        <f>4000+67.75+1127.35+814.93+712.19</f>
        <v>6722.220000000001</v>
      </c>
      <c r="K74" s="179"/>
      <c r="L74" s="204">
        <f t="shared" si="17"/>
        <v>148216.14</v>
      </c>
      <c r="M74" s="154"/>
      <c r="N74" s="230"/>
      <c r="O74" s="312">
        <f t="shared" si="18"/>
        <v>148216.14</v>
      </c>
      <c r="P74" s="209">
        <f>4000+2389.68+4205.65-79352.56</f>
        <v>-68757.23</v>
      </c>
      <c r="Q74" s="208">
        <f t="shared" si="1"/>
        <v>79458.91000000002</v>
      </c>
      <c r="R74" s="91"/>
    </row>
    <row r="75" spans="1:17" ht="12.75" hidden="1">
      <c r="A75" s="13" t="s">
        <v>142</v>
      </c>
      <c r="B75" s="50"/>
      <c r="C75" s="72"/>
      <c r="D75" s="133"/>
      <c r="E75" s="71"/>
      <c r="F75" s="202">
        <f t="shared" si="15"/>
        <v>0</v>
      </c>
      <c r="G75" s="203"/>
      <c r="H75" s="179"/>
      <c r="I75" s="204">
        <f t="shared" si="16"/>
        <v>0</v>
      </c>
      <c r="J75" s="203"/>
      <c r="K75" s="179"/>
      <c r="L75" s="204">
        <f t="shared" si="17"/>
        <v>0</v>
      </c>
      <c r="M75" s="154"/>
      <c r="N75" s="230"/>
      <c r="O75" s="312">
        <f t="shared" si="18"/>
        <v>0</v>
      </c>
      <c r="P75" s="209"/>
      <c r="Q75" s="208">
        <f t="shared" si="1"/>
        <v>0</v>
      </c>
    </row>
    <row r="76" spans="1:17" ht="12.75">
      <c r="A76" s="13" t="s">
        <v>43</v>
      </c>
      <c r="B76" s="50"/>
      <c r="C76" s="72"/>
      <c r="D76" s="133"/>
      <c r="E76" s="71"/>
      <c r="F76" s="202">
        <f t="shared" si="15"/>
        <v>0</v>
      </c>
      <c r="G76" s="203">
        <f>29678.61+7665+258127+177763</f>
        <v>473233.61</v>
      </c>
      <c r="H76" s="179"/>
      <c r="I76" s="204">
        <f t="shared" si="16"/>
        <v>473233.61</v>
      </c>
      <c r="J76" s="203"/>
      <c r="K76" s="179"/>
      <c r="L76" s="204">
        <f t="shared" si="17"/>
        <v>473233.61</v>
      </c>
      <c r="M76" s="154"/>
      <c r="N76" s="230"/>
      <c r="O76" s="312">
        <f t="shared" si="18"/>
        <v>473233.61</v>
      </c>
      <c r="P76" s="209">
        <f>-41921.5</f>
        <v>-41921.5</v>
      </c>
      <c r="Q76" s="208">
        <f t="shared" si="1"/>
        <v>431312.11</v>
      </c>
    </row>
    <row r="77" spans="1:17" ht="12.75" hidden="1">
      <c r="A77" s="13" t="s">
        <v>44</v>
      </c>
      <c r="B77" s="50"/>
      <c r="C77" s="72"/>
      <c r="D77" s="133"/>
      <c r="E77" s="71"/>
      <c r="F77" s="202">
        <f t="shared" si="15"/>
        <v>0</v>
      </c>
      <c r="G77" s="203"/>
      <c r="H77" s="179"/>
      <c r="I77" s="204">
        <f t="shared" si="16"/>
        <v>0</v>
      </c>
      <c r="J77" s="203"/>
      <c r="K77" s="179"/>
      <c r="L77" s="204">
        <f t="shared" si="17"/>
        <v>0</v>
      </c>
      <c r="M77" s="154"/>
      <c r="N77" s="230"/>
      <c r="O77" s="312">
        <f t="shared" si="18"/>
        <v>0</v>
      </c>
      <c r="P77" s="209"/>
      <c r="Q77" s="208">
        <f t="shared" si="1"/>
        <v>0</v>
      </c>
    </row>
    <row r="78" spans="1:17" ht="12.75" hidden="1">
      <c r="A78" s="13" t="s">
        <v>45</v>
      </c>
      <c r="B78" s="50"/>
      <c r="C78" s="72"/>
      <c r="D78" s="133"/>
      <c r="E78" s="71"/>
      <c r="F78" s="202">
        <f t="shared" si="15"/>
        <v>0</v>
      </c>
      <c r="G78" s="203"/>
      <c r="H78" s="179"/>
      <c r="I78" s="204">
        <f t="shared" si="16"/>
        <v>0</v>
      </c>
      <c r="J78" s="203"/>
      <c r="K78" s="179"/>
      <c r="L78" s="204">
        <f t="shared" si="17"/>
        <v>0</v>
      </c>
      <c r="M78" s="154"/>
      <c r="N78" s="230"/>
      <c r="O78" s="312">
        <f t="shared" si="18"/>
        <v>0</v>
      </c>
      <c r="P78" s="209"/>
      <c r="Q78" s="208">
        <f t="shared" si="1"/>
        <v>0</v>
      </c>
    </row>
    <row r="79" spans="1:18" ht="12.75">
      <c r="A79" s="13" t="s">
        <v>35</v>
      </c>
      <c r="B79" s="50"/>
      <c r="C79" s="72"/>
      <c r="D79" s="133"/>
      <c r="E79" s="71"/>
      <c r="F79" s="202">
        <f t="shared" si="15"/>
        <v>0</v>
      </c>
      <c r="G79" s="203"/>
      <c r="H79" s="179"/>
      <c r="I79" s="204">
        <f t="shared" si="16"/>
        <v>0</v>
      </c>
      <c r="J79" s="203">
        <f>13272.67</f>
        <v>13272.67</v>
      </c>
      <c r="K79" s="179"/>
      <c r="L79" s="204">
        <f t="shared" si="17"/>
        <v>13272.67</v>
      </c>
      <c r="M79" s="154">
        <f>766.11</f>
        <v>766.11</v>
      </c>
      <c r="N79" s="230"/>
      <c r="O79" s="312">
        <f t="shared" si="18"/>
        <v>14038.78</v>
      </c>
      <c r="P79" s="275"/>
      <c r="Q79" s="208">
        <f t="shared" si="1"/>
        <v>14038.78</v>
      </c>
      <c r="R79" s="91"/>
    </row>
    <row r="80" spans="1:17" ht="12.75" hidden="1">
      <c r="A80" s="13" t="s">
        <v>39</v>
      </c>
      <c r="B80" s="50"/>
      <c r="C80" s="72"/>
      <c r="D80" s="133"/>
      <c r="E80" s="71"/>
      <c r="F80" s="202">
        <f t="shared" si="15"/>
        <v>0</v>
      </c>
      <c r="G80" s="203"/>
      <c r="H80" s="179"/>
      <c r="I80" s="204">
        <f t="shared" si="16"/>
        <v>0</v>
      </c>
      <c r="J80" s="203"/>
      <c r="K80" s="179"/>
      <c r="L80" s="204">
        <f t="shared" si="17"/>
        <v>0</v>
      </c>
      <c r="M80" s="154"/>
      <c r="N80" s="230"/>
      <c r="O80" s="312">
        <f t="shared" si="18"/>
        <v>0</v>
      </c>
      <c r="P80" s="275"/>
      <c r="Q80" s="208">
        <f t="shared" si="1"/>
        <v>0</v>
      </c>
    </row>
    <row r="81" spans="1:17" ht="12.75">
      <c r="A81" s="13" t="s">
        <v>40</v>
      </c>
      <c r="B81" s="50"/>
      <c r="C81" s="72"/>
      <c r="D81" s="133"/>
      <c r="E81" s="71"/>
      <c r="F81" s="202"/>
      <c r="G81" s="203"/>
      <c r="H81" s="179"/>
      <c r="I81" s="204"/>
      <c r="J81" s="203"/>
      <c r="K81" s="179"/>
      <c r="L81" s="204">
        <f t="shared" si="17"/>
        <v>0</v>
      </c>
      <c r="M81" s="154"/>
      <c r="N81" s="230"/>
      <c r="O81" s="312">
        <f t="shared" si="18"/>
        <v>0</v>
      </c>
      <c r="P81" s="275">
        <f>1000</f>
        <v>1000</v>
      </c>
      <c r="Q81" s="208">
        <f t="shared" si="1"/>
        <v>1000</v>
      </c>
    </row>
    <row r="82" spans="1:17" ht="12.75" hidden="1">
      <c r="A82" s="13" t="s">
        <v>145</v>
      </c>
      <c r="B82" s="50"/>
      <c r="C82" s="72"/>
      <c r="D82" s="133"/>
      <c r="E82" s="71"/>
      <c r="F82" s="202">
        <f t="shared" si="15"/>
        <v>0</v>
      </c>
      <c r="G82" s="203"/>
      <c r="H82" s="179"/>
      <c r="I82" s="204">
        <f t="shared" si="16"/>
        <v>0</v>
      </c>
      <c r="J82" s="203"/>
      <c r="K82" s="179"/>
      <c r="L82" s="204">
        <f t="shared" si="17"/>
        <v>0</v>
      </c>
      <c r="M82" s="154"/>
      <c r="N82" s="230"/>
      <c r="O82" s="312">
        <f t="shared" si="18"/>
        <v>0</v>
      </c>
      <c r="P82" s="209"/>
      <c r="Q82" s="208">
        <f t="shared" si="1"/>
        <v>0</v>
      </c>
    </row>
    <row r="83" spans="1:17" ht="16.5" thickBot="1">
      <c r="A83" s="18" t="s">
        <v>46</v>
      </c>
      <c r="B83" s="54"/>
      <c r="C83" s="75">
        <f aca="true" t="shared" si="19" ref="C83:Q83">C11+C17+C39+C65+C31</f>
        <v>5115469.62</v>
      </c>
      <c r="D83" s="135">
        <f t="shared" si="19"/>
        <v>2012950.9999999998</v>
      </c>
      <c r="E83" s="76">
        <f t="shared" si="19"/>
        <v>32165.7</v>
      </c>
      <c r="F83" s="255">
        <f t="shared" si="19"/>
        <v>7160586.32</v>
      </c>
      <c r="G83" s="221">
        <f t="shared" si="19"/>
        <v>9823533.39</v>
      </c>
      <c r="H83" s="189">
        <f t="shared" si="19"/>
        <v>35201.369999999995</v>
      </c>
      <c r="I83" s="234">
        <f t="shared" si="19"/>
        <v>17019321.08</v>
      </c>
      <c r="J83" s="221">
        <f t="shared" si="19"/>
        <v>986724.2100000001</v>
      </c>
      <c r="K83" s="189">
        <f t="shared" si="19"/>
        <v>41909.78</v>
      </c>
      <c r="L83" s="234">
        <f t="shared" si="19"/>
        <v>18047955.069999997</v>
      </c>
      <c r="M83" s="146">
        <f t="shared" si="19"/>
        <v>780614.88</v>
      </c>
      <c r="N83" s="294">
        <f t="shared" si="19"/>
        <v>29123.370000000003</v>
      </c>
      <c r="O83" s="314">
        <f t="shared" si="19"/>
        <v>18857693.319999997</v>
      </c>
      <c r="P83" s="221">
        <f t="shared" si="19"/>
        <v>181969.84000000003</v>
      </c>
      <c r="Q83" s="147">
        <f t="shared" si="19"/>
        <v>19039663.159999993</v>
      </c>
    </row>
    <row r="84" spans="1:17" ht="12.75">
      <c r="A84" s="10" t="s">
        <v>47</v>
      </c>
      <c r="B84" s="47"/>
      <c r="C84" s="69"/>
      <c r="D84" s="133"/>
      <c r="E84" s="71"/>
      <c r="F84" s="202"/>
      <c r="G84" s="203"/>
      <c r="H84" s="179"/>
      <c r="I84" s="204"/>
      <c r="J84" s="203"/>
      <c r="K84" s="179"/>
      <c r="L84" s="204"/>
      <c r="M84" s="154"/>
      <c r="N84" s="230"/>
      <c r="O84" s="312"/>
      <c r="P84" s="209"/>
      <c r="Q84" s="208"/>
    </row>
    <row r="85" spans="1:17" ht="12.75">
      <c r="A85" s="10" t="s">
        <v>62</v>
      </c>
      <c r="B85" s="59"/>
      <c r="C85" s="69">
        <f aca="true" t="shared" si="20" ref="C85:Q85">C86+C94</f>
        <v>122277</v>
      </c>
      <c r="D85" s="132">
        <f t="shared" si="20"/>
        <v>43316.020000000004</v>
      </c>
      <c r="E85" s="70">
        <f t="shared" si="20"/>
        <v>0</v>
      </c>
      <c r="F85" s="92">
        <f t="shared" si="20"/>
        <v>165593.02000000002</v>
      </c>
      <c r="G85" s="219">
        <f t="shared" si="20"/>
        <v>4638.54</v>
      </c>
      <c r="H85" s="178">
        <f t="shared" si="20"/>
        <v>19145.3</v>
      </c>
      <c r="I85" s="205">
        <f t="shared" si="20"/>
        <v>189376.86</v>
      </c>
      <c r="J85" s="219">
        <f>J86+J94</f>
        <v>354.82</v>
      </c>
      <c r="K85" s="178">
        <f>K86+K94</f>
        <v>0</v>
      </c>
      <c r="L85" s="205">
        <f>L86+L94</f>
        <v>189731.68</v>
      </c>
      <c r="M85" s="150">
        <f t="shared" si="20"/>
        <v>445.18</v>
      </c>
      <c r="N85" s="229">
        <f t="shared" si="20"/>
        <v>0</v>
      </c>
      <c r="O85" s="311">
        <f t="shared" si="20"/>
        <v>190176.86</v>
      </c>
      <c r="P85" s="219">
        <f t="shared" si="20"/>
        <v>0</v>
      </c>
      <c r="Q85" s="143">
        <f t="shared" si="20"/>
        <v>190176.86</v>
      </c>
    </row>
    <row r="86" spans="1:17" ht="12.75">
      <c r="A86" s="19" t="s">
        <v>49</v>
      </c>
      <c r="B86" s="59"/>
      <c r="C86" s="77">
        <f aca="true" t="shared" si="21" ref="C86:Q86">SUM(C88:C92)</f>
        <v>69277</v>
      </c>
      <c r="D86" s="136">
        <f t="shared" si="21"/>
        <v>13168.96</v>
      </c>
      <c r="E86" s="78">
        <f t="shared" si="21"/>
        <v>0</v>
      </c>
      <c r="F86" s="201">
        <f t="shared" si="21"/>
        <v>82445.96</v>
      </c>
      <c r="G86" s="222">
        <f t="shared" si="21"/>
        <v>597.74</v>
      </c>
      <c r="H86" s="183">
        <f t="shared" si="21"/>
        <v>0</v>
      </c>
      <c r="I86" s="235">
        <f t="shared" si="21"/>
        <v>83043.7</v>
      </c>
      <c r="J86" s="222">
        <f>SUM(J88:J92)</f>
        <v>0</v>
      </c>
      <c r="K86" s="183">
        <f>SUM(K88:K92)</f>
        <v>0</v>
      </c>
      <c r="L86" s="235">
        <f>SUM(L88:L92)</f>
        <v>83043.7</v>
      </c>
      <c r="M86" s="151">
        <f t="shared" si="21"/>
        <v>500</v>
      </c>
      <c r="N86" s="295">
        <f t="shared" si="21"/>
        <v>0</v>
      </c>
      <c r="O86" s="315">
        <f t="shared" si="21"/>
        <v>83543.7</v>
      </c>
      <c r="P86" s="222">
        <f t="shared" si="21"/>
        <v>0</v>
      </c>
      <c r="Q86" s="148">
        <f t="shared" si="21"/>
        <v>83543.7</v>
      </c>
    </row>
    <row r="87" spans="1:17" ht="12.75">
      <c r="A87" s="15" t="s">
        <v>26</v>
      </c>
      <c r="B87" s="55"/>
      <c r="C87" s="72"/>
      <c r="D87" s="133"/>
      <c r="E87" s="71"/>
      <c r="F87" s="92"/>
      <c r="G87" s="203"/>
      <c r="H87" s="179"/>
      <c r="I87" s="205"/>
      <c r="J87" s="203"/>
      <c r="K87" s="179"/>
      <c r="L87" s="205"/>
      <c r="M87" s="154"/>
      <c r="N87" s="230"/>
      <c r="O87" s="311"/>
      <c r="P87" s="209"/>
      <c r="Q87" s="208"/>
    </row>
    <row r="88" spans="1:17" ht="13.5" thickBot="1">
      <c r="A88" s="330" t="s">
        <v>51</v>
      </c>
      <c r="B88" s="331"/>
      <c r="C88" s="332">
        <v>7889</v>
      </c>
      <c r="D88" s="333"/>
      <c r="E88" s="334"/>
      <c r="F88" s="335">
        <f aca="true" t="shared" si="22" ref="F88:F93">C88+D88+E88</f>
        <v>7889</v>
      </c>
      <c r="G88" s="336"/>
      <c r="H88" s="337"/>
      <c r="I88" s="338">
        <f aca="true" t="shared" si="23" ref="I88:I93">F88+G88+H88</f>
        <v>7889</v>
      </c>
      <c r="J88" s="336"/>
      <c r="K88" s="337"/>
      <c r="L88" s="338">
        <f aca="true" t="shared" si="24" ref="L88:L93">I88+J88+K88</f>
        <v>7889</v>
      </c>
      <c r="M88" s="339">
        <f>500</f>
        <v>500</v>
      </c>
      <c r="N88" s="340"/>
      <c r="O88" s="341">
        <f aca="true" t="shared" si="25" ref="O88:O93">L88+M88+N88</f>
        <v>8389</v>
      </c>
      <c r="P88" s="280"/>
      <c r="Q88" s="284">
        <f aca="true" t="shared" si="26" ref="Q88:Q93">O88+P88</f>
        <v>8389</v>
      </c>
    </row>
    <row r="89" spans="1:17" ht="12.75" hidden="1">
      <c r="A89" s="13" t="s">
        <v>64</v>
      </c>
      <c r="B89" s="55"/>
      <c r="C89" s="72"/>
      <c r="D89" s="133"/>
      <c r="E89" s="71"/>
      <c r="F89" s="202">
        <f t="shared" si="22"/>
        <v>0</v>
      </c>
      <c r="G89" s="203"/>
      <c r="H89" s="179"/>
      <c r="I89" s="204">
        <f t="shared" si="23"/>
        <v>0</v>
      </c>
      <c r="J89" s="203"/>
      <c r="K89" s="179"/>
      <c r="L89" s="204">
        <f t="shared" si="24"/>
        <v>0</v>
      </c>
      <c r="M89" s="154"/>
      <c r="N89" s="230"/>
      <c r="O89" s="312">
        <f t="shared" si="25"/>
        <v>0</v>
      </c>
      <c r="P89" s="209"/>
      <c r="Q89" s="208">
        <f t="shared" si="26"/>
        <v>0</v>
      </c>
    </row>
    <row r="90" spans="1:17" ht="12.75">
      <c r="A90" s="17" t="s">
        <v>187</v>
      </c>
      <c r="B90" s="55"/>
      <c r="C90" s="72">
        <v>61388</v>
      </c>
      <c r="D90" s="133">
        <f>9000</f>
        <v>9000</v>
      </c>
      <c r="E90" s="71"/>
      <c r="F90" s="202">
        <f t="shared" si="22"/>
        <v>70388</v>
      </c>
      <c r="G90" s="203"/>
      <c r="H90" s="179"/>
      <c r="I90" s="204">
        <f t="shared" si="23"/>
        <v>70388</v>
      </c>
      <c r="J90" s="203"/>
      <c r="K90" s="179"/>
      <c r="L90" s="204">
        <f t="shared" si="24"/>
        <v>70388</v>
      </c>
      <c r="M90" s="154"/>
      <c r="N90" s="230"/>
      <c r="O90" s="312">
        <f t="shared" si="25"/>
        <v>70388</v>
      </c>
      <c r="P90" s="209"/>
      <c r="Q90" s="208">
        <f t="shared" si="26"/>
        <v>70388</v>
      </c>
    </row>
    <row r="91" spans="1:17" ht="12.75" hidden="1">
      <c r="A91" s="13" t="s">
        <v>75</v>
      </c>
      <c r="B91" s="55"/>
      <c r="C91" s="72"/>
      <c r="D91" s="133"/>
      <c r="E91" s="71"/>
      <c r="F91" s="202">
        <f t="shared" si="22"/>
        <v>0</v>
      </c>
      <c r="G91" s="203"/>
      <c r="H91" s="179"/>
      <c r="I91" s="204">
        <f t="shared" si="23"/>
        <v>0</v>
      </c>
      <c r="J91" s="203"/>
      <c r="K91" s="179"/>
      <c r="L91" s="204">
        <f t="shared" si="24"/>
        <v>0</v>
      </c>
      <c r="M91" s="154"/>
      <c r="N91" s="230"/>
      <c r="O91" s="312">
        <f t="shared" si="25"/>
        <v>0</v>
      </c>
      <c r="P91" s="209"/>
      <c r="Q91" s="208">
        <f t="shared" si="26"/>
        <v>0</v>
      </c>
    </row>
    <row r="92" spans="1:17" ht="12.75">
      <c r="A92" s="12" t="s">
        <v>65</v>
      </c>
      <c r="B92" s="55"/>
      <c r="C92" s="72"/>
      <c r="D92" s="133">
        <f>4168.96</f>
        <v>4168.96</v>
      </c>
      <c r="E92" s="71"/>
      <c r="F92" s="202">
        <f t="shared" si="22"/>
        <v>4168.96</v>
      </c>
      <c r="G92" s="203">
        <f>597.74</f>
        <v>597.74</v>
      </c>
      <c r="H92" s="179"/>
      <c r="I92" s="204">
        <f t="shared" si="23"/>
        <v>4766.7</v>
      </c>
      <c r="J92" s="203"/>
      <c r="K92" s="179"/>
      <c r="L92" s="204">
        <f t="shared" si="24"/>
        <v>4766.7</v>
      </c>
      <c r="M92" s="154"/>
      <c r="N92" s="230"/>
      <c r="O92" s="312">
        <f t="shared" si="25"/>
        <v>4766.7</v>
      </c>
      <c r="P92" s="209"/>
      <c r="Q92" s="208">
        <f t="shared" si="26"/>
        <v>4766.7</v>
      </c>
    </row>
    <row r="93" spans="1:17" ht="12.75" hidden="1">
      <c r="A93" s="12" t="s">
        <v>66</v>
      </c>
      <c r="B93" s="55"/>
      <c r="C93" s="72"/>
      <c r="D93" s="133"/>
      <c r="E93" s="71"/>
      <c r="F93" s="202">
        <f t="shared" si="22"/>
        <v>0</v>
      </c>
      <c r="G93" s="203"/>
      <c r="H93" s="179"/>
      <c r="I93" s="204">
        <f t="shared" si="23"/>
        <v>0</v>
      </c>
      <c r="J93" s="203"/>
      <c r="K93" s="179"/>
      <c r="L93" s="204">
        <f t="shared" si="24"/>
        <v>0</v>
      </c>
      <c r="M93" s="154"/>
      <c r="N93" s="230"/>
      <c r="O93" s="312">
        <f t="shared" si="25"/>
        <v>0</v>
      </c>
      <c r="P93" s="209"/>
      <c r="Q93" s="208">
        <f t="shared" si="26"/>
        <v>0</v>
      </c>
    </row>
    <row r="94" spans="1:17" ht="12.75">
      <c r="A94" s="20" t="s">
        <v>53</v>
      </c>
      <c r="B94" s="59"/>
      <c r="C94" s="80">
        <f>SUM(C96:C102)</f>
        <v>53000</v>
      </c>
      <c r="D94" s="137">
        <f aca="true" t="shared" si="27" ref="D94:Q94">SUM(D96:D102)</f>
        <v>30147.06</v>
      </c>
      <c r="E94" s="81">
        <f t="shared" si="27"/>
        <v>0</v>
      </c>
      <c r="F94" s="256">
        <f t="shared" si="27"/>
        <v>83147.06</v>
      </c>
      <c r="G94" s="223">
        <f t="shared" si="27"/>
        <v>4040.8</v>
      </c>
      <c r="H94" s="190">
        <f t="shared" si="27"/>
        <v>19145.3</v>
      </c>
      <c r="I94" s="236">
        <f t="shared" si="27"/>
        <v>106333.16</v>
      </c>
      <c r="J94" s="223">
        <f t="shared" si="27"/>
        <v>354.82</v>
      </c>
      <c r="K94" s="190">
        <f t="shared" si="27"/>
        <v>0</v>
      </c>
      <c r="L94" s="236">
        <f t="shared" si="27"/>
        <v>106687.98000000001</v>
      </c>
      <c r="M94" s="166">
        <f t="shared" si="27"/>
        <v>-54.82</v>
      </c>
      <c r="N94" s="296">
        <f t="shared" si="27"/>
        <v>0</v>
      </c>
      <c r="O94" s="316">
        <f t="shared" si="27"/>
        <v>106633.16</v>
      </c>
      <c r="P94" s="223">
        <f t="shared" si="27"/>
        <v>0</v>
      </c>
      <c r="Q94" s="149">
        <f t="shared" si="27"/>
        <v>106633.16</v>
      </c>
    </row>
    <row r="95" spans="1:17" ht="12.75">
      <c r="A95" s="11" t="s">
        <v>26</v>
      </c>
      <c r="B95" s="55"/>
      <c r="C95" s="73"/>
      <c r="D95" s="134"/>
      <c r="E95" s="74"/>
      <c r="F95" s="254"/>
      <c r="G95" s="220"/>
      <c r="H95" s="181"/>
      <c r="I95" s="211"/>
      <c r="J95" s="220"/>
      <c r="K95" s="181"/>
      <c r="L95" s="211"/>
      <c r="M95" s="165"/>
      <c r="N95" s="231"/>
      <c r="O95" s="313"/>
      <c r="P95" s="209"/>
      <c r="Q95" s="208"/>
    </row>
    <row r="96" spans="1:17" ht="12.75">
      <c r="A96" s="56" t="s">
        <v>264</v>
      </c>
      <c r="B96" s="176"/>
      <c r="C96" s="72"/>
      <c r="D96" s="133">
        <f>8098.52</f>
        <v>8098.52</v>
      </c>
      <c r="E96" s="71"/>
      <c r="F96" s="202">
        <f aca="true" t="shared" si="28" ref="F96:F103">C96+D96+E96</f>
        <v>8098.52</v>
      </c>
      <c r="G96" s="203">
        <f>4638.54</f>
        <v>4638.54</v>
      </c>
      <c r="H96" s="179">
        <f>8436</f>
        <v>8436</v>
      </c>
      <c r="I96" s="204">
        <f>F96+G96+H96</f>
        <v>21173.06</v>
      </c>
      <c r="J96" s="203">
        <f>354.82</f>
        <v>354.82</v>
      </c>
      <c r="K96" s="179"/>
      <c r="L96" s="204">
        <f>I96+J96+K96</f>
        <v>21527.88</v>
      </c>
      <c r="M96" s="154">
        <f>-54.82</f>
        <v>-54.82</v>
      </c>
      <c r="N96" s="230"/>
      <c r="O96" s="312">
        <f>L96+M96+N96</f>
        <v>21473.06</v>
      </c>
      <c r="P96" s="209"/>
      <c r="Q96" s="208">
        <f aca="true" t="shared" si="29" ref="Q96:Q103">O96+P96</f>
        <v>21473.06</v>
      </c>
    </row>
    <row r="97" spans="1:17" ht="12.75">
      <c r="A97" s="17" t="s">
        <v>219</v>
      </c>
      <c r="B97" s="55"/>
      <c r="C97" s="72">
        <v>20000</v>
      </c>
      <c r="D97" s="133">
        <f>5000</f>
        <v>5000</v>
      </c>
      <c r="E97" s="71"/>
      <c r="F97" s="202">
        <f t="shared" si="28"/>
        <v>25000</v>
      </c>
      <c r="G97" s="203"/>
      <c r="H97" s="179"/>
      <c r="I97" s="204">
        <f aca="true" t="shared" si="30" ref="I97:I102">F97+G97+H97</f>
        <v>25000</v>
      </c>
      <c r="J97" s="203"/>
      <c r="K97" s="179"/>
      <c r="L97" s="204">
        <f aca="true" t="shared" si="31" ref="L97:L102">I97+J97+K97</f>
        <v>25000</v>
      </c>
      <c r="M97" s="154"/>
      <c r="N97" s="230"/>
      <c r="O97" s="312">
        <f aca="true" t="shared" si="32" ref="O97:O102">L97+M97+N97</f>
        <v>25000</v>
      </c>
      <c r="P97" s="209"/>
      <c r="Q97" s="208">
        <f t="shared" si="29"/>
        <v>25000</v>
      </c>
    </row>
    <row r="98" spans="1:17" ht="12.75" hidden="1">
      <c r="A98" s="12" t="s">
        <v>54</v>
      </c>
      <c r="B98" s="55"/>
      <c r="C98" s="72"/>
      <c r="D98" s="133"/>
      <c r="E98" s="71"/>
      <c r="F98" s="202">
        <f t="shared" si="28"/>
        <v>0</v>
      </c>
      <c r="G98" s="203"/>
      <c r="H98" s="179"/>
      <c r="I98" s="204">
        <f t="shared" si="30"/>
        <v>0</v>
      </c>
      <c r="J98" s="203"/>
      <c r="K98" s="179"/>
      <c r="L98" s="204">
        <f t="shared" si="31"/>
        <v>0</v>
      </c>
      <c r="M98" s="154"/>
      <c r="N98" s="230"/>
      <c r="O98" s="312">
        <f t="shared" si="32"/>
        <v>0</v>
      </c>
      <c r="P98" s="209"/>
      <c r="Q98" s="208">
        <f t="shared" si="29"/>
        <v>0</v>
      </c>
    </row>
    <row r="99" spans="1:17" ht="12.75" hidden="1">
      <c r="A99" s="13" t="s">
        <v>186</v>
      </c>
      <c r="B99" s="55"/>
      <c r="C99" s="72"/>
      <c r="D99" s="133"/>
      <c r="E99" s="71"/>
      <c r="F99" s="202">
        <f t="shared" si="28"/>
        <v>0</v>
      </c>
      <c r="G99" s="203"/>
      <c r="H99" s="179"/>
      <c r="I99" s="204">
        <f t="shared" si="30"/>
        <v>0</v>
      </c>
      <c r="J99" s="203"/>
      <c r="K99" s="179"/>
      <c r="L99" s="204">
        <f t="shared" si="31"/>
        <v>0</v>
      </c>
      <c r="M99" s="154"/>
      <c r="N99" s="230"/>
      <c r="O99" s="312">
        <f t="shared" si="32"/>
        <v>0</v>
      </c>
      <c r="P99" s="209"/>
      <c r="Q99" s="208">
        <f t="shared" si="29"/>
        <v>0</v>
      </c>
    </row>
    <row r="100" spans="1:17" ht="12.75" hidden="1">
      <c r="A100" s="13" t="s">
        <v>75</v>
      </c>
      <c r="B100" s="55"/>
      <c r="C100" s="72"/>
      <c r="D100" s="133"/>
      <c r="E100" s="71"/>
      <c r="F100" s="202">
        <f t="shared" si="28"/>
        <v>0</v>
      </c>
      <c r="G100" s="203"/>
      <c r="H100" s="179"/>
      <c r="I100" s="204">
        <f t="shared" si="30"/>
        <v>0</v>
      </c>
      <c r="J100" s="203"/>
      <c r="K100" s="179"/>
      <c r="L100" s="204">
        <f t="shared" si="31"/>
        <v>0</v>
      </c>
      <c r="M100" s="154"/>
      <c r="N100" s="230"/>
      <c r="O100" s="312">
        <f t="shared" si="32"/>
        <v>0</v>
      </c>
      <c r="P100" s="209"/>
      <c r="Q100" s="208">
        <f t="shared" si="29"/>
        <v>0</v>
      </c>
    </row>
    <row r="101" spans="1:17" ht="12.75">
      <c r="A101" s="13" t="s">
        <v>225</v>
      </c>
      <c r="B101" s="55"/>
      <c r="C101" s="72">
        <v>3000</v>
      </c>
      <c r="D101" s="133"/>
      <c r="E101" s="71"/>
      <c r="F101" s="202">
        <f t="shared" si="28"/>
        <v>3000</v>
      </c>
      <c r="G101" s="203"/>
      <c r="H101" s="179"/>
      <c r="I101" s="204">
        <f t="shared" si="30"/>
        <v>3000</v>
      </c>
      <c r="J101" s="203"/>
      <c r="K101" s="179"/>
      <c r="L101" s="204">
        <f t="shared" si="31"/>
        <v>3000</v>
      </c>
      <c r="M101" s="154"/>
      <c r="N101" s="230"/>
      <c r="O101" s="312">
        <f t="shared" si="32"/>
        <v>3000</v>
      </c>
      <c r="P101" s="209"/>
      <c r="Q101" s="208">
        <f t="shared" si="29"/>
        <v>3000</v>
      </c>
    </row>
    <row r="102" spans="1:17" ht="12.75">
      <c r="A102" s="21" t="s">
        <v>65</v>
      </c>
      <c r="B102" s="58"/>
      <c r="C102" s="115">
        <v>30000</v>
      </c>
      <c r="D102" s="138">
        <f>17048.54</f>
        <v>17048.54</v>
      </c>
      <c r="E102" s="79"/>
      <c r="F102" s="257">
        <f t="shared" si="28"/>
        <v>47048.54</v>
      </c>
      <c r="G102" s="224">
        <f>-597.74</f>
        <v>-597.74</v>
      </c>
      <c r="H102" s="182">
        <f>10709.3</f>
        <v>10709.3</v>
      </c>
      <c r="I102" s="237">
        <f t="shared" si="30"/>
        <v>57160.100000000006</v>
      </c>
      <c r="J102" s="224"/>
      <c r="K102" s="182"/>
      <c r="L102" s="237">
        <f t="shared" si="31"/>
        <v>57160.100000000006</v>
      </c>
      <c r="M102" s="153"/>
      <c r="N102" s="297"/>
      <c r="O102" s="317">
        <f t="shared" si="32"/>
        <v>57160.100000000006</v>
      </c>
      <c r="P102" s="209"/>
      <c r="Q102" s="282">
        <f t="shared" si="29"/>
        <v>57160.100000000006</v>
      </c>
    </row>
    <row r="103" spans="1:17" ht="12.75" hidden="1">
      <c r="A103" s="21" t="s">
        <v>68</v>
      </c>
      <c r="B103" s="58"/>
      <c r="C103" s="115"/>
      <c r="D103" s="138"/>
      <c r="E103" s="79"/>
      <c r="F103" s="257">
        <f t="shared" si="28"/>
        <v>0</v>
      </c>
      <c r="G103" s="224"/>
      <c r="H103" s="182"/>
      <c r="I103" s="237">
        <f>F103+G103+H103</f>
        <v>0</v>
      </c>
      <c r="J103" s="224"/>
      <c r="K103" s="182"/>
      <c r="L103" s="237">
        <f>I103+J103+K103</f>
        <v>0</v>
      </c>
      <c r="M103" s="153"/>
      <c r="N103" s="297"/>
      <c r="O103" s="317">
        <f>L103+M103+N103</f>
        <v>0</v>
      </c>
      <c r="P103" s="276"/>
      <c r="Q103" s="282">
        <f t="shared" si="29"/>
        <v>0</v>
      </c>
    </row>
    <row r="104" spans="1:17" ht="12.75">
      <c r="A104" s="10" t="s">
        <v>292</v>
      </c>
      <c r="B104" s="59"/>
      <c r="C104" s="69">
        <f aca="true" t="shared" si="33" ref="C104:Q104">C105+C109</f>
        <v>0</v>
      </c>
      <c r="D104" s="132">
        <f t="shared" si="33"/>
        <v>45060.35</v>
      </c>
      <c r="E104" s="70">
        <f t="shared" si="33"/>
        <v>0</v>
      </c>
      <c r="F104" s="92">
        <f t="shared" si="33"/>
        <v>45060.35</v>
      </c>
      <c r="G104" s="219">
        <f t="shared" si="33"/>
        <v>-14500</v>
      </c>
      <c r="H104" s="178">
        <f t="shared" si="33"/>
        <v>0</v>
      </c>
      <c r="I104" s="205">
        <f t="shared" si="33"/>
        <v>30560.35</v>
      </c>
      <c r="J104" s="219">
        <f t="shared" si="33"/>
        <v>1613.3200000000002</v>
      </c>
      <c r="K104" s="178">
        <f t="shared" si="33"/>
        <v>0</v>
      </c>
      <c r="L104" s="152">
        <f t="shared" si="33"/>
        <v>32173.67</v>
      </c>
      <c r="M104" s="150">
        <f t="shared" si="33"/>
        <v>4154.57</v>
      </c>
      <c r="N104" s="229">
        <f t="shared" si="33"/>
        <v>0</v>
      </c>
      <c r="O104" s="311">
        <f t="shared" si="33"/>
        <v>36328.24</v>
      </c>
      <c r="P104" s="225">
        <f t="shared" si="33"/>
        <v>0</v>
      </c>
      <c r="Q104" s="143">
        <f t="shared" si="33"/>
        <v>36328.24</v>
      </c>
    </row>
    <row r="105" spans="1:17" ht="12.75">
      <c r="A105" s="19" t="s">
        <v>49</v>
      </c>
      <c r="B105" s="59"/>
      <c r="C105" s="199">
        <f>SUM(C107:C108)</f>
        <v>0</v>
      </c>
      <c r="D105" s="136">
        <f aca="true" t="shared" si="34" ref="D105:Q105">SUM(D107:D108)</f>
        <v>45060.35</v>
      </c>
      <c r="E105" s="78">
        <f t="shared" si="34"/>
        <v>0</v>
      </c>
      <c r="F105" s="258">
        <f t="shared" si="34"/>
        <v>45060.35</v>
      </c>
      <c r="G105" s="199">
        <f t="shared" si="34"/>
        <v>-14500</v>
      </c>
      <c r="H105" s="78">
        <f t="shared" si="34"/>
        <v>0</v>
      </c>
      <c r="I105" s="200">
        <f t="shared" si="34"/>
        <v>30560.35</v>
      </c>
      <c r="J105" s="199">
        <f t="shared" si="34"/>
        <v>1613.3200000000002</v>
      </c>
      <c r="K105" s="78">
        <f t="shared" si="34"/>
        <v>0</v>
      </c>
      <c r="L105" s="290">
        <f t="shared" si="34"/>
        <v>32173.67</v>
      </c>
      <c r="M105" s="77">
        <f t="shared" si="34"/>
        <v>222.57</v>
      </c>
      <c r="N105" s="136">
        <f t="shared" si="34"/>
        <v>0</v>
      </c>
      <c r="O105" s="318">
        <f t="shared" si="34"/>
        <v>32396.239999999998</v>
      </c>
      <c r="P105" s="222">
        <f t="shared" si="34"/>
        <v>0</v>
      </c>
      <c r="Q105" s="148">
        <f t="shared" si="34"/>
        <v>32396.239999999998</v>
      </c>
    </row>
    <row r="106" spans="1:17" ht="12.75">
      <c r="A106" s="15" t="s">
        <v>26</v>
      </c>
      <c r="B106" s="55"/>
      <c r="C106" s="90"/>
      <c r="D106" s="133"/>
      <c r="E106" s="71"/>
      <c r="F106" s="259"/>
      <c r="G106" s="203"/>
      <c r="H106" s="179"/>
      <c r="I106" s="204"/>
      <c r="J106" s="203"/>
      <c r="K106" s="179"/>
      <c r="L106" s="144"/>
      <c r="M106" s="154"/>
      <c r="N106" s="230"/>
      <c r="O106" s="312"/>
      <c r="P106" s="209"/>
      <c r="Q106" s="208"/>
    </row>
    <row r="107" spans="1:17" ht="12.75" customHeight="1">
      <c r="A107" s="13" t="s">
        <v>51</v>
      </c>
      <c r="B107" s="55"/>
      <c r="C107" s="90"/>
      <c r="D107" s="133">
        <f>25455+19605.35</f>
        <v>45060.35</v>
      </c>
      <c r="E107" s="71"/>
      <c r="F107" s="259">
        <f>C107+D107+E107</f>
        <v>45060.35</v>
      </c>
      <c r="G107" s="203">
        <f>-14500</f>
        <v>-14500</v>
      </c>
      <c r="H107" s="179"/>
      <c r="I107" s="204">
        <f>F107+G107+H107</f>
        <v>30560.35</v>
      </c>
      <c r="J107" s="203">
        <f>613.32+1000</f>
        <v>1613.3200000000002</v>
      </c>
      <c r="K107" s="179"/>
      <c r="L107" s="144">
        <f>I107+J107+K107</f>
        <v>32173.67</v>
      </c>
      <c r="M107" s="154"/>
      <c r="N107" s="230"/>
      <c r="O107" s="312">
        <f>L107+M107+N107</f>
        <v>32173.67</v>
      </c>
      <c r="P107" s="209"/>
      <c r="Q107" s="208">
        <f>O107+P107</f>
        <v>32173.67</v>
      </c>
    </row>
    <row r="108" spans="1:17" ht="12.75" customHeight="1">
      <c r="A108" s="13" t="s">
        <v>76</v>
      </c>
      <c r="B108" s="55"/>
      <c r="C108" s="90"/>
      <c r="D108" s="133"/>
      <c r="E108" s="71"/>
      <c r="F108" s="259"/>
      <c r="G108" s="203"/>
      <c r="H108" s="179"/>
      <c r="I108" s="204"/>
      <c r="J108" s="203"/>
      <c r="K108" s="179"/>
      <c r="L108" s="144">
        <f>I108+J108+K108</f>
        <v>0</v>
      </c>
      <c r="M108" s="154">
        <f>22.57+200</f>
        <v>222.57</v>
      </c>
      <c r="N108" s="230"/>
      <c r="O108" s="312">
        <f>L108+M108+N108</f>
        <v>222.57</v>
      </c>
      <c r="P108" s="209"/>
      <c r="Q108" s="208">
        <f>O108+P108</f>
        <v>222.57</v>
      </c>
    </row>
    <row r="109" spans="1:17" ht="12.75">
      <c r="A109" s="19" t="s">
        <v>53</v>
      </c>
      <c r="B109" s="59"/>
      <c r="C109" s="199">
        <f>C111+C112</f>
        <v>0</v>
      </c>
      <c r="D109" s="136">
        <f aca="true" t="shared" si="35" ref="D109:Q109">D111+D112</f>
        <v>0</v>
      </c>
      <c r="E109" s="78">
        <f t="shared" si="35"/>
        <v>0</v>
      </c>
      <c r="F109" s="258">
        <f t="shared" si="35"/>
        <v>0</v>
      </c>
      <c r="G109" s="199">
        <f t="shared" si="35"/>
        <v>0</v>
      </c>
      <c r="H109" s="78">
        <f t="shared" si="35"/>
        <v>0</v>
      </c>
      <c r="I109" s="200">
        <f t="shared" si="35"/>
        <v>0</v>
      </c>
      <c r="J109" s="199">
        <f t="shared" si="35"/>
        <v>0</v>
      </c>
      <c r="K109" s="78">
        <f t="shared" si="35"/>
        <v>0</v>
      </c>
      <c r="L109" s="290">
        <f t="shared" si="35"/>
        <v>0</v>
      </c>
      <c r="M109" s="77">
        <f t="shared" si="35"/>
        <v>3932</v>
      </c>
      <c r="N109" s="136">
        <f t="shared" si="35"/>
        <v>0</v>
      </c>
      <c r="O109" s="318">
        <f t="shared" si="35"/>
        <v>3932</v>
      </c>
      <c r="P109" s="222">
        <f t="shared" si="35"/>
        <v>0</v>
      </c>
      <c r="Q109" s="148">
        <f t="shared" si="35"/>
        <v>3932</v>
      </c>
    </row>
    <row r="110" spans="1:17" ht="12.75">
      <c r="A110" s="15" t="s">
        <v>26</v>
      </c>
      <c r="B110" s="55"/>
      <c r="C110" s="90"/>
      <c r="D110" s="133"/>
      <c r="E110" s="71"/>
      <c r="F110" s="202"/>
      <c r="G110" s="203"/>
      <c r="H110" s="179"/>
      <c r="I110" s="204"/>
      <c r="J110" s="203"/>
      <c r="K110" s="179"/>
      <c r="L110" s="144"/>
      <c r="M110" s="154"/>
      <c r="N110" s="230"/>
      <c r="O110" s="312"/>
      <c r="P110" s="209"/>
      <c r="Q110" s="208"/>
    </row>
    <row r="111" spans="1:17" ht="12.75" hidden="1">
      <c r="A111" s="53" t="s">
        <v>54</v>
      </c>
      <c r="B111" s="55"/>
      <c r="C111" s="72"/>
      <c r="D111" s="133"/>
      <c r="E111" s="71"/>
      <c r="F111" s="202">
        <f>C111+D111+E111</f>
        <v>0</v>
      </c>
      <c r="G111" s="203"/>
      <c r="H111" s="179"/>
      <c r="I111" s="204"/>
      <c r="J111" s="203"/>
      <c r="K111" s="179"/>
      <c r="L111" s="204">
        <f>I111+J111+K111</f>
        <v>0</v>
      </c>
      <c r="M111" s="154"/>
      <c r="N111" s="230"/>
      <c r="O111" s="312">
        <f>L111+M111+N111</f>
        <v>0</v>
      </c>
      <c r="P111" s="209"/>
      <c r="Q111" s="208">
        <f>O111+P111</f>
        <v>0</v>
      </c>
    </row>
    <row r="112" spans="1:17" ht="12.75">
      <c r="A112" s="106" t="s">
        <v>76</v>
      </c>
      <c r="B112" s="58"/>
      <c r="C112" s="115"/>
      <c r="D112" s="138"/>
      <c r="E112" s="79"/>
      <c r="F112" s="257"/>
      <c r="G112" s="224"/>
      <c r="H112" s="182"/>
      <c r="I112" s="237"/>
      <c r="J112" s="224"/>
      <c r="K112" s="182"/>
      <c r="L112" s="237">
        <f>I112+J112+K112</f>
        <v>0</v>
      </c>
      <c r="M112" s="153">
        <f>1252.35+2679.65</f>
        <v>3932</v>
      </c>
      <c r="N112" s="297"/>
      <c r="O112" s="317">
        <f>L112+M112+N112</f>
        <v>3932</v>
      </c>
      <c r="P112" s="276"/>
      <c r="Q112" s="282">
        <f>O112+P112</f>
        <v>3932</v>
      </c>
    </row>
    <row r="113" spans="1:17" ht="12.75">
      <c r="A113" s="14" t="s">
        <v>69</v>
      </c>
      <c r="B113" s="59"/>
      <c r="C113" s="73">
        <f>C114+C121</f>
        <v>17401.86</v>
      </c>
      <c r="D113" s="134">
        <f aca="true" t="shared" si="36" ref="D113:Q113">D114+D121</f>
        <v>-3293.4</v>
      </c>
      <c r="E113" s="74">
        <f t="shared" si="36"/>
        <v>0</v>
      </c>
      <c r="F113" s="254">
        <f t="shared" si="36"/>
        <v>14108.460000000001</v>
      </c>
      <c r="G113" s="220">
        <f t="shared" si="36"/>
        <v>2133</v>
      </c>
      <c r="H113" s="181">
        <f t="shared" si="36"/>
        <v>0</v>
      </c>
      <c r="I113" s="211">
        <f t="shared" si="36"/>
        <v>16241.460000000001</v>
      </c>
      <c r="J113" s="220">
        <f>J114+J121</f>
        <v>0</v>
      </c>
      <c r="K113" s="181">
        <f>K114+K121</f>
        <v>0</v>
      </c>
      <c r="L113" s="211">
        <f>L114+L121</f>
        <v>16241.460000000001</v>
      </c>
      <c r="M113" s="165">
        <f t="shared" si="36"/>
        <v>0</v>
      </c>
      <c r="N113" s="231">
        <f t="shared" si="36"/>
        <v>0</v>
      </c>
      <c r="O113" s="313">
        <f t="shared" si="36"/>
        <v>16241.460000000001</v>
      </c>
      <c r="P113" s="220">
        <f t="shared" si="36"/>
        <v>-298.79</v>
      </c>
      <c r="Q113" s="145">
        <f t="shared" si="36"/>
        <v>15942.670000000002</v>
      </c>
    </row>
    <row r="114" spans="1:17" ht="12.75">
      <c r="A114" s="19" t="s">
        <v>49</v>
      </c>
      <c r="B114" s="59"/>
      <c r="C114" s="77">
        <f>SUM(C116:C120)</f>
        <v>17401.86</v>
      </c>
      <c r="D114" s="136">
        <f aca="true" t="shared" si="37" ref="D114:Q114">SUM(D116:D120)</f>
        <v>-3293.4</v>
      </c>
      <c r="E114" s="78">
        <f t="shared" si="37"/>
        <v>0</v>
      </c>
      <c r="F114" s="201">
        <f t="shared" si="37"/>
        <v>14108.460000000001</v>
      </c>
      <c r="G114" s="222">
        <f t="shared" si="37"/>
        <v>2133</v>
      </c>
      <c r="H114" s="183">
        <f t="shared" si="37"/>
        <v>0</v>
      </c>
      <c r="I114" s="235">
        <f t="shared" si="37"/>
        <v>16241.460000000001</v>
      </c>
      <c r="J114" s="222">
        <f>SUM(J116:J120)</f>
        <v>0</v>
      </c>
      <c r="K114" s="183">
        <f>SUM(K116:K120)</f>
        <v>0</v>
      </c>
      <c r="L114" s="235">
        <f>SUM(L116:L120)</f>
        <v>16241.460000000001</v>
      </c>
      <c r="M114" s="151">
        <f t="shared" si="37"/>
        <v>0</v>
      </c>
      <c r="N114" s="295">
        <f t="shared" si="37"/>
        <v>0</v>
      </c>
      <c r="O114" s="315">
        <f t="shared" si="37"/>
        <v>16241.460000000001</v>
      </c>
      <c r="P114" s="222">
        <f t="shared" si="37"/>
        <v>-298.79</v>
      </c>
      <c r="Q114" s="148">
        <f t="shared" si="37"/>
        <v>15942.670000000002</v>
      </c>
    </row>
    <row r="115" spans="1:17" ht="12.75">
      <c r="A115" s="15" t="s">
        <v>26</v>
      </c>
      <c r="B115" s="55"/>
      <c r="C115" s="72"/>
      <c r="D115" s="133"/>
      <c r="E115" s="71"/>
      <c r="F115" s="92"/>
      <c r="G115" s="203"/>
      <c r="H115" s="179"/>
      <c r="I115" s="205"/>
      <c r="J115" s="203"/>
      <c r="K115" s="179"/>
      <c r="L115" s="205"/>
      <c r="M115" s="154"/>
      <c r="N115" s="230"/>
      <c r="O115" s="311"/>
      <c r="P115" s="209"/>
      <c r="Q115" s="208"/>
    </row>
    <row r="116" spans="1:17" ht="12.75">
      <c r="A116" s="13" t="s">
        <v>51</v>
      </c>
      <c r="B116" s="55"/>
      <c r="C116" s="72">
        <v>17401.86</v>
      </c>
      <c r="D116" s="133">
        <f>-6500+3206.6</f>
        <v>-3293.4</v>
      </c>
      <c r="E116" s="71"/>
      <c r="F116" s="202">
        <f>C116+D116+E116</f>
        <v>14108.460000000001</v>
      </c>
      <c r="G116" s="203"/>
      <c r="H116" s="179"/>
      <c r="I116" s="204">
        <f>SUM(F116:H116)</f>
        <v>14108.460000000001</v>
      </c>
      <c r="J116" s="203"/>
      <c r="K116" s="179"/>
      <c r="L116" s="204">
        <f>I116+J116+K116</f>
        <v>14108.460000000001</v>
      </c>
      <c r="M116" s="154"/>
      <c r="N116" s="230"/>
      <c r="O116" s="312">
        <f>L116+M116+N116</f>
        <v>14108.460000000001</v>
      </c>
      <c r="P116" s="209"/>
      <c r="Q116" s="208">
        <f>O116+P116</f>
        <v>14108.460000000001</v>
      </c>
    </row>
    <row r="117" spans="1:17" ht="12.75" hidden="1">
      <c r="A117" s="110" t="s">
        <v>76</v>
      </c>
      <c r="B117" s="55">
        <v>1245</v>
      </c>
      <c r="C117" s="72"/>
      <c r="D117" s="133"/>
      <c r="E117" s="71"/>
      <c r="F117" s="202">
        <f>C117+D117+E117</f>
        <v>0</v>
      </c>
      <c r="G117" s="203"/>
      <c r="H117" s="179"/>
      <c r="I117" s="204">
        <f>SUM(F117:H117)</f>
        <v>0</v>
      </c>
      <c r="J117" s="203"/>
      <c r="K117" s="179"/>
      <c r="L117" s="204"/>
      <c r="M117" s="154"/>
      <c r="N117" s="230"/>
      <c r="O117" s="312"/>
      <c r="P117" s="209"/>
      <c r="Q117" s="208"/>
    </row>
    <row r="118" spans="1:17" ht="12.75">
      <c r="A118" s="23" t="s">
        <v>70</v>
      </c>
      <c r="B118" s="58">
        <v>33166</v>
      </c>
      <c r="C118" s="115"/>
      <c r="D118" s="138"/>
      <c r="E118" s="79"/>
      <c r="F118" s="257">
        <f>C118+D118+E118</f>
        <v>0</v>
      </c>
      <c r="G118" s="224">
        <f>2133</f>
        <v>2133</v>
      </c>
      <c r="H118" s="182"/>
      <c r="I118" s="237">
        <f>SUM(F118:H118)</f>
        <v>2133</v>
      </c>
      <c r="J118" s="224"/>
      <c r="K118" s="182"/>
      <c r="L118" s="237">
        <f>I118+J118+K118</f>
        <v>2133</v>
      </c>
      <c r="M118" s="153"/>
      <c r="N118" s="297"/>
      <c r="O118" s="317">
        <f>L118+M118+N118</f>
        <v>2133</v>
      </c>
      <c r="P118" s="276">
        <f>-298.79</f>
        <v>-298.79</v>
      </c>
      <c r="Q118" s="282">
        <f>O118+P118</f>
        <v>1834.21</v>
      </c>
    </row>
    <row r="119" spans="1:17" ht="12.75" hidden="1">
      <c r="A119" s="17" t="s">
        <v>252</v>
      </c>
      <c r="B119" s="55">
        <v>33064</v>
      </c>
      <c r="C119" s="72"/>
      <c r="D119" s="133"/>
      <c r="E119" s="71"/>
      <c r="F119" s="202">
        <f>C119+D119+E119</f>
        <v>0</v>
      </c>
      <c r="G119" s="203"/>
      <c r="H119" s="179"/>
      <c r="I119" s="204">
        <f>SUM(F119:H119)</f>
        <v>0</v>
      </c>
      <c r="J119" s="203"/>
      <c r="K119" s="179"/>
      <c r="L119" s="204"/>
      <c r="M119" s="154"/>
      <c r="N119" s="230"/>
      <c r="O119" s="312"/>
      <c r="P119" s="209"/>
      <c r="Q119" s="208"/>
    </row>
    <row r="120" spans="1:17" ht="12.75" hidden="1">
      <c r="A120" s="17" t="s">
        <v>64</v>
      </c>
      <c r="B120" s="55"/>
      <c r="C120" s="72"/>
      <c r="D120" s="133"/>
      <c r="E120" s="71"/>
      <c r="F120" s="202">
        <f>C120+D120+E120</f>
        <v>0</v>
      </c>
      <c r="G120" s="203"/>
      <c r="H120" s="179"/>
      <c r="I120" s="204">
        <f>SUM(F120:H120)</f>
        <v>0</v>
      </c>
      <c r="J120" s="203"/>
      <c r="K120" s="179"/>
      <c r="L120" s="204">
        <f>I120+J120+K120</f>
        <v>0</v>
      </c>
      <c r="M120" s="154"/>
      <c r="N120" s="230"/>
      <c r="O120" s="312">
        <f>L120+M120+N120</f>
        <v>0</v>
      </c>
      <c r="P120" s="209"/>
      <c r="Q120" s="208">
        <f>O120+P120</f>
        <v>0</v>
      </c>
    </row>
    <row r="121" spans="1:17" ht="12.75" hidden="1">
      <c r="A121" s="19" t="s">
        <v>53</v>
      </c>
      <c r="B121" s="59"/>
      <c r="C121" s="77">
        <f>C123</f>
        <v>0</v>
      </c>
      <c r="D121" s="136">
        <f aca="true" t="shared" si="38" ref="D121:Q121">D123</f>
        <v>0</v>
      </c>
      <c r="E121" s="78">
        <f t="shared" si="38"/>
        <v>0</v>
      </c>
      <c r="F121" s="201">
        <f t="shared" si="38"/>
        <v>0</v>
      </c>
      <c r="G121" s="222">
        <f t="shared" si="38"/>
        <v>0</v>
      </c>
      <c r="H121" s="183">
        <f t="shared" si="38"/>
        <v>0</v>
      </c>
      <c r="I121" s="235">
        <f t="shared" si="38"/>
        <v>0</v>
      </c>
      <c r="J121" s="222">
        <f t="shared" si="38"/>
        <v>0</v>
      </c>
      <c r="K121" s="183">
        <f t="shared" si="38"/>
        <v>0</v>
      </c>
      <c r="L121" s="235">
        <f t="shared" si="38"/>
        <v>0</v>
      </c>
      <c r="M121" s="151">
        <f t="shared" si="38"/>
        <v>0</v>
      </c>
      <c r="N121" s="295">
        <f t="shared" si="38"/>
        <v>0</v>
      </c>
      <c r="O121" s="315">
        <f t="shared" si="38"/>
        <v>0</v>
      </c>
      <c r="P121" s="222">
        <f t="shared" si="38"/>
        <v>0</v>
      </c>
      <c r="Q121" s="148">
        <f t="shared" si="38"/>
        <v>0</v>
      </c>
    </row>
    <row r="122" spans="1:17" ht="12.75" hidden="1">
      <c r="A122" s="15" t="s">
        <v>26</v>
      </c>
      <c r="B122" s="55"/>
      <c r="C122" s="72"/>
      <c r="D122" s="133"/>
      <c r="E122" s="71"/>
      <c r="F122" s="92"/>
      <c r="G122" s="203"/>
      <c r="H122" s="179"/>
      <c r="I122" s="205"/>
      <c r="J122" s="203"/>
      <c r="K122" s="179"/>
      <c r="L122" s="205"/>
      <c r="M122" s="154"/>
      <c r="N122" s="230"/>
      <c r="O122" s="311"/>
      <c r="P122" s="209"/>
      <c r="Q122" s="208"/>
    </row>
    <row r="123" spans="1:17" ht="12.75" hidden="1">
      <c r="A123" s="16" t="s">
        <v>151</v>
      </c>
      <c r="B123" s="58"/>
      <c r="C123" s="115"/>
      <c r="D123" s="138"/>
      <c r="E123" s="79"/>
      <c r="F123" s="257">
        <f>C123+D123+E123</f>
        <v>0</v>
      </c>
      <c r="G123" s="224"/>
      <c r="H123" s="182"/>
      <c r="I123" s="237">
        <f>SUM(F123:H123)</f>
        <v>0</v>
      </c>
      <c r="J123" s="224"/>
      <c r="K123" s="182"/>
      <c r="L123" s="237">
        <f>I123+J123+K123</f>
        <v>0</v>
      </c>
      <c r="M123" s="153"/>
      <c r="N123" s="297"/>
      <c r="O123" s="317">
        <f>L123+M123+N123</f>
        <v>0</v>
      </c>
      <c r="P123" s="276"/>
      <c r="Q123" s="282">
        <f>O123+P123</f>
        <v>0</v>
      </c>
    </row>
    <row r="124" spans="1:17" ht="12.75">
      <c r="A124" s="10" t="s">
        <v>71</v>
      </c>
      <c r="B124" s="59"/>
      <c r="C124" s="69">
        <f>C125+C137</f>
        <v>1528562.62</v>
      </c>
      <c r="D124" s="132">
        <f aca="true" t="shared" si="39" ref="D124:Q124">D125+D137</f>
        <v>32851.14</v>
      </c>
      <c r="E124" s="70">
        <f t="shared" si="39"/>
        <v>0</v>
      </c>
      <c r="F124" s="92">
        <f t="shared" si="39"/>
        <v>1561413.76</v>
      </c>
      <c r="G124" s="219">
        <f t="shared" si="39"/>
        <v>22751.83</v>
      </c>
      <c r="H124" s="178">
        <f t="shared" si="39"/>
        <v>0</v>
      </c>
      <c r="I124" s="205">
        <f t="shared" si="39"/>
        <v>1584165.5899999999</v>
      </c>
      <c r="J124" s="219">
        <f>J125+J137</f>
        <v>299599.33999999997</v>
      </c>
      <c r="K124" s="178">
        <f>K125+K137</f>
        <v>0</v>
      </c>
      <c r="L124" s="205">
        <f>L125+L137</f>
        <v>1883764.9300000002</v>
      </c>
      <c r="M124" s="150">
        <f t="shared" si="39"/>
        <v>13947.62</v>
      </c>
      <c r="N124" s="229">
        <f t="shared" si="39"/>
        <v>0</v>
      </c>
      <c r="O124" s="311">
        <f t="shared" si="39"/>
        <v>1897712.5500000003</v>
      </c>
      <c r="P124" s="219">
        <f t="shared" si="39"/>
        <v>7426.19</v>
      </c>
      <c r="Q124" s="143">
        <f t="shared" si="39"/>
        <v>1905138.7400000002</v>
      </c>
    </row>
    <row r="125" spans="1:17" ht="12.75">
      <c r="A125" s="19" t="s">
        <v>49</v>
      </c>
      <c r="B125" s="59"/>
      <c r="C125" s="77">
        <f>SUM(C128:C136)</f>
        <v>1518562.62</v>
      </c>
      <c r="D125" s="136">
        <f aca="true" t="shared" si="40" ref="D125:Q125">SUM(D128:D136)</f>
        <v>32851.14</v>
      </c>
      <c r="E125" s="78">
        <f t="shared" si="40"/>
        <v>0</v>
      </c>
      <c r="F125" s="201">
        <f t="shared" si="40"/>
        <v>1551413.76</v>
      </c>
      <c r="G125" s="222">
        <f t="shared" si="40"/>
        <v>22751.83</v>
      </c>
      <c r="H125" s="183">
        <f t="shared" si="40"/>
        <v>0</v>
      </c>
      <c r="I125" s="235">
        <f t="shared" si="40"/>
        <v>1574165.5899999999</v>
      </c>
      <c r="J125" s="222">
        <f>SUM(J128:J136)</f>
        <v>299599.33999999997</v>
      </c>
      <c r="K125" s="183">
        <f>SUM(K128:K136)</f>
        <v>0</v>
      </c>
      <c r="L125" s="235">
        <f>SUM(L128:L136)</f>
        <v>1873764.9300000002</v>
      </c>
      <c r="M125" s="151">
        <f t="shared" si="40"/>
        <v>13947.62</v>
      </c>
      <c r="N125" s="295">
        <f t="shared" si="40"/>
        <v>0</v>
      </c>
      <c r="O125" s="315">
        <f t="shared" si="40"/>
        <v>1887712.5500000003</v>
      </c>
      <c r="P125" s="222">
        <f t="shared" si="40"/>
        <v>7426.19</v>
      </c>
      <c r="Q125" s="148">
        <f t="shared" si="40"/>
        <v>1895138.7400000002</v>
      </c>
    </row>
    <row r="126" spans="1:17" ht="12.75">
      <c r="A126" s="15" t="s">
        <v>26</v>
      </c>
      <c r="B126" s="55"/>
      <c r="C126" s="72"/>
      <c r="D126" s="133"/>
      <c r="E126" s="71"/>
      <c r="F126" s="92"/>
      <c r="G126" s="203"/>
      <c r="H126" s="179"/>
      <c r="I126" s="205"/>
      <c r="J126" s="203"/>
      <c r="K126" s="179"/>
      <c r="L126" s="205"/>
      <c r="M126" s="154"/>
      <c r="N126" s="230"/>
      <c r="O126" s="311"/>
      <c r="P126" s="209"/>
      <c r="Q126" s="208"/>
    </row>
    <row r="127" spans="1:17" ht="12.75">
      <c r="A127" s="17" t="s">
        <v>273</v>
      </c>
      <c r="B127" s="55"/>
      <c r="C127" s="72">
        <f>C128+C129</f>
        <v>966122.62</v>
      </c>
      <c r="D127" s="133">
        <f>D128+D129</f>
        <v>32538.890000000003</v>
      </c>
      <c r="E127" s="71">
        <f>E128+E129</f>
        <v>0</v>
      </c>
      <c r="F127" s="202">
        <f>F128+F129</f>
        <v>998661.51</v>
      </c>
      <c r="G127" s="203">
        <f>G128+G129</f>
        <v>13304.960000000001</v>
      </c>
      <c r="H127" s="179"/>
      <c r="I127" s="204">
        <f aca="true" t="shared" si="41" ref="I127:Q127">I128+I129</f>
        <v>1011966.47</v>
      </c>
      <c r="J127" s="203">
        <f t="shared" si="41"/>
        <v>59365.39</v>
      </c>
      <c r="K127" s="179">
        <f t="shared" si="41"/>
        <v>0</v>
      </c>
      <c r="L127" s="204">
        <f t="shared" si="41"/>
        <v>1071331.8599999999</v>
      </c>
      <c r="M127" s="90">
        <f t="shared" si="41"/>
        <v>13292.2</v>
      </c>
      <c r="N127" s="133">
        <f t="shared" si="41"/>
        <v>0</v>
      </c>
      <c r="O127" s="312">
        <f t="shared" si="41"/>
        <v>1084624.06</v>
      </c>
      <c r="P127" s="72">
        <f t="shared" si="41"/>
        <v>7278.19</v>
      </c>
      <c r="Q127" s="204">
        <f t="shared" si="41"/>
        <v>1091902.25</v>
      </c>
    </row>
    <row r="128" spans="1:17" ht="12.75">
      <c r="A128" s="17" t="s">
        <v>274</v>
      </c>
      <c r="B128" s="55"/>
      <c r="C128" s="72">
        <v>468060</v>
      </c>
      <c r="D128" s="139">
        <f>10556.31+1031.02+29.07+7.7+24.84+16200</f>
        <v>27848.940000000002</v>
      </c>
      <c r="E128" s="71"/>
      <c r="F128" s="202">
        <f aca="true" t="shared" si="42" ref="F128:F136">C128+D128+E128</f>
        <v>495908.94</v>
      </c>
      <c r="G128" s="203">
        <f>-2198.22+451.08+1850.95-2000</f>
        <v>-1896.1899999999998</v>
      </c>
      <c r="H128" s="251"/>
      <c r="I128" s="204">
        <f aca="true" t="shared" si="43" ref="I128:I136">F128+G128+H128</f>
        <v>494012.75</v>
      </c>
      <c r="J128" s="203">
        <f>863.64+40000</f>
        <v>40863.64</v>
      </c>
      <c r="K128" s="179"/>
      <c r="L128" s="204">
        <f aca="true" t="shared" si="44" ref="L128:L136">I128+J128+K128</f>
        <v>534876.39</v>
      </c>
      <c r="M128" s="154">
        <f>42.8+12.71-2000</f>
        <v>-1944.49</v>
      </c>
      <c r="N128" s="230"/>
      <c r="O128" s="312">
        <f aca="true" t="shared" si="45" ref="O128:O136">L128+M128+N128</f>
        <v>532931.9</v>
      </c>
      <c r="P128" s="209">
        <f>7.48</f>
        <v>7.48</v>
      </c>
      <c r="Q128" s="208">
        <f aca="true" t="shared" si="46" ref="Q128:Q136">O128+P128</f>
        <v>532939.38</v>
      </c>
    </row>
    <row r="129" spans="1:17" ht="12.75">
      <c r="A129" s="13" t="s">
        <v>275</v>
      </c>
      <c r="B129" s="55"/>
      <c r="C129" s="72">
        <v>498062.62</v>
      </c>
      <c r="D129" s="133">
        <f>1720.38+2087.5+882.07</f>
        <v>4689.95</v>
      </c>
      <c r="E129" s="71"/>
      <c r="F129" s="202">
        <f t="shared" si="42"/>
        <v>502752.57</v>
      </c>
      <c r="G129" s="203">
        <f>3287.21+850.25+11063.69</f>
        <v>15201.150000000001</v>
      </c>
      <c r="H129" s="251"/>
      <c r="I129" s="204">
        <f t="shared" si="43"/>
        <v>517953.72000000003</v>
      </c>
      <c r="J129" s="203">
        <f>1791+720.82+15989.93</f>
        <v>18501.75</v>
      </c>
      <c r="K129" s="179"/>
      <c r="L129" s="204">
        <f t="shared" si="44"/>
        <v>536455.47</v>
      </c>
      <c r="M129" s="154">
        <f>13236.69+2000</f>
        <v>15236.69</v>
      </c>
      <c r="N129" s="230"/>
      <c r="O129" s="312">
        <f t="shared" si="45"/>
        <v>551692.1599999999</v>
      </c>
      <c r="P129" s="209">
        <f>7270.71</f>
        <v>7270.71</v>
      </c>
      <c r="Q129" s="208">
        <f t="shared" si="46"/>
        <v>558962.8699999999</v>
      </c>
    </row>
    <row r="130" spans="1:17" ht="12.75">
      <c r="A130" s="17" t="s">
        <v>72</v>
      </c>
      <c r="B130" s="55"/>
      <c r="C130" s="72">
        <v>27440</v>
      </c>
      <c r="D130" s="133">
        <f>185</f>
        <v>185</v>
      </c>
      <c r="E130" s="71"/>
      <c r="F130" s="202">
        <f t="shared" si="42"/>
        <v>27625</v>
      </c>
      <c r="G130" s="203"/>
      <c r="H130" s="179"/>
      <c r="I130" s="204">
        <f t="shared" si="43"/>
        <v>27625</v>
      </c>
      <c r="J130" s="203">
        <f>120.79</f>
        <v>120.79</v>
      </c>
      <c r="K130" s="179"/>
      <c r="L130" s="204">
        <f t="shared" si="44"/>
        <v>27745.79</v>
      </c>
      <c r="M130" s="154">
        <f>-2000</f>
        <v>-2000</v>
      </c>
      <c r="N130" s="230"/>
      <c r="O130" s="312">
        <f t="shared" si="45"/>
        <v>25745.79</v>
      </c>
      <c r="P130" s="209"/>
      <c r="Q130" s="208">
        <f t="shared" si="46"/>
        <v>25745.79</v>
      </c>
    </row>
    <row r="131" spans="1:17" ht="12.75" hidden="1">
      <c r="A131" s="13" t="s">
        <v>73</v>
      </c>
      <c r="B131" s="55"/>
      <c r="C131" s="72"/>
      <c r="D131" s="133"/>
      <c r="E131" s="71"/>
      <c r="F131" s="202">
        <f t="shared" si="42"/>
        <v>0</v>
      </c>
      <c r="G131" s="203"/>
      <c r="H131" s="179"/>
      <c r="I131" s="204">
        <f t="shared" si="43"/>
        <v>0</v>
      </c>
      <c r="J131" s="203"/>
      <c r="K131" s="179"/>
      <c r="L131" s="204">
        <f t="shared" si="44"/>
        <v>0</v>
      </c>
      <c r="M131" s="154"/>
      <c r="N131" s="230"/>
      <c r="O131" s="312">
        <f t="shared" si="45"/>
        <v>0</v>
      </c>
      <c r="P131" s="209"/>
      <c r="Q131" s="208">
        <f t="shared" si="46"/>
        <v>0</v>
      </c>
    </row>
    <row r="132" spans="1:17" ht="12.75">
      <c r="A132" s="13" t="s">
        <v>64</v>
      </c>
      <c r="B132" s="55"/>
      <c r="C132" s="72"/>
      <c r="D132" s="133"/>
      <c r="E132" s="71"/>
      <c r="F132" s="202">
        <f t="shared" si="42"/>
        <v>0</v>
      </c>
      <c r="G132" s="203">
        <f>2198.22</f>
        <v>2198.22</v>
      </c>
      <c r="H132" s="179"/>
      <c r="I132" s="204">
        <f t="shared" si="43"/>
        <v>2198.22</v>
      </c>
      <c r="J132" s="203"/>
      <c r="K132" s="179"/>
      <c r="L132" s="204">
        <f t="shared" si="44"/>
        <v>2198.22</v>
      </c>
      <c r="M132" s="154"/>
      <c r="N132" s="230"/>
      <c r="O132" s="312">
        <f t="shared" si="45"/>
        <v>2198.22</v>
      </c>
      <c r="P132" s="209"/>
      <c r="Q132" s="208">
        <f t="shared" si="46"/>
        <v>2198.22</v>
      </c>
    </row>
    <row r="133" spans="1:17" ht="12.75" hidden="1">
      <c r="A133" s="13" t="s">
        <v>74</v>
      </c>
      <c r="B133" s="55">
        <v>91252</v>
      </c>
      <c r="C133" s="72"/>
      <c r="D133" s="133"/>
      <c r="E133" s="71"/>
      <c r="F133" s="202">
        <f t="shared" si="42"/>
        <v>0</v>
      </c>
      <c r="G133" s="203"/>
      <c r="H133" s="179"/>
      <c r="I133" s="204">
        <f t="shared" si="43"/>
        <v>0</v>
      </c>
      <c r="J133" s="203"/>
      <c r="K133" s="179"/>
      <c r="L133" s="204">
        <f t="shared" si="44"/>
        <v>0</v>
      </c>
      <c r="M133" s="154"/>
      <c r="N133" s="230"/>
      <c r="O133" s="312">
        <f t="shared" si="45"/>
        <v>0</v>
      </c>
      <c r="P133" s="209"/>
      <c r="Q133" s="208">
        <f t="shared" si="46"/>
        <v>0</v>
      </c>
    </row>
    <row r="134" spans="1:17" ht="12.75">
      <c r="A134" s="13" t="s">
        <v>131</v>
      </c>
      <c r="B134" s="55">
        <v>27355</v>
      </c>
      <c r="C134" s="72"/>
      <c r="D134" s="133"/>
      <c r="E134" s="71"/>
      <c r="F134" s="202">
        <f t="shared" si="42"/>
        <v>0</v>
      </c>
      <c r="G134" s="203"/>
      <c r="H134" s="179"/>
      <c r="I134" s="204">
        <f t="shared" si="43"/>
        <v>0</v>
      </c>
      <c r="J134" s="203">
        <f>214113.36</f>
        <v>214113.36</v>
      </c>
      <c r="K134" s="179"/>
      <c r="L134" s="204">
        <f t="shared" si="44"/>
        <v>214113.36</v>
      </c>
      <c r="M134" s="154"/>
      <c r="N134" s="230"/>
      <c r="O134" s="312">
        <f t="shared" si="45"/>
        <v>214113.36</v>
      </c>
      <c r="P134" s="209"/>
      <c r="Q134" s="208">
        <f t="shared" si="46"/>
        <v>214113.36</v>
      </c>
    </row>
    <row r="135" spans="1:17" ht="12.75">
      <c r="A135" s="13" t="s">
        <v>51</v>
      </c>
      <c r="B135" s="55"/>
      <c r="C135" s="72">
        <v>525000</v>
      </c>
      <c r="D135" s="133">
        <f>127.25</f>
        <v>127.25</v>
      </c>
      <c r="E135" s="71"/>
      <c r="F135" s="202">
        <f t="shared" si="42"/>
        <v>525127.25</v>
      </c>
      <c r="G135" s="203">
        <f>248.65+2000+5000</f>
        <v>7248.65</v>
      </c>
      <c r="H135" s="179"/>
      <c r="I135" s="204">
        <f t="shared" si="43"/>
        <v>532375.9</v>
      </c>
      <c r="J135" s="203">
        <f>999.8+25000</f>
        <v>25999.8</v>
      </c>
      <c r="K135" s="179"/>
      <c r="L135" s="204">
        <f t="shared" si="44"/>
        <v>558375.7000000001</v>
      </c>
      <c r="M135" s="154">
        <f>655.42+2000</f>
        <v>2655.42</v>
      </c>
      <c r="N135" s="230"/>
      <c r="O135" s="312">
        <f t="shared" si="45"/>
        <v>561031.1200000001</v>
      </c>
      <c r="P135" s="209">
        <f>148</f>
        <v>148</v>
      </c>
      <c r="Q135" s="208">
        <f t="shared" si="46"/>
        <v>561179.1200000001</v>
      </c>
    </row>
    <row r="136" spans="1:17" ht="12" customHeight="1" hidden="1">
      <c r="A136" s="13" t="s">
        <v>75</v>
      </c>
      <c r="B136" s="55"/>
      <c r="C136" s="72"/>
      <c r="D136" s="133"/>
      <c r="E136" s="71"/>
      <c r="F136" s="202">
        <f t="shared" si="42"/>
        <v>0</v>
      </c>
      <c r="G136" s="203"/>
      <c r="H136" s="179"/>
      <c r="I136" s="204">
        <f t="shared" si="43"/>
        <v>0</v>
      </c>
      <c r="J136" s="203"/>
      <c r="K136" s="179"/>
      <c r="L136" s="204">
        <f t="shared" si="44"/>
        <v>0</v>
      </c>
      <c r="M136" s="154"/>
      <c r="N136" s="230"/>
      <c r="O136" s="312">
        <f t="shared" si="45"/>
        <v>0</v>
      </c>
      <c r="P136" s="209"/>
      <c r="Q136" s="208">
        <f t="shared" si="46"/>
        <v>0</v>
      </c>
    </row>
    <row r="137" spans="1:17" ht="12.75">
      <c r="A137" s="20" t="s">
        <v>53</v>
      </c>
      <c r="B137" s="59"/>
      <c r="C137" s="80">
        <f>SUM(C139:C141)</f>
        <v>10000</v>
      </c>
      <c r="D137" s="137">
        <f aca="true" t="shared" si="47" ref="D137:Q137">SUM(D139:D141)</f>
        <v>0</v>
      </c>
      <c r="E137" s="81">
        <f t="shared" si="47"/>
        <v>0</v>
      </c>
      <c r="F137" s="256">
        <f t="shared" si="47"/>
        <v>10000</v>
      </c>
      <c r="G137" s="223">
        <f t="shared" si="47"/>
        <v>0</v>
      </c>
      <c r="H137" s="190">
        <f t="shared" si="47"/>
        <v>0</v>
      </c>
      <c r="I137" s="236">
        <f t="shared" si="47"/>
        <v>10000</v>
      </c>
      <c r="J137" s="223">
        <f t="shared" si="47"/>
        <v>0</v>
      </c>
      <c r="K137" s="190">
        <f t="shared" si="47"/>
        <v>0</v>
      </c>
      <c r="L137" s="236">
        <f t="shared" si="47"/>
        <v>10000</v>
      </c>
      <c r="M137" s="166">
        <f t="shared" si="47"/>
        <v>0</v>
      </c>
      <c r="N137" s="296">
        <f t="shared" si="47"/>
        <v>0</v>
      </c>
      <c r="O137" s="316">
        <f t="shared" si="47"/>
        <v>10000</v>
      </c>
      <c r="P137" s="223">
        <f t="shared" si="47"/>
        <v>0</v>
      </c>
      <c r="Q137" s="149">
        <f t="shared" si="47"/>
        <v>10000</v>
      </c>
    </row>
    <row r="138" spans="1:17" ht="12.75">
      <c r="A138" s="11" t="s">
        <v>26</v>
      </c>
      <c r="B138" s="55"/>
      <c r="C138" s="73"/>
      <c r="D138" s="134"/>
      <c r="E138" s="74"/>
      <c r="F138" s="254"/>
      <c r="G138" s="220"/>
      <c r="H138" s="181"/>
      <c r="I138" s="211"/>
      <c r="J138" s="220"/>
      <c r="K138" s="181"/>
      <c r="L138" s="211"/>
      <c r="M138" s="165"/>
      <c r="N138" s="231"/>
      <c r="O138" s="313"/>
      <c r="P138" s="209"/>
      <c r="Q138" s="208"/>
    </row>
    <row r="139" spans="1:17" ht="12.75" hidden="1">
      <c r="A139" s="12" t="s">
        <v>54</v>
      </c>
      <c r="B139" s="55"/>
      <c r="C139" s="72"/>
      <c r="D139" s="133"/>
      <c r="E139" s="71"/>
      <c r="F139" s="202">
        <f>C139+D139+E139</f>
        <v>0</v>
      </c>
      <c r="G139" s="203"/>
      <c r="H139" s="179"/>
      <c r="I139" s="204">
        <f>F139+G139+H139</f>
        <v>0</v>
      </c>
      <c r="J139" s="203"/>
      <c r="K139" s="179"/>
      <c r="L139" s="204">
        <f>I139+J139+K139</f>
        <v>0</v>
      </c>
      <c r="M139" s="154"/>
      <c r="N139" s="230"/>
      <c r="O139" s="312">
        <f>L139+M139+N139</f>
        <v>0</v>
      </c>
      <c r="P139" s="209"/>
      <c r="Q139" s="208">
        <f>O139+P139</f>
        <v>0</v>
      </c>
    </row>
    <row r="140" spans="1:17" ht="12.75">
      <c r="A140" s="16" t="s">
        <v>83</v>
      </c>
      <c r="B140" s="58"/>
      <c r="C140" s="115">
        <v>10000</v>
      </c>
      <c r="D140" s="138"/>
      <c r="E140" s="79"/>
      <c r="F140" s="257">
        <f>C140+D140+E140</f>
        <v>10000</v>
      </c>
      <c r="G140" s="224"/>
      <c r="H140" s="182"/>
      <c r="I140" s="237">
        <f>F140+G140+H140</f>
        <v>10000</v>
      </c>
      <c r="J140" s="224"/>
      <c r="K140" s="182"/>
      <c r="L140" s="237">
        <f>I140+J140+K140</f>
        <v>10000</v>
      </c>
      <c r="M140" s="153"/>
      <c r="N140" s="297"/>
      <c r="O140" s="317">
        <f>L140+M140+N140</f>
        <v>10000</v>
      </c>
      <c r="P140" s="276"/>
      <c r="Q140" s="282">
        <f>O140+P140</f>
        <v>10000</v>
      </c>
    </row>
    <row r="141" spans="1:17" ht="12.75" hidden="1">
      <c r="A141" s="16" t="s">
        <v>76</v>
      </c>
      <c r="B141" s="58"/>
      <c r="C141" s="115"/>
      <c r="D141" s="138"/>
      <c r="E141" s="79"/>
      <c r="F141" s="257">
        <f>C141+D141+E141</f>
        <v>0</v>
      </c>
      <c r="G141" s="224"/>
      <c r="H141" s="182"/>
      <c r="I141" s="237">
        <f>F141+G141+H141</f>
        <v>0</v>
      </c>
      <c r="J141" s="224"/>
      <c r="K141" s="182"/>
      <c r="L141" s="237">
        <f>I141+J141+K141</f>
        <v>0</v>
      </c>
      <c r="M141" s="153"/>
      <c r="N141" s="297"/>
      <c r="O141" s="317">
        <f>L141+M141+N141</f>
        <v>0</v>
      </c>
      <c r="P141" s="276"/>
      <c r="Q141" s="282">
        <f>O141+P141</f>
        <v>0</v>
      </c>
    </row>
    <row r="142" spans="1:17" ht="12.75">
      <c r="A142" s="14" t="s">
        <v>77</v>
      </c>
      <c r="B142" s="59"/>
      <c r="C142" s="73">
        <f>C143+C148</f>
        <v>71560</v>
      </c>
      <c r="D142" s="134">
        <f aca="true" t="shared" si="48" ref="D142:Q142">D143+D148</f>
        <v>66402.59</v>
      </c>
      <c r="E142" s="74">
        <f t="shared" si="48"/>
        <v>0</v>
      </c>
      <c r="F142" s="254">
        <f t="shared" si="48"/>
        <v>137962.59000000003</v>
      </c>
      <c r="G142" s="220">
        <f t="shared" si="48"/>
        <v>2718.18</v>
      </c>
      <c r="H142" s="181">
        <f t="shared" si="48"/>
        <v>0</v>
      </c>
      <c r="I142" s="211">
        <f t="shared" si="48"/>
        <v>140680.77000000002</v>
      </c>
      <c r="J142" s="220">
        <f>J143+J148</f>
        <v>25803.190000000002</v>
      </c>
      <c r="K142" s="181">
        <f>K143+K148</f>
        <v>0</v>
      </c>
      <c r="L142" s="211">
        <f>L143+L148</f>
        <v>166483.96000000002</v>
      </c>
      <c r="M142" s="165">
        <f t="shared" si="48"/>
        <v>3808.2899999999995</v>
      </c>
      <c r="N142" s="231">
        <f t="shared" si="48"/>
        <v>0</v>
      </c>
      <c r="O142" s="313">
        <f t="shared" si="48"/>
        <v>170292.25</v>
      </c>
      <c r="P142" s="220">
        <f t="shared" si="48"/>
        <v>0</v>
      </c>
      <c r="Q142" s="145">
        <f t="shared" si="48"/>
        <v>170292.25</v>
      </c>
    </row>
    <row r="143" spans="1:17" ht="12.75">
      <c r="A143" s="19" t="s">
        <v>49</v>
      </c>
      <c r="B143" s="59"/>
      <c r="C143" s="77">
        <f>SUM(C145:C147)</f>
        <v>43060</v>
      </c>
      <c r="D143" s="136">
        <f aca="true" t="shared" si="49" ref="D143:Q143">SUM(D145:D147)</f>
        <v>21673.05</v>
      </c>
      <c r="E143" s="78">
        <f t="shared" si="49"/>
        <v>0</v>
      </c>
      <c r="F143" s="201">
        <f t="shared" si="49"/>
        <v>64733.05</v>
      </c>
      <c r="G143" s="222">
        <f t="shared" si="49"/>
        <v>1203.1799999999998</v>
      </c>
      <c r="H143" s="183">
        <f t="shared" si="49"/>
        <v>0</v>
      </c>
      <c r="I143" s="235">
        <f t="shared" si="49"/>
        <v>65936.23</v>
      </c>
      <c r="J143" s="222">
        <f>SUM(J145:J147)</f>
        <v>7803.1900000000005</v>
      </c>
      <c r="K143" s="183">
        <f>SUM(K145:K147)</f>
        <v>0</v>
      </c>
      <c r="L143" s="235">
        <f>SUM(L145:L147)</f>
        <v>73739.42</v>
      </c>
      <c r="M143" s="151">
        <f t="shared" si="49"/>
        <v>7213.139999999999</v>
      </c>
      <c r="N143" s="295">
        <f t="shared" si="49"/>
        <v>0</v>
      </c>
      <c r="O143" s="315">
        <f t="shared" si="49"/>
        <v>80952.56</v>
      </c>
      <c r="P143" s="222">
        <f t="shared" si="49"/>
        <v>0</v>
      </c>
      <c r="Q143" s="148">
        <f t="shared" si="49"/>
        <v>80952.56</v>
      </c>
    </row>
    <row r="144" spans="1:17" ht="12.75">
      <c r="A144" s="15" t="s">
        <v>26</v>
      </c>
      <c r="B144" s="55"/>
      <c r="C144" s="72"/>
      <c r="D144" s="133"/>
      <c r="E144" s="71"/>
      <c r="F144" s="92"/>
      <c r="G144" s="203"/>
      <c r="H144" s="179"/>
      <c r="I144" s="205"/>
      <c r="J144" s="203"/>
      <c r="K144" s="179"/>
      <c r="L144" s="205"/>
      <c r="M144" s="154"/>
      <c r="N144" s="230"/>
      <c r="O144" s="311"/>
      <c r="P144" s="209"/>
      <c r="Q144" s="208"/>
    </row>
    <row r="145" spans="1:17" ht="12.75">
      <c r="A145" s="13" t="s">
        <v>51</v>
      </c>
      <c r="B145" s="55"/>
      <c r="C145" s="72">
        <v>19060</v>
      </c>
      <c r="D145" s="133">
        <f>17802.6+3197</f>
        <v>20999.6</v>
      </c>
      <c r="E145" s="71"/>
      <c r="F145" s="202">
        <f>C145+D145+E145</f>
        <v>40059.6</v>
      </c>
      <c r="G145" s="203">
        <f>703.18</f>
        <v>703.18</v>
      </c>
      <c r="H145" s="179"/>
      <c r="I145" s="204">
        <f>F145+G145+H145</f>
        <v>40762.78</v>
      </c>
      <c r="J145" s="203">
        <f>-3196.81+11000</f>
        <v>7803.1900000000005</v>
      </c>
      <c r="K145" s="179"/>
      <c r="L145" s="204">
        <f>I145+J145+K145</f>
        <v>48565.97</v>
      </c>
      <c r="M145" s="154">
        <f>5000</f>
        <v>5000</v>
      </c>
      <c r="N145" s="230"/>
      <c r="O145" s="312">
        <f>L145+M145+N145</f>
        <v>53565.97</v>
      </c>
      <c r="P145" s="209"/>
      <c r="Q145" s="208">
        <f>O145+P145</f>
        <v>53565.97</v>
      </c>
    </row>
    <row r="146" spans="1:17" ht="12.75" hidden="1">
      <c r="A146" s="13" t="s">
        <v>76</v>
      </c>
      <c r="B146" s="55"/>
      <c r="C146" s="72"/>
      <c r="D146" s="133"/>
      <c r="E146" s="71"/>
      <c r="F146" s="202">
        <f>C146+D146+E146</f>
        <v>0</v>
      </c>
      <c r="G146" s="203"/>
      <c r="H146" s="179"/>
      <c r="I146" s="204"/>
      <c r="J146" s="203"/>
      <c r="K146" s="179"/>
      <c r="L146" s="204"/>
      <c r="M146" s="154"/>
      <c r="N146" s="230"/>
      <c r="O146" s="312">
        <f>L146+M146+N146</f>
        <v>0</v>
      </c>
      <c r="P146" s="209"/>
      <c r="Q146" s="208">
        <f>O146+P146</f>
        <v>0</v>
      </c>
    </row>
    <row r="147" spans="1:17" ht="12.75">
      <c r="A147" s="13" t="s">
        <v>78</v>
      </c>
      <c r="B147" s="55"/>
      <c r="C147" s="72">
        <v>24000</v>
      </c>
      <c r="D147" s="133">
        <f>673.45</f>
        <v>673.45</v>
      </c>
      <c r="E147" s="71"/>
      <c r="F147" s="202">
        <f>C147+D147+E147</f>
        <v>24673.45</v>
      </c>
      <c r="G147" s="203">
        <f>500</f>
        <v>500</v>
      </c>
      <c r="H147" s="179"/>
      <c r="I147" s="204">
        <f>F147+G147+H147</f>
        <v>25173.45</v>
      </c>
      <c r="J147" s="203"/>
      <c r="K147" s="179"/>
      <c r="L147" s="204">
        <f>I147+J147+K147</f>
        <v>25173.45</v>
      </c>
      <c r="M147" s="154">
        <f>2213.14</f>
        <v>2213.14</v>
      </c>
      <c r="N147" s="230"/>
      <c r="O147" s="312">
        <f>L147+M147+N147</f>
        <v>27386.59</v>
      </c>
      <c r="P147" s="209"/>
      <c r="Q147" s="208">
        <f>O147+P147</f>
        <v>27386.59</v>
      </c>
    </row>
    <row r="148" spans="1:17" ht="12.75">
      <c r="A148" s="20" t="s">
        <v>53</v>
      </c>
      <c r="B148" s="59"/>
      <c r="C148" s="80">
        <f>SUM(C150:C153)</f>
        <v>28500</v>
      </c>
      <c r="D148" s="137">
        <f aca="true" t="shared" si="50" ref="D148:Q148">SUM(D150:D153)</f>
        <v>44729.54</v>
      </c>
      <c r="E148" s="81">
        <f t="shared" si="50"/>
        <v>0</v>
      </c>
      <c r="F148" s="256">
        <f t="shared" si="50"/>
        <v>73229.54000000001</v>
      </c>
      <c r="G148" s="223">
        <f t="shared" si="50"/>
        <v>1515</v>
      </c>
      <c r="H148" s="190">
        <f t="shared" si="50"/>
        <v>0</v>
      </c>
      <c r="I148" s="236">
        <f t="shared" si="50"/>
        <v>74744.54000000001</v>
      </c>
      <c r="J148" s="223">
        <f t="shared" si="50"/>
        <v>18000</v>
      </c>
      <c r="K148" s="190">
        <f t="shared" si="50"/>
        <v>0</v>
      </c>
      <c r="L148" s="236">
        <f t="shared" si="50"/>
        <v>92744.54000000001</v>
      </c>
      <c r="M148" s="166">
        <f t="shared" si="50"/>
        <v>-3404.85</v>
      </c>
      <c r="N148" s="296">
        <f t="shared" si="50"/>
        <v>0</v>
      </c>
      <c r="O148" s="316">
        <f t="shared" si="50"/>
        <v>89339.69000000002</v>
      </c>
      <c r="P148" s="223">
        <f t="shared" si="50"/>
        <v>0</v>
      </c>
      <c r="Q148" s="149">
        <f t="shared" si="50"/>
        <v>89339.69000000002</v>
      </c>
    </row>
    <row r="149" spans="1:17" ht="12.75">
      <c r="A149" s="11" t="s">
        <v>26</v>
      </c>
      <c r="B149" s="55"/>
      <c r="C149" s="73"/>
      <c r="D149" s="134"/>
      <c r="E149" s="74"/>
      <c r="F149" s="254"/>
      <c r="G149" s="220"/>
      <c r="H149" s="181"/>
      <c r="I149" s="211"/>
      <c r="J149" s="220"/>
      <c r="K149" s="181"/>
      <c r="L149" s="211"/>
      <c r="M149" s="165"/>
      <c r="N149" s="231"/>
      <c r="O149" s="313"/>
      <c r="P149" s="209"/>
      <c r="Q149" s="208"/>
    </row>
    <row r="150" spans="1:17" ht="12.75">
      <c r="A150" s="13" t="s">
        <v>149</v>
      </c>
      <c r="B150" s="55">
        <v>98861</v>
      </c>
      <c r="C150" s="72"/>
      <c r="D150" s="133"/>
      <c r="E150" s="71"/>
      <c r="F150" s="202">
        <f>C150+D150+E150</f>
        <v>0</v>
      </c>
      <c r="G150" s="220"/>
      <c r="H150" s="181"/>
      <c r="I150" s="204"/>
      <c r="J150" s="220"/>
      <c r="K150" s="181"/>
      <c r="L150" s="204">
        <f>I150+J150+K150</f>
        <v>0</v>
      </c>
      <c r="M150" s="154">
        <f>1252.6</f>
        <v>1252.6</v>
      </c>
      <c r="N150" s="231"/>
      <c r="O150" s="312">
        <f>L150+M150+N150</f>
        <v>1252.6</v>
      </c>
      <c r="P150" s="209"/>
      <c r="Q150" s="208">
        <f>O150+P150</f>
        <v>1252.6</v>
      </c>
    </row>
    <row r="151" spans="1:17" ht="12.75" hidden="1">
      <c r="A151" s="13" t="s">
        <v>195</v>
      </c>
      <c r="B151" s="55">
        <v>7938</v>
      </c>
      <c r="C151" s="72"/>
      <c r="D151" s="133"/>
      <c r="E151" s="71"/>
      <c r="F151" s="202">
        <f>C151+D151+E151</f>
        <v>0</v>
      </c>
      <c r="G151" s="220"/>
      <c r="H151" s="181"/>
      <c r="I151" s="204"/>
      <c r="J151" s="220"/>
      <c r="K151" s="181"/>
      <c r="L151" s="204">
        <f>I151+J151+K151</f>
        <v>0</v>
      </c>
      <c r="M151" s="165"/>
      <c r="N151" s="231"/>
      <c r="O151" s="312">
        <f>L151+M151+N151</f>
        <v>0</v>
      </c>
      <c r="P151" s="209"/>
      <c r="Q151" s="208"/>
    </row>
    <row r="152" spans="1:17" ht="12.75" hidden="1">
      <c r="A152" s="13" t="s">
        <v>221</v>
      </c>
      <c r="B152" s="55"/>
      <c r="C152" s="72"/>
      <c r="D152" s="133"/>
      <c r="E152" s="71"/>
      <c r="F152" s="202">
        <f>C152+D152+E152</f>
        <v>0</v>
      </c>
      <c r="G152" s="220"/>
      <c r="H152" s="181"/>
      <c r="I152" s="204"/>
      <c r="J152" s="220"/>
      <c r="K152" s="181"/>
      <c r="L152" s="204">
        <f>I152+J152+K152</f>
        <v>0</v>
      </c>
      <c r="M152" s="165"/>
      <c r="N152" s="231"/>
      <c r="O152" s="312">
        <f>L152+M152+N152</f>
        <v>0</v>
      </c>
      <c r="P152" s="209"/>
      <c r="Q152" s="208"/>
    </row>
    <row r="153" spans="1:17" ht="12.75">
      <c r="A153" s="23" t="s">
        <v>54</v>
      </c>
      <c r="B153" s="58"/>
      <c r="C153" s="115">
        <v>28500</v>
      </c>
      <c r="D153" s="138">
        <f>26540.54+3850+14339</f>
        <v>44729.54</v>
      </c>
      <c r="E153" s="79"/>
      <c r="F153" s="257">
        <f>C153+D153+E153</f>
        <v>73229.54000000001</v>
      </c>
      <c r="G153" s="224">
        <f>1515</f>
        <v>1515</v>
      </c>
      <c r="H153" s="182"/>
      <c r="I153" s="237">
        <f>F153+G153+H153</f>
        <v>74744.54000000001</v>
      </c>
      <c r="J153" s="224">
        <f>8000+6500+3500</f>
        <v>18000</v>
      </c>
      <c r="K153" s="182"/>
      <c r="L153" s="237">
        <f>I153+J153+K153</f>
        <v>92744.54000000001</v>
      </c>
      <c r="M153" s="153">
        <f>342.55-5000</f>
        <v>-4657.45</v>
      </c>
      <c r="N153" s="297"/>
      <c r="O153" s="317">
        <f>L153+M153+N153</f>
        <v>88087.09000000001</v>
      </c>
      <c r="P153" s="276"/>
      <c r="Q153" s="282">
        <f>O153+P153</f>
        <v>88087.09000000001</v>
      </c>
    </row>
    <row r="154" spans="1:17" ht="12.75">
      <c r="A154" s="10" t="s">
        <v>240</v>
      </c>
      <c r="B154" s="59"/>
      <c r="C154" s="69">
        <f aca="true" t="shared" si="51" ref="C154:Q154">C155+C175</f>
        <v>4312.6900000000005</v>
      </c>
      <c r="D154" s="132">
        <f t="shared" si="51"/>
        <v>50410.3</v>
      </c>
      <c r="E154" s="70">
        <f t="shared" si="51"/>
        <v>0</v>
      </c>
      <c r="F154" s="92">
        <f t="shared" si="51"/>
        <v>54722.990000000005</v>
      </c>
      <c r="G154" s="219">
        <f t="shared" si="51"/>
        <v>152303.18000000002</v>
      </c>
      <c r="H154" s="178">
        <f t="shared" si="51"/>
        <v>0</v>
      </c>
      <c r="I154" s="205">
        <f t="shared" si="51"/>
        <v>207026.16999999998</v>
      </c>
      <c r="J154" s="219">
        <f>J155+J175</f>
        <v>1308.23</v>
      </c>
      <c r="K154" s="178">
        <f>K155+K175</f>
        <v>0</v>
      </c>
      <c r="L154" s="205">
        <f>L155+L175</f>
        <v>208334.4</v>
      </c>
      <c r="M154" s="150">
        <f t="shared" si="51"/>
        <v>3304.4300000000003</v>
      </c>
      <c r="N154" s="229">
        <f t="shared" si="51"/>
        <v>0</v>
      </c>
      <c r="O154" s="311">
        <f t="shared" si="51"/>
        <v>211638.83</v>
      </c>
      <c r="P154" s="219">
        <f t="shared" si="51"/>
        <v>-85304</v>
      </c>
      <c r="Q154" s="143">
        <f t="shared" si="51"/>
        <v>126334.83</v>
      </c>
    </row>
    <row r="155" spans="1:17" ht="12.75">
      <c r="A155" s="19" t="s">
        <v>49</v>
      </c>
      <c r="B155" s="59"/>
      <c r="C155" s="77">
        <f aca="true" t="shared" si="52" ref="C155:Q155">SUM(C157:C174)</f>
        <v>4312.6900000000005</v>
      </c>
      <c r="D155" s="136">
        <f t="shared" si="52"/>
        <v>16445.55</v>
      </c>
      <c r="E155" s="78">
        <f t="shared" si="52"/>
        <v>0</v>
      </c>
      <c r="F155" s="201">
        <f t="shared" si="52"/>
        <v>20758.24</v>
      </c>
      <c r="G155" s="222">
        <f t="shared" si="52"/>
        <v>10718.76</v>
      </c>
      <c r="H155" s="183">
        <f t="shared" si="52"/>
        <v>0</v>
      </c>
      <c r="I155" s="235">
        <f t="shared" si="52"/>
        <v>31477.000000000004</v>
      </c>
      <c r="J155" s="222">
        <f>SUM(J157:J174)</f>
        <v>1308.23</v>
      </c>
      <c r="K155" s="183">
        <f>SUM(K157:K174)</f>
        <v>0</v>
      </c>
      <c r="L155" s="235">
        <f>SUM(L157:L174)</f>
        <v>32785.23</v>
      </c>
      <c r="M155" s="151">
        <f t="shared" si="52"/>
        <v>3101.1800000000003</v>
      </c>
      <c r="N155" s="295">
        <f t="shared" si="52"/>
        <v>0</v>
      </c>
      <c r="O155" s="315">
        <f t="shared" si="52"/>
        <v>35886.41</v>
      </c>
      <c r="P155" s="222">
        <f t="shared" si="52"/>
        <v>-5951.44</v>
      </c>
      <c r="Q155" s="148">
        <f t="shared" si="52"/>
        <v>29934.97</v>
      </c>
    </row>
    <row r="156" spans="1:17" ht="12.75">
      <c r="A156" s="11" t="s">
        <v>26</v>
      </c>
      <c r="B156" s="55"/>
      <c r="C156" s="73"/>
      <c r="D156" s="134"/>
      <c r="E156" s="74"/>
      <c r="F156" s="254"/>
      <c r="G156" s="220"/>
      <c r="H156" s="181"/>
      <c r="I156" s="211"/>
      <c r="J156" s="220"/>
      <c r="K156" s="181"/>
      <c r="L156" s="211"/>
      <c r="M156" s="165"/>
      <c r="N156" s="231"/>
      <c r="O156" s="313"/>
      <c r="P156" s="209"/>
      <c r="Q156" s="208"/>
    </row>
    <row r="157" spans="1:17" ht="12.75">
      <c r="A157" s="13" t="s">
        <v>51</v>
      </c>
      <c r="B157" s="55"/>
      <c r="C157" s="72">
        <v>3162.69</v>
      </c>
      <c r="D157" s="139">
        <f>1000</f>
        <v>1000</v>
      </c>
      <c r="E157" s="71"/>
      <c r="F157" s="202">
        <f aca="true" t="shared" si="53" ref="F157:F174">C157+D157+E157</f>
        <v>4162.6900000000005</v>
      </c>
      <c r="G157" s="203">
        <f>-300</f>
        <v>-300</v>
      </c>
      <c r="H157" s="179"/>
      <c r="I157" s="204">
        <f>F157+G157+H157</f>
        <v>3862.6900000000005</v>
      </c>
      <c r="J157" s="210"/>
      <c r="K157" s="179"/>
      <c r="L157" s="204">
        <f>I157+J157+K157</f>
        <v>3862.6900000000005</v>
      </c>
      <c r="M157" s="168"/>
      <c r="N157" s="230"/>
      <c r="O157" s="312">
        <f>L157+M157+N157</f>
        <v>3862.6900000000005</v>
      </c>
      <c r="P157" s="209"/>
      <c r="Q157" s="208">
        <f>O157+P157</f>
        <v>3862.6900000000005</v>
      </c>
    </row>
    <row r="158" spans="1:17" ht="12.75">
      <c r="A158" s="56" t="s">
        <v>299</v>
      </c>
      <c r="B158" s="55">
        <v>2046</v>
      </c>
      <c r="C158" s="72"/>
      <c r="D158" s="133">
        <f>3504.96</f>
        <v>3504.96</v>
      </c>
      <c r="E158" s="71"/>
      <c r="F158" s="202">
        <f t="shared" si="53"/>
        <v>3504.96</v>
      </c>
      <c r="G158" s="203"/>
      <c r="H158" s="179"/>
      <c r="I158" s="204">
        <f aca="true" t="shared" si="54" ref="I158:I174">F158+G158+H158</f>
        <v>3504.96</v>
      </c>
      <c r="J158" s="203"/>
      <c r="K158" s="179"/>
      <c r="L158" s="204">
        <f aca="true" t="shared" si="55" ref="L158:L174">I158+J158+K158</f>
        <v>3504.96</v>
      </c>
      <c r="M158" s="154"/>
      <c r="N158" s="230"/>
      <c r="O158" s="312">
        <f aca="true" t="shared" si="56" ref="O158:O174">L158+M158+N158</f>
        <v>3504.96</v>
      </c>
      <c r="P158" s="209"/>
      <c r="Q158" s="208">
        <f aca="true" t="shared" si="57" ref="Q158:Q174">O158+P158</f>
        <v>3504.96</v>
      </c>
    </row>
    <row r="159" spans="1:17" ht="12.75">
      <c r="A159" s="56" t="s">
        <v>359</v>
      </c>
      <c r="B159" s="55">
        <v>2046</v>
      </c>
      <c r="C159" s="72"/>
      <c r="D159" s="133"/>
      <c r="E159" s="71"/>
      <c r="F159" s="202"/>
      <c r="G159" s="203"/>
      <c r="H159" s="179"/>
      <c r="I159" s="204"/>
      <c r="J159" s="203"/>
      <c r="K159" s="179"/>
      <c r="L159" s="204">
        <f t="shared" si="55"/>
        <v>0</v>
      </c>
      <c r="M159" s="154">
        <f>1879.18</f>
        <v>1879.18</v>
      </c>
      <c r="N159" s="230"/>
      <c r="O159" s="312">
        <f t="shared" si="56"/>
        <v>1879.18</v>
      </c>
      <c r="P159" s="209"/>
      <c r="Q159" s="208">
        <f t="shared" si="57"/>
        <v>1879.18</v>
      </c>
    </row>
    <row r="160" spans="1:17" ht="12.75">
      <c r="A160" s="56" t="s">
        <v>300</v>
      </c>
      <c r="B160" s="55">
        <v>2016</v>
      </c>
      <c r="C160" s="72"/>
      <c r="D160" s="133">
        <f>1288.56</f>
        <v>1288.56</v>
      </c>
      <c r="E160" s="71"/>
      <c r="F160" s="202">
        <f t="shared" si="53"/>
        <v>1288.56</v>
      </c>
      <c r="G160" s="203"/>
      <c r="H160" s="179"/>
      <c r="I160" s="204">
        <f t="shared" si="54"/>
        <v>1288.56</v>
      </c>
      <c r="J160" s="203"/>
      <c r="K160" s="179"/>
      <c r="L160" s="204">
        <f t="shared" si="55"/>
        <v>1288.56</v>
      </c>
      <c r="M160" s="154"/>
      <c r="N160" s="230"/>
      <c r="O160" s="312">
        <f t="shared" si="56"/>
        <v>1288.56</v>
      </c>
      <c r="P160" s="209"/>
      <c r="Q160" s="208">
        <f t="shared" si="57"/>
        <v>1288.56</v>
      </c>
    </row>
    <row r="161" spans="1:17" ht="12.75" hidden="1">
      <c r="A161" s="56" t="s">
        <v>282</v>
      </c>
      <c r="B161" s="55"/>
      <c r="C161" s="72"/>
      <c r="D161" s="133"/>
      <c r="E161" s="71"/>
      <c r="F161" s="202">
        <f t="shared" si="53"/>
        <v>0</v>
      </c>
      <c r="G161" s="203"/>
      <c r="H161" s="179"/>
      <c r="I161" s="204">
        <f t="shared" si="54"/>
        <v>0</v>
      </c>
      <c r="J161" s="203"/>
      <c r="K161" s="179"/>
      <c r="L161" s="204">
        <f t="shared" si="55"/>
        <v>0</v>
      </c>
      <c r="M161" s="154"/>
      <c r="N161" s="230"/>
      <c r="O161" s="312">
        <f t="shared" si="56"/>
        <v>0</v>
      </c>
      <c r="P161" s="209"/>
      <c r="Q161" s="208">
        <f t="shared" si="57"/>
        <v>0</v>
      </c>
    </row>
    <row r="162" spans="1:17" ht="12.75" hidden="1">
      <c r="A162" s="22" t="s">
        <v>301</v>
      </c>
      <c r="B162" s="55">
        <v>2064</v>
      </c>
      <c r="C162" s="72"/>
      <c r="D162" s="133"/>
      <c r="E162" s="71"/>
      <c r="F162" s="202">
        <f t="shared" si="53"/>
        <v>0</v>
      </c>
      <c r="G162" s="203"/>
      <c r="H162" s="179"/>
      <c r="I162" s="204">
        <f t="shared" si="54"/>
        <v>0</v>
      </c>
      <c r="J162" s="203"/>
      <c r="K162" s="179"/>
      <c r="L162" s="204">
        <f t="shared" si="55"/>
        <v>0</v>
      </c>
      <c r="M162" s="154"/>
      <c r="N162" s="230"/>
      <c r="O162" s="312">
        <f t="shared" si="56"/>
        <v>0</v>
      </c>
      <c r="P162" s="209"/>
      <c r="Q162" s="208">
        <f t="shared" si="57"/>
        <v>0</v>
      </c>
    </row>
    <row r="163" spans="1:17" ht="12.75">
      <c r="A163" s="22" t="s">
        <v>302</v>
      </c>
      <c r="B163" s="55">
        <v>2079</v>
      </c>
      <c r="C163" s="72"/>
      <c r="D163" s="133">
        <f>17.92</f>
        <v>17.92</v>
      </c>
      <c r="E163" s="71"/>
      <c r="F163" s="202">
        <f t="shared" si="53"/>
        <v>17.92</v>
      </c>
      <c r="G163" s="203">
        <f>54.78</f>
        <v>54.78</v>
      </c>
      <c r="H163" s="179"/>
      <c r="I163" s="204">
        <f t="shared" si="54"/>
        <v>72.7</v>
      </c>
      <c r="J163" s="203">
        <f>31.52</f>
        <v>31.52</v>
      </c>
      <c r="K163" s="179"/>
      <c r="L163" s="204">
        <f t="shared" si="55"/>
        <v>104.22</v>
      </c>
      <c r="M163" s="154">
        <f>36.43</f>
        <v>36.43</v>
      </c>
      <c r="N163" s="230"/>
      <c r="O163" s="312">
        <f t="shared" si="56"/>
        <v>140.65</v>
      </c>
      <c r="P163" s="209"/>
      <c r="Q163" s="208">
        <f t="shared" si="57"/>
        <v>140.65</v>
      </c>
    </row>
    <row r="164" spans="1:17" ht="12.75">
      <c r="A164" s="22" t="s">
        <v>368</v>
      </c>
      <c r="B164" s="55"/>
      <c r="C164" s="72"/>
      <c r="D164" s="133"/>
      <c r="E164" s="71"/>
      <c r="F164" s="202">
        <f t="shared" si="53"/>
        <v>0</v>
      </c>
      <c r="G164" s="203"/>
      <c r="H164" s="179"/>
      <c r="I164" s="204">
        <f t="shared" si="54"/>
        <v>0</v>
      </c>
      <c r="J164" s="203"/>
      <c r="K164" s="179"/>
      <c r="L164" s="204">
        <f t="shared" si="55"/>
        <v>0</v>
      </c>
      <c r="M164" s="154">
        <f>59.58</f>
        <v>59.58</v>
      </c>
      <c r="N164" s="230"/>
      <c r="O164" s="312">
        <f t="shared" si="56"/>
        <v>59.58</v>
      </c>
      <c r="P164" s="209"/>
      <c r="Q164" s="208">
        <f t="shared" si="57"/>
        <v>59.58</v>
      </c>
    </row>
    <row r="165" spans="1:17" ht="12.75">
      <c r="A165" s="56" t="s">
        <v>342</v>
      </c>
      <c r="B165" s="55"/>
      <c r="C165" s="72"/>
      <c r="D165" s="133"/>
      <c r="E165" s="71"/>
      <c r="F165" s="202">
        <f t="shared" si="53"/>
        <v>0</v>
      </c>
      <c r="G165" s="203">
        <f>10140</f>
        <v>10140</v>
      </c>
      <c r="H165" s="179"/>
      <c r="I165" s="204">
        <f t="shared" si="54"/>
        <v>10140</v>
      </c>
      <c r="J165" s="203"/>
      <c r="K165" s="179"/>
      <c r="L165" s="204">
        <f t="shared" si="55"/>
        <v>10140</v>
      </c>
      <c r="M165" s="154"/>
      <c r="N165" s="230"/>
      <c r="O165" s="312">
        <f t="shared" si="56"/>
        <v>10140</v>
      </c>
      <c r="P165" s="209">
        <f>-5951.44</f>
        <v>-5951.44</v>
      </c>
      <c r="Q165" s="208">
        <f t="shared" si="57"/>
        <v>4188.56</v>
      </c>
    </row>
    <row r="166" spans="1:17" ht="12.75" hidden="1">
      <c r="A166" s="56" t="s">
        <v>265</v>
      </c>
      <c r="B166" s="55">
        <v>2067</v>
      </c>
      <c r="C166" s="72"/>
      <c r="D166" s="133"/>
      <c r="E166" s="71"/>
      <c r="F166" s="202">
        <f t="shared" si="53"/>
        <v>0</v>
      </c>
      <c r="G166" s="203"/>
      <c r="H166" s="179"/>
      <c r="I166" s="204">
        <f t="shared" si="54"/>
        <v>0</v>
      </c>
      <c r="J166" s="203"/>
      <c r="K166" s="179"/>
      <c r="L166" s="204">
        <f t="shared" si="55"/>
        <v>0</v>
      </c>
      <c r="M166" s="154"/>
      <c r="N166" s="230"/>
      <c r="O166" s="312">
        <f t="shared" si="56"/>
        <v>0</v>
      </c>
      <c r="P166" s="209"/>
      <c r="Q166" s="208">
        <f t="shared" si="57"/>
        <v>0</v>
      </c>
    </row>
    <row r="167" spans="1:17" ht="12.75" hidden="1">
      <c r="A167" s="56" t="s">
        <v>305</v>
      </c>
      <c r="B167" s="55">
        <v>2074</v>
      </c>
      <c r="C167" s="72"/>
      <c r="D167" s="133"/>
      <c r="E167" s="71"/>
      <c r="F167" s="202">
        <f t="shared" si="53"/>
        <v>0</v>
      </c>
      <c r="G167" s="203"/>
      <c r="H167" s="179"/>
      <c r="I167" s="204">
        <f t="shared" si="54"/>
        <v>0</v>
      </c>
      <c r="J167" s="203"/>
      <c r="K167" s="179"/>
      <c r="L167" s="204">
        <f t="shared" si="55"/>
        <v>0</v>
      </c>
      <c r="M167" s="154"/>
      <c r="N167" s="230"/>
      <c r="O167" s="312">
        <f t="shared" si="56"/>
        <v>0</v>
      </c>
      <c r="P167" s="209"/>
      <c r="Q167" s="208">
        <f t="shared" si="57"/>
        <v>0</v>
      </c>
    </row>
    <row r="168" spans="1:17" ht="12.75" hidden="1">
      <c r="A168" s="56" t="s">
        <v>270</v>
      </c>
      <c r="B168" s="55">
        <v>2074</v>
      </c>
      <c r="C168" s="72"/>
      <c r="D168" s="133"/>
      <c r="E168" s="71"/>
      <c r="F168" s="202">
        <f t="shared" si="53"/>
        <v>0</v>
      </c>
      <c r="G168" s="203"/>
      <c r="H168" s="179"/>
      <c r="I168" s="204">
        <f t="shared" si="54"/>
        <v>0</v>
      </c>
      <c r="J168" s="203"/>
      <c r="K168" s="179"/>
      <c r="L168" s="204">
        <f t="shared" si="55"/>
        <v>0</v>
      </c>
      <c r="M168" s="154"/>
      <c r="N168" s="230"/>
      <c r="O168" s="312">
        <f t="shared" si="56"/>
        <v>0</v>
      </c>
      <c r="P168" s="209"/>
      <c r="Q168" s="208">
        <f t="shared" si="57"/>
        <v>0</v>
      </c>
    </row>
    <row r="169" spans="1:17" ht="12.75">
      <c r="A169" s="22" t="s">
        <v>304</v>
      </c>
      <c r="B169" s="55">
        <v>2071</v>
      </c>
      <c r="C169" s="72"/>
      <c r="D169" s="133">
        <f>4808.32</f>
        <v>4808.32</v>
      </c>
      <c r="E169" s="71"/>
      <c r="F169" s="202">
        <f t="shared" si="53"/>
        <v>4808.32</v>
      </c>
      <c r="G169" s="203"/>
      <c r="H169" s="179"/>
      <c r="I169" s="204">
        <f t="shared" si="54"/>
        <v>4808.32</v>
      </c>
      <c r="J169" s="203"/>
      <c r="K169" s="179"/>
      <c r="L169" s="204">
        <f t="shared" si="55"/>
        <v>4808.32</v>
      </c>
      <c r="M169" s="154"/>
      <c r="N169" s="230"/>
      <c r="O169" s="312">
        <f t="shared" si="56"/>
        <v>4808.32</v>
      </c>
      <c r="P169" s="209"/>
      <c r="Q169" s="208">
        <f t="shared" si="57"/>
        <v>4808.32</v>
      </c>
    </row>
    <row r="170" spans="1:17" ht="12.75" hidden="1">
      <c r="A170" s="56" t="s">
        <v>306</v>
      </c>
      <c r="B170" s="55"/>
      <c r="C170" s="72"/>
      <c r="D170" s="133"/>
      <c r="E170" s="71"/>
      <c r="F170" s="202">
        <f t="shared" si="53"/>
        <v>0</v>
      </c>
      <c r="G170" s="203"/>
      <c r="H170" s="179"/>
      <c r="I170" s="204">
        <f t="shared" si="54"/>
        <v>0</v>
      </c>
      <c r="J170" s="203"/>
      <c r="K170" s="179"/>
      <c r="L170" s="204">
        <f t="shared" si="55"/>
        <v>0</v>
      </c>
      <c r="M170" s="154"/>
      <c r="N170" s="230"/>
      <c r="O170" s="312">
        <f t="shared" si="56"/>
        <v>0</v>
      </c>
      <c r="P170" s="209"/>
      <c r="Q170" s="208">
        <f t="shared" si="57"/>
        <v>0</v>
      </c>
    </row>
    <row r="171" spans="1:17" ht="12.75">
      <c r="A171" s="56" t="s">
        <v>303</v>
      </c>
      <c r="B171" s="55"/>
      <c r="C171" s="72"/>
      <c r="D171" s="133">
        <f>1600</f>
        <v>1600</v>
      </c>
      <c r="E171" s="71"/>
      <c r="F171" s="202">
        <f t="shared" si="53"/>
        <v>1600</v>
      </c>
      <c r="G171" s="203"/>
      <c r="H171" s="179"/>
      <c r="I171" s="204">
        <f t="shared" si="54"/>
        <v>1600</v>
      </c>
      <c r="J171" s="203"/>
      <c r="K171" s="179"/>
      <c r="L171" s="204">
        <f t="shared" si="55"/>
        <v>1600</v>
      </c>
      <c r="M171" s="154">
        <f>1820.79</f>
        <v>1820.79</v>
      </c>
      <c r="N171" s="230"/>
      <c r="O171" s="312">
        <f t="shared" si="56"/>
        <v>3420.79</v>
      </c>
      <c r="P171" s="209"/>
      <c r="Q171" s="208">
        <f t="shared" si="57"/>
        <v>3420.79</v>
      </c>
    </row>
    <row r="172" spans="1:17" ht="12.75" hidden="1">
      <c r="A172" s="56" t="s">
        <v>307</v>
      </c>
      <c r="B172" s="55">
        <v>2058</v>
      </c>
      <c r="C172" s="72"/>
      <c r="D172" s="133"/>
      <c r="E172" s="71"/>
      <c r="F172" s="202">
        <f t="shared" si="53"/>
        <v>0</v>
      </c>
      <c r="G172" s="203"/>
      <c r="H172" s="179"/>
      <c r="I172" s="204">
        <f t="shared" si="54"/>
        <v>0</v>
      </c>
      <c r="J172" s="203"/>
      <c r="K172" s="179"/>
      <c r="L172" s="204">
        <f t="shared" si="55"/>
        <v>0</v>
      </c>
      <c r="M172" s="154"/>
      <c r="N172" s="230"/>
      <c r="O172" s="312">
        <f t="shared" si="56"/>
        <v>0</v>
      </c>
      <c r="P172" s="209"/>
      <c r="Q172" s="208">
        <f t="shared" si="57"/>
        <v>0</v>
      </c>
    </row>
    <row r="173" spans="1:17" ht="12.75" hidden="1">
      <c r="A173" s="56" t="s">
        <v>331</v>
      </c>
      <c r="B173" s="55"/>
      <c r="C173" s="72"/>
      <c r="D173" s="133"/>
      <c r="E173" s="71"/>
      <c r="F173" s="202">
        <f t="shared" si="53"/>
        <v>0</v>
      </c>
      <c r="G173" s="203"/>
      <c r="H173" s="179"/>
      <c r="I173" s="204">
        <f t="shared" si="54"/>
        <v>0</v>
      </c>
      <c r="J173" s="203"/>
      <c r="K173" s="179"/>
      <c r="L173" s="204">
        <f t="shared" si="55"/>
        <v>0</v>
      </c>
      <c r="M173" s="154"/>
      <c r="N173" s="230"/>
      <c r="O173" s="312">
        <f t="shared" si="56"/>
        <v>0</v>
      </c>
      <c r="P173" s="209"/>
      <c r="Q173" s="208">
        <f t="shared" si="57"/>
        <v>0</v>
      </c>
    </row>
    <row r="174" spans="1:17" ht="12.75">
      <c r="A174" s="13" t="s">
        <v>76</v>
      </c>
      <c r="B174" s="55"/>
      <c r="C174" s="72">
        <v>1150</v>
      </c>
      <c r="D174" s="133">
        <f>900.16+500+1051.4+94.65+1404.09+275.49</f>
        <v>4225.79</v>
      </c>
      <c r="E174" s="71"/>
      <c r="F174" s="202">
        <f t="shared" si="53"/>
        <v>5375.79</v>
      </c>
      <c r="G174" s="203">
        <f>135.42+37+300+16.99+288.83+45.74</f>
        <v>823.98</v>
      </c>
      <c r="H174" s="179"/>
      <c r="I174" s="204">
        <f t="shared" si="54"/>
        <v>6199.77</v>
      </c>
      <c r="J174" s="203">
        <f>778.62+2.24+180.48+17.52+297.85</f>
        <v>1276.71</v>
      </c>
      <c r="K174" s="179"/>
      <c r="L174" s="204">
        <f t="shared" si="55"/>
        <v>7476.4800000000005</v>
      </c>
      <c r="M174" s="154">
        <f>-800+105.2</f>
        <v>-694.8</v>
      </c>
      <c r="N174" s="230"/>
      <c r="O174" s="312">
        <f t="shared" si="56"/>
        <v>6781.68</v>
      </c>
      <c r="P174" s="209"/>
      <c r="Q174" s="208">
        <f t="shared" si="57"/>
        <v>6781.68</v>
      </c>
    </row>
    <row r="175" spans="1:17" ht="12.75">
      <c r="A175" s="20" t="s">
        <v>53</v>
      </c>
      <c r="B175" s="59"/>
      <c r="C175" s="80">
        <f aca="true" t="shared" si="58" ref="C175:Q175">SUM(C177:C184)</f>
        <v>0</v>
      </c>
      <c r="D175" s="137">
        <f t="shared" si="58"/>
        <v>33964.75</v>
      </c>
      <c r="E175" s="81">
        <f t="shared" si="58"/>
        <v>0</v>
      </c>
      <c r="F175" s="256">
        <f t="shared" si="58"/>
        <v>33964.75</v>
      </c>
      <c r="G175" s="223">
        <f t="shared" si="58"/>
        <v>141584.42</v>
      </c>
      <c r="H175" s="190">
        <f t="shared" si="58"/>
        <v>0</v>
      </c>
      <c r="I175" s="236">
        <f t="shared" si="58"/>
        <v>175549.16999999998</v>
      </c>
      <c r="J175" s="223">
        <f t="shared" si="58"/>
        <v>0</v>
      </c>
      <c r="K175" s="190">
        <f t="shared" si="58"/>
        <v>0</v>
      </c>
      <c r="L175" s="236">
        <f t="shared" si="58"/>
        <v>175549.16999999998</v>
      </c>
      <c r="M175" s="166">
        <f t="shared" si="58"/>
        <v>203.25</v>
      </c>
      <c r="N175" s="296">
        <f t="shared" si="58"/>
        <v>0</v>
      </c>
      <c r="O175" s="316">
        <f t="shared" si="58"/>
        <v>175752.41999999998</v>
      </c>
      <c r="P175" s="223">
        <f t="shared" si="58"/>
        <v>-79352.56</v>
      </c>
      <c r="Q175" s="149">
        <f t="shared" si="58"/>
        <v>96399.86</v>
      </c>
    </row>
    <row r="176" spans="1:17" ht="12.75">
      <c r="A176" s="22" t="s">
        <v>26</v>
      </c>
      <c r="B176" s="55"/>
      <c r="C176" s="72"/>
      <c r="D176" s="133"/>
      <c r="E176" s="71"/>
      <c r="F176" s="202"/>
      <c r="G176" s="203"/>
      <c r="H176" s="179"/>
      <c r="I176" s="204"/>
      <c r="J176" s="203"/>
      <c r="K176" s="179"/>
      <c r="L176" s="204"/>
      <c r="M176" s="154"/>
      <c r="N176" s="230"/>
      <c r="O176" s="312"/>
      <c r="P176" s="209"/>
      <c r="Q176" s="208"/>
    </row>
    <row r="177" spans="1:17" ht="12.75">
      <c r="A177" s="22" t="s">
        <v>302</v>
      </c>
      <c r="B177" s="55">
        <v>2079</v>
      </c>
      <c r="C177" s="72"/>
      <c r="D177" s="133">
        <f>10524.88</f>
        <v>10524.88</v>
      </c>
      <c r="E177" s="71"/>
      <c r="F177" s="202">
        <f aca="true" t="shared" si="59" ref="F177:F184">C177+D177+E177</f>
        <v>10524.88</v>
      </c>
      <c r="G177" s="203"/>
      <c r="H177" s="179"/>
      <c r="I177" s="204">
        <f aca="true" t="shared" si="60" ref="I177:I184">F177+G177+H177</f>
        <v>10524.88</v>
      </c>
      <c r="J177" s="203"/>
      <c r="K177" s="179"/>
      <c r="L177" s="204">
        <f aca="true" t="shared" si="61" ref="L177:L184">I177+J177+K177</f>
        <v>10524.88</v>
      </c>
      <c r="M177" s="154"/>
      <c r="N177" s="230"/>
      <c r="O177" s="312">
        <f aca="true" t="shared" si="62" ref="O177:O184">L177+M177+N177</f>
        <v>10524.88</v>
      </c>
      <c r="P177" s="209"/>
      <c r="Q177" s="208">
        <f>O177+P177</f>
        <v>10524.88</v>
      </c>
    </row>
    <row r="178" spans="1:17" ht="12.75" hidden="1">
      <c r="A178" s="56" t="s">
        <v>269</v>
      </c>
      <c r="B178" s="55">
        <v>2079</v>
      </c>
      <c r="C178" s="72"/>
      <c r="D178" s="133"/>
      <c r="E178" s="71"/>
      <c r="F178" s="202">
        <f t="shared" si="59"/>
        <v>0</v>
      </c>
      <c r="G178" s="203"/>
      <c r="H178" s="179"/>
      <c r="I178" s="204">
        <f t="shared" si="60"/>
        <v>0</v>
      </c>
      <c r="J178" s="203"/>
      <c r="K178" s="179"/>
      <c r="L178" s="204">
        <f t="shared" si="61"/>
        <v>0</v>
      </c>
      <c r="M178" s="154"/>
      <c r="N178" s="230"/>
      <c r="O178" s="312">
        <f t="shared" si="62"/>
        <v>0</v>
      </c>
      <c r="P178" s="209"/>
      <c r="Q178" s="208">
        <f>O178+P178</f>
        <v>0</v>
      </c>
    </row>
    <row r="179" spans="1:17" ht="12.75">
      <c r="A179" s="56" t="s">
        <v>308</v>
      </c>
      <c r="B179" s="55"/>
      <c r="C179" s="72"/>
      <c r="D179" s="133">
        <f>23302.87</f>
        <v>23302.87</v>
      </c>
      <c r="E179" s="71"/>
      <c r="F179" s="202">
        <f t="shared" si="59"/>
        <v>23302.87</v>
      </c>
      <c r="G179" s="203">
        <f>127.5</f>
        <v>127.5</v>
      </c>
      <c r="H179" s="179"/>
      <c r="I179" s="204">
        <f t="shared" si="60"/>
        <v>23430.37</v>
      </c>
      <c r="J179" s="203"/>
      <c r="K179" s="179"/>
      <c r="L179" s="204">
        <f t="shared" si="61"/>
        <v>23430.37</v>
      </c>
      <c r="M179" s="154">
        <f>203.25</f>
        <v>203.25</v>
      </c>
      <c r="N179" s="230"/>
      <c r="O179" s="312">
        <f t="shared" si="62"/>
        <v>23633.62</v>
      </c>
      <c r="P179" s="209"/>
      <c r="Q179" s="208">
        <f>O179+P179</f>
        <v>23633.62</v>
      </c>
    </row>
    <row r="180" spans="1:17" ht="12.75">
      <c r="A180" s="56" t="s">
        <v>339</v>
      </c>
      <c r="B180" s="55"/>
      <c r="C180" s="72"/>
      <c r="D180" s="133"/>
      <c r="E180" s="71"/>
      <c r="F180" s="202">
        <f t="shared" si="59"/>
        <v>0</v>
      </c>
      <c r="G180" s="203">
        <f>6293.92</f>
        <v>6293.92</v>
      </c>
      <c r="H180" s="179"/>
      <c r="I180" s="204">
        <f t="shared" si="60"/>
        <v>6293.92</v>
      </c>
      <c r="J180" s="203"/>
      <c r="K180" s="179"/>
      <c r="L180" s="204">
        <f t="shared" si="61"/>
        <v>6293.92</v>
      </c>
      <c r="M180" s="154"/>
      <c r="N180" s="230"/>
      <c r="O180" s="312">
        <f t="shared" si="62"/>
        <v>6293.92</v>
      </c>
      <c r="P180" s="209"/>
      <c r="Q180" s="208">
        <f>O180+P180</f>
        <v>6293.92</v>
      </c>
    </row>
    <row r="181" spans="1:17" ht="12.75">
      <c r="A181" s="56" t="s">
        <v>342</v>
      </c>
      <c r="B181" s="55"/>
      <c r="C181" s="72"/>
      <c r="D181" s="133"/>
      <c r="E181" s="71"/>
      <c r="F181" s="202">
        <f t="shared" si="59"/>
        <v>0</v>
      </c>
      <c r="G181" s="203">
        <f>135200</f>
        <v>135200</v>
      </c>
      <c r="H181" s="179"/>
      <c r="I181" s="204">
        <f t="shared" si="60"/>
        <v>135200</v>
      </c>
      <c r="J181" s="203"/>
      <c r="K181" s="179"/>
      <c r="L181" s="204">
        <f t="shared" si="61"/>
        <v>135200</v>
      </c>
      <c r="M181" s="154"/>
      <c r="N181" s="230"/>
      <c r="O181" s="312">
        <f t="shared" si="62"/>
        <v>135200</v>
      </c>
      <c r="P181" s="209">
        <f>-79352.56</f>
        <v>-79352.56</v>
      </c>
      <c r="Q181" s="208">
        <f>O181+P181</f>
        <v>55847.44</v>
      </c>
    </row>
    <row r="182" spans="1:17" ht="12.75" hidden="1">
      <c r="A182" s="13" t="s">
        <v>67</v>
      </c>
      <c r="B182" s="55"/>
      <c r="C182" s="72"/>
      <c r="D182" s="133"/>
      <c r="E182" s="71"/>
      <c r="F182" s="202">
        <f t="shared" si="59"/>
        <v>0</v>
      </c>
      <c r="G182" s="203"/>
      <c r="H182" s="179"/>
      <c r="I182" s="204">
        <f t="shared" si="60"/>
        <v>0</v>
      </c>
      <c r="J182" s="203"/>
      <c r="K182" s="179"/>
      <c r="L182" s="204">
        <f t="shared" si="61"/>
        <v>0</v>
      </c>
      <c r="M182" s="154"/>
      <c r="N182" s="230"/>
      <c r="O182" s="312">
        <f t="shared" si="62"/>
        <v>0</v>
      </c>
      <c r="P182" s="209"/>
      <c r="Q182" s="208">
        <f aca="true" t="shared" si="63" ref="Q182:Q242">O182+P182</f>
        <v>0</v>
      </c>
    </row>
    <row r="183" spans="1:17" ht="12.75" hidden="1">
      <c r="A183" s="13" t="s">
        <v>54</v>
      </c>
      <c r="B183" s="55"/>
      <c r="C183" s="72"/>
      <c r="D183" s="133"/>
      <c r="E183" s="71"/>
      <c r="F183" s="202">
        <f t="shared" si="59"/>
        <v>0</v>
      </c>
      <c r="G183" s="203"/>
      <c r="H183" s="179"/>
      <c r="I183" s="204">
        <f t="shared" si="60"/>
        <v>0</v>
      </c>
      <c r="J183" s="203"/>
      <c r="K183" s="179"/>
      <c r="L183" s="204">
        <f t="shared" si="61"/>
        <v>0</v>
      </c>
      <c r="M183" s="154"/>
      <c r="N183" s="230"/>
      <c r="O183" s="312">
        <f t="shared" si="62"/>
        <v>0</v>
      </c>
      <c r="P183" s="209"/>
      <c r="Q183" s="208">
        <f t="shared" si="63"/>
        <v>0</v>
      </c>
    </row>
    <row r="184" spans="1:17" ht="12.75">
      <c r="A184" s="16" t="s">
        <v>76</v>
      </c>
      <c r="B184" s="58"/>
      <c r="C184" s="115"/>
      <c r="D184" s="138">
        <f>137</f>
        <v>137</v>
      </c>
      <c r="E184" s="79"/>
      <c r="F184" s="257">
        <f t="shared" si="59"/>
        <v>137</v>
      </c>
      <c r="G184" s="224">
        <f>-37</f>
        <v>-37</v>
      </c>
      <c r="H184" s="182"/>
      <c r="I184" s="237">
        <f t="shared" si="60"/>
        <v>100</v>
      </c>
      <c r="J184" s="224"/>
      <c r="K184" s="182"/>
      <c r="L184" s="237">
        <f t="shared" si="61"/>
        <v>100</v>
      </c>
      <c r="M184" s="153"/>
      <c r="N184" s="297"/>
      <c r="O184" s="317">
        <f t="shared" si="62"/>
        <v>100</v>
      </c>
      <c r="P184" s="276"/>
      <c r="Q184" s="282">
        <f t="shared" si="63"/>
        <v>100</v>
      </c>
    </row>
    <row r="185" spans="1:17" ht="12.75">
      <c r="A185" s="10" t="s">
        <v>80</v>
      </c>
      <c r="B185" s="59"/>
      <c r="C185" s="69">
        <f aca="true" t="shared" si="64" ref="C185:Q185">C186+C232</f>
        <v>420275.30000000005</v>
      </c>
      <c r="D185" s="132">
        <f t="shared" si="64"/>
        <v>1864828.3899999997</v>
      </c>
      <c r="E185" s="70">
        <f t="shared" si="64"/>
        <v>0</v>
      </c>
      <c r="F185" s="92">
        <f t="shared" si="64"/>
        <v>2285103.69</v>
      </c>
      <c r="G185" s="219">
        <f t="shared" si="64"/>
        <v>7970716.780000001</v>
      </c>
      <c r="H185" s="178">
        <f t="shared" si="64"/>
        <v>0</v>
      </c>
      <c r="I185" s="205">
        <f t="shared" si="64"/>
        <v>10255820.469999995</v>
      </c>
      <c r="J185" s="219">
        <f t="shared" si="64"/>
        <v>183528.83</v>
      </c>
      <c r="K185" s="178">
        <f t="shared" si="64"/>
        <v>0</v>
      </c>
      <c r="L185" s="205">
        <f t="shared" si="64"/>
        <v>10439349.299999997</v>
      </c>
      <c r="M185" s="150">
        <f t="shared" si="64"/>
        <v>309622.82</v>
      </c>
      <c r="N185" s="229">
        <f t="shared" si="64"/>
        <v>0</v>
      </c>
      <c r="O185" s="311">
        <f t="shared" si="64"/>
        <v>10748972.120000003</v>
      </c>
      <c r="P185" s="219">
        <f t="shared" si="64"/>
        <v>-2283.8300000000017</v>
      </c>
      <c r="Q185" s="143">
        <f t="shared" si="64"/>
        <v>10746688.290000003</v>
      </c>
    </row>
    <row r="186" spans="1:17" ht="12.75">
      <c r="A186" s="19" t="s">
        <v>49</v>
      </c>
      <c r="B186" s="59"/>
      <c r="C186" s="77">
        <f aca="true" t="shared" si="65" ref="C186:Q186">SUM(C188:C231)</f>
        <v>419535.30000000005</v>
      </c>
      <c r="D186" s="136">
        <f t="shared" si="65"/>
        <v>1854764.6899999997</v>
      </c>
      <c r="E186" s="78">
        <f t="shared" si="65"/>
        <v>0</v>
      </c>
      <c r="F186" s="201">
        <f t="shared" si="65"/>
        <v>2274299.9899999998</v>
      </c>
      <c r="G186" s="222">
        <f t="shared" si="65"/>
        <v>7962759.780000001</v>
      </c>
      <c r="H186" s="183">
        <f t="shared" si="65"/>
        <v>0</v>
      </c>
      <c r="I186" s="235">
        <f t="shared" si="65"/>
        <v>10237059.769999996</v>
      </c>
      <c r="J186" s="222">
        <f t="shared" si="65"/>
        <v>182660.03</v>
      </c>
      <c r="K186" s="183">
        <f t="shared" si="65"/>
        <v>0</v>
      </c>
      <c r="L186" s="235">
        <f t="shared" si="65"/>
        <v>10419719.799999997</v>
      </c>
      <c r="M186" s="151">
        <f t="shared" si="65"/>
        <v>305436.17</v>
      </c>
      <c r="N186" s="295">
        <f t="shared" si="65"/>
        <v>0</v>
      </c>
      <c r="O186" s="315">
        <f t="shared" si="65"/>
        <v>10725155.970000003</v>
      </c>
      <c r="P186" s="222">
        <f t="shared" si="65"/>
        <v>-8189.260000000002</v>
      </c>
      <c r="Q186" s="148">
        <f t="shared" si="65"/>
        <v>10716966.710000003</v>
      </c>
    </row>
    <row r="187" spans="1:17" ht="12.75">
      <c r="A187" s="11" t="s">
        <v>26</v>
      </c>
      <c r="B187" s="55"/>
      <c r="C187" s="72"/>
      <c r="D187" s="133"/>
      <c r="E187" s="71"/>
      <c r="F187" s="202"/>
      <c r="G187" s="203"/>
      <c r="H187" s="179"/>
      <c r="I187" s="204"/>
      <c r="J187" s="203"/>
      <c r="K187" s="179"/>
      <c r="L187" s="204"/>
      <c r="M187" s="154"/>
      <c r="N187" s="230"/>
      <c r="O187" s="312"/>
      <c r="P187" s="209"/>
      <c r="Q187" s="208"/>
    </row>
    <row r="188" spans="1:17" ht="12.75">
      <c r="A188" s="17" t="s">
        <v>72</v>
      </c>
      <c r="B188" s="55"/>
      <c r="C188" s="72">
        <v>359419.89</v>
      </c>
      <c r="D188" s="133">
        <f>3798.99+18503.4+207+75880.24+6000+490.69</f>
        <v>104880.32</v>
      </c>
      <c r="E188" s="71"/>
      <c r="F188" s="202">
        <f aca="true" t="shared" si="66" ref="F188:F231">C188+D188+E188</f>
        <v>464300.21</v>
      </c>
      <c r="G188" s="203">
        <f>37393.39+750+6402.5</f>
        <v>44545.89</v>
      </c>
      <c r="H188" s="179"/>
      <c r="I188" s="204">
        <f>F188+G188+H188</f>
        <v>508846.10000000003</v>
      </c>
      <c r="J188" s="203">
        <f>98.69+13410+488.88+1139.89+6.5+329.36+114.1</f>
        <v>15587.42</v>
      </c>
      <c r="K188" s="179"/>
      <c r="L188" s="204">
        <f>I188+J188+K188</f>
        <v>524433.52</v>
      </c>
      <c r="M188" s="154">
        <f>10565.63+1606.69+39.6+200</f>
        <v>12411.92</v>
      </c>
      <c r="N188" s="230"/>
      <c r="O188" s="312">
        <f>L188+M188+N188</f>
        <v>536845.4400000001</v>
      </c>
      <c r="P188" s="209">
        <f>-813.57-2952.8</f>
        <v>-3766.3700000000003</v>
      </c>
      <c r="Q188" s="208">
        <f t="shared" si="63"/>
        <v>533079.0700000001</v>
      </c>
    </row>
    <row r="189" spans="1:17" ht="12.75">
      <c r="A189" s="17" t="s">
        <v>259</v>
      </c>
      <c r="B189" s="55">
        <v>33353</v>
      </c>
      <c r="C189" s="72"/>
      <c r="D189" s="133">
        <f>772855.17+772855.17</f>
        <v>1545710.34</v>
      </c>
      <c r="E189" s="71"/>
      <c r="F189" s="202">
        <f t="shared" si="66"/>
        <v>1545710.34</v>
      </c>
      <c r="G189" s="203">
        <f>772855.17+6925868.2+980.4</f>
        <v>7699703.7700000005</v>
      </c>
      <c r="H189" s="179"/>
      <c r="I189" s="204">
        <f aca="true" t="shared" si="67" ref="I189:I229">F189+G189+H189</f>
        <v>9245414.110000001</v>
      </c>
      <c r="J189" s="203">
        <f>7172.57</f>
        <v>7172.57</v>
      </c>
      <c r="K189" s="179"/>
      <c r="L189" s="204">
        <f aca="true" t="shared" si="68" ref="L189:L231">I189+J189+K189</f>
        <v>9252586.680000002</v>
      </c>
      <c r="M189" s="154">
        <f>357.33+88276.06+6900.16</f>
        <v>95533.55</v>
      </c>
      <c r="N189" s="230"/>
      <c r="O189" s="312">
        <f aca="true" t="shared" si="69" ref="O189:O229">L189+M189+N189</f>
        <v>9348120.230000002</v>
      </c>
      <c r="P189" s="209">
        <f>-23989.77</f>
        <v>-23989.77</v>
      </c>
      <c r="Q189" s="208">
        <f t="shared" si="63"/>
        <v>9324130.460000003</v>
      </c>
    </row>
    <row r="190" spans="1:17" ht="12.75">
      <c r="A190" s="17" t="s">
        <v>260</v>
      </c>
      <c r="B190" s="55">
        <v>33155</v>
      </c>
      <c r="C190" s="72"/>
      <c r="D190" s="139">
        <f>41253.78+41301.16</f>
        <v>82554.94</v>
      </c>
      <c r="E190" s="71"/>
      <c r="F190" s="202">
        <f t="shared" si="66"/>
        <v>82554.94</v>
      </c>
      <c r="G190" s="203">
        <f>41885.67+149383.17</f>
        <v>191268.84000000003</v>
      </c>
      <c r="H190" s="179"/>
      <c r="I190" s="204">
        <f t="shared" si="67"/>
        <v>273823.78</v>
      </c>
      <c r="J190" s="203">
        <f>136819.92</f>
        <v>136819.92</v>
      </c>
      <c r="K190" s="179"/>
      <c r="L190" s="204">
        <f t="shared" si="68"/>
        <v>410643.70000000007</v>
      </c>
      <c r="M190" s="154">
        <f>145518.11</f>
        <v>145518.11</v>
      </c>
      <c r="N190" s="230"/>
      <c r="O190" s="312">
        <f t="shared" si="69"/>
        <v>556161.81</v>
      </c>
      <c r="P190" s="209"/>
      <c r="Q190" s="208">
        <f t="shared" si="63"/>
        <v>556161.81</v>
      </c>
    </row>
    <row r="191" spans="1:17" ht="12.75">
      <c r="A191" s="17" t="s">
        <v>81</v>
      </c>
      <c r="B191" s="291" t="s">
        <v>194</v>
      </c>
      <c r="C191" s="72"/>
      <c r="D191" s="133"/>
      <c r="E191" s="71"/>
      <c r="F191" s="202">
        <f t="shared" si="66"/>
        <v>0</v>
      </c>
      <c r="G191" s="203"/>
      <c r="H191" s="179"/>
      <c r="I191" s="204">
        <f t="shared" si="67"/>
        <v>0</v>
      </c>
      <c r="J191" s="203">
        <f>102.38+330.8</f>
        <v>433.18</v>
      </c>
      <c r="K191" s="179"/>
      <c r="L191" s="204">
        <f t="shared" si="68"/>
        <v>433.18</v>
      </c>
      <c r="M191" s="154"/>
      <c r="N191" s="230"/>
      <c r="O191" s="312">
        <f t="shared" si="69"/>
        <v>433.18</v>
      </c>
      <c r="P191" s="209"/>
      <c r="Q191" s="208">
        <f t="shared" si="63"/>
        <v>433.18</v>
      </c>
    </row>
    <row r="192" spans="1:17" ht="12.75" hidden="1">
      <c r="A192" s="17" t="s">
        <v>129</v>
      </c>
      <c r="B192" s="55"/>
      <c r="C192" s="72"/>
      <c r="D192" s="133"/>
      <c r="E192" s="71"/>
      <c r="F192" s="202">
        <f t="shared" si="66"/>
        <v>0</v>
      </c>
      <c r="G192" s="203"/>
      <c r="H192" s="179"/>
      <c r="I192" s="204">
        <f t="shared" si="67"/>
        <v>0</v>
      </c>
      <c r="J192" s="203"/>
      <c r="K192" s="179"/>
      <c r="L192" s="204">
        <f t="shared" si="68"/>
        <v>0</v>
      </c>
      <c r="M192" s="154"/>
      <c r="N192" s="230"/>
      <c r="O192" s="312">
        <f t="shared" si="69"/>
        <v>0</v>
      </c>
      <c r="P192" s="209"/>
      <c r="Q192" s="208">
        <f t="shared" si="63"/>
        <v>0</v>
      </c>
    </row>
    <row r="193" spans="1:17" ht="12.75" hidden="1">
      <c r="A193" s="17" t="s">
        <v>191</v>
      </c>
      <c r="B193" s="55">
        <v>33215</v>
      </c>
      <c r="C193" s="72"/>
      <c r="D193" s="133"/>
      <c r="E193" s="71"/>
      <c r="F193" s="202">
        <f t="shared" si="66"/>
        <v>0</v>
      </c>
      <c r="G193" s="203"/>
      <c r="H193" s="179"/>
      <c r="I193" s="204">
        <f t="shared" si="67"/>
        <v>0</v>
      </c>
      <c r="J193" s="203"/>
      <c r="K193" s="179"/>
      <c r="L193" s="204">
        <f t="shared" si="68"/>
        <v>0</v>
      </c>
      <c r="M193" s="154"/>
      <c r="N193" s="230"/>
      <c r="O193" s="312">
        <f t="shared" si="69"/>
        <v>0</v>
      </c>
      <c r="P193" s="209"/>
      <c r="Q193" s="208">
        <f t="shared" si="63"/>
        <v>0</v>
      </c>
    </row>
    <row r="194" spans="1:17" ht="12.75" hidden="1">
      <c r="A194" s="17" t="s">
        <v>192</v>
      </c>
      <c r="B194" s="55">
        <v>33457</v>
      </c>
      <c r="C194" s="72"/>
      <c r="D194" s="133"/>
      <c r="E194" s="71"/>
      <c r="F194" s="202">
        <f t="shared" si="66"/>
        <v>0</v>
      </c>
      <c r="G194" s="203"/>
      <c r="H194" s="179"/>
      <c r="I194" s="204">
        <f t="shared" si="67"/>
        <v>0</v>
      </c>
      <c r="J194" s="203"/>
      <c r="K194" s="179"/>
      <c r="L194" s="204">
        <f t="shared" si="68"/>
        <v>0</v>
      </c>
      <c r="M194" s="154"/>
      <c r="N194" s="230"/>
      <c r="O194" s="312">
        <f t="shared" si="69"/>
        <v>0</v>
      </c>
      <c r="P194" s="209"/>
      <c r="Q194" s="208">
        <f t="shared" si="63"/>
        <v>0</v>
      </c>
    </row>
    <row r="195" spans="1:17" ht="12.75" hidden="1">
      <c r="A195" s="33" t="s">
        <v>177</v>
      </c>
      <c r="B195" s="55">
        <v>33052</v>
      </c>
      <c r="C195" s="72"/>
      <c r="D195" s="133"/>
      <c r="E195" s="71"/>
      <c r="F195" s="202">
        <f t="shared" si="66"/>
        <v>0</v>
      </c>
      <c r="G195" s="203"/>
      <c r="H195" s="179"/>
      <c r="I195" s="204">
        <f t="shared" si="67"/>
        <v>0</v>
      </c>
      <c r="J195" s="203"/>
      <c r="K195" s="179"/>
      <c r="L195" s="204">
        <f t="shared" si="68"/>
        <v>0</v>
      </c>
      <c r="M195" s="154"/>
      <c r="N195" s="230"/>
      <c r="O195" s="312">
        <f t="shared" si="69"/>
        <v>0</v>
      </c>
      <c r="P195" s="209"/>
      <c r="Q195" s="208">
        <f t="shared" si="63"/>
        <v>0</v>
      </c>
    </row>
    <row r="196" spans="1:17" ht="12.75" hidden="1">
      <c r="A196" s="33" t="s">
        <v>248</v>
      </c>
      <c r="B196" s="55">
        <v>33076</v>
      </c>
      <c r="C196" s="72"/>
      <c r="D196" s="133"/>
      <c r="E196" s="71"/>
      <c r="F196" s="202">
        <f t="shared" si="66"/>
        <v>0</v>
      </c>
      <c r="G196" s="203"/>
      <c r="H196" s="179"/>
      <c r="I196" s="204">
        <f t="shared" si="67"/>
        <v>0</v>
      </c>
      <c r="J196" s="203"/>
      <c r="K196" s="179"/>
      <c r="L196" s="204">
        <f t="shared" si="68"/>
        <v>0</v>
      </c>
      <c r="M196" s="154"/>
      <c r="N196" s="230"/>
      <c r="O196" s="312">
        <f t="shared" si="69"/>
        <v>0</v>
      </c>
      <c r="P196" s="209"/>
      <c r="Q196" s="208">
        <f t="shared" si="63"/>
        <v>0</v>
      </c>
    </row>
    <row r="197" spans="1:17" ht="12.75" hidden="1">
      <c r="A197" s="33" t="s">
        <v>208</v>
      </c>
      <c r="B197" s="55">
        <v>33069</v>
      </c>
      <c r="C197" s="72"/>
      <c r="D197" s="133"/>
      <c r="E197" s="71"/>
      <c r="F197" s="202">
        <f t="shared" si="66"/>
        <v>0</v>
      </c>
      <c r="G197" s="203"/>
      <c r="H197" s="179"/>
      <c r="I197" s="204">
        <f t="shared" si="67"/>
        <v>0</v>
      </c>
      <c r="J197" s="203"/>
      <c r="K197" s="179"/>
      <c r="L197" s="204">
        <f t="shared" si="68"/>
        <v>0</v>
      </c>
      <c r="M197" s="154"/>
      <c r="N197" s="230"/>
      <c r="O197" s="312">
        <f t="shared" si="69"/>
        <v>0</v>
      </c>
      <c r="P197" s="209"/>
      <c r="Q197" s="208">
        <f t="shared" si="63"/>
        <v>0</v>
      </c>
    </row>
    <row r="198" spans="1:17" ht="12.75" hidden="1">
      <c r="A198" s="33" t="s">
        <v>239</v>
      </c>
      <c r="B198" s="55">
        <v>33070</v>
      </c>
      <c r="C198" s="72"/>
      <c r="D198" s="133"/>
      <c r="E198" s="71"/>
      <c r="F198" s="202">
        <f t="shared" si="66"/>
        <v>0</v>
      </c>
      <c r="G198" s="203"/>
      <c r="H198" s="179"/>
      <c r="I198" s="204">
        <f t="shared" si="67"/>
        <v>0</v>
      </c>
      <c r="J198" s="203"/>
      <c r="K198" s="179"/>
      <c r="L198" s="204">
        <f t="shared" si="68"/>
        <v>0</v>
      </c>
      <c r="M198" s="154"/>
      <c r="N198" s="230"/>
      <c r="O198" s="312">
        <f t="shared" si="69"/>
        <v>0</v>
      </c>
      <c r="P198" s="209"/>
      <c r="Q198" s="208">
        <f t="shared" si="63"/>
        <v>0</v>
      </c>
    </row>
    <row r="199" spans="1:17" ht="12.75" hidden="1">
      <c r="A199" s="17" t="s">
        <v>232</v>
      </c>
      <c r="B199" s="55">
        <v>33071</v>
      </c>
      <c r="C199" s="72"/>
      <c r="D199" s="133"/>
      <c r="E199" s="71"/>
      <c r="F199" s="202">
        <f t="shared" si="66"/>
        <v>0</v>
      </c>
      <c r="G199" s="203"/>
      <c r="H199" s="179"/>
      <c r="I199" s="204">
        <f t="shared" si="67"/>
        <v>0</v>
      </c>
      <c r="J199" s="203"/>
      <c r="K199" s="179"/>
      <c r="L199" s="204">
        <f t="shared" si="68"/>
        <v>0</v>
      </c>
      <c r="M199" s="154"/>
      <c r="N199" s="230"/>
      <c r="O199" s="312">
        <f t="shared" si="69"/>
        <v>0</v>
      </c>
      <c r="P199" s="209"/>
      <c r="Q199" s="208">
        <f t="shared" si="63"/>
        <v>0</v>
      </c>
    </row>
    <row r="200" spans="1:17" ht="12.75" hidden="1">
      <c r="A200" s="17" t="s">
        <v>178</v>
      </c>
      <c r="B200" s="55">
        <v>33050</v>
      </c>
      <c r="C200" s="72"/>
      <c r="D200" s="133"/>
      <c r="E200" s="71"/>
      <c r="F200" s="202">
        <f t="shared" si="66"/>
        <v>0</v>
      </c>
      <c r="G200" s="203"/>
      <c r="H200" s="179"/>
      <c r="I200" s="204">
        <f t="shared" si="67"/>
        <v>0</v>
      </c>
      <c r="J200" s="203"/>
      <c r="K200" s="179"/>
      <c r="L200" s="204">
        <f t="shared" si="68"/>
        <v>0</v>
      </c>
      <c r="M200" s="154"/>
      <c r="N200" s="230"/>
      <c r="O200" s="312">
        <f t="shared" si="69"/>
        <v>0</v>
      </c>
      <c r="P200" s="209"/>
      <c r="Q200" s="208">
        <f t="shared" si="63"/>
        <v>0</v>
      </c>
    </row>
    <row r="201" spans="1:17" ht="12.75" hidden="1">
      <c r="A201" s="17" t="s">
        <v>139</v>
      </c>
      <c r="B201" s="55">
        <v>33435</v>
      </c>
      <c r="C201" s="72"/>
      <c r="D201" s="133"/>
      <c r="E201" s="71"/>
      <c r="F201" s="202">
        <f t="shared" si="66"/>
        <v>0</v>
      </c>
      <c r="G201" s="203"/>
      <c r="H201" s="179"/>
      <c r="I201" s="204">
        <f t="shared" si="67"/>
        <v>0</v>
      </c>
      <c r="J201" s="203"/>
      <c r="K201" s="179"/>
      <c r="L201" s="204">
        <f t="shared" si="68"/>
        <v>0</v>
      </c>
      <c r="M201" s="154"/>
      <c r="N201" s="230"/>
      <c r="O201" s="312">
        <f t="shared" si="69"/>
        <v>0</v>
      </c>
      <c r="P201" s="209"/>
      <c r="Q201" s="208">
        <f t="shared" si="63"/>
        <v>0</v>
      </c>
    </row>
    <row r="202" spans="1:17" ht="12.75" hidden="1">
      <c r="A202" s="17" t="s">
        <v>196</v>
      </c>
      <c r="B202" s="55">
        <v>33049</v>
      </c>
      <c r="C202" s="72"/>
      <c r="D202" s="133"/>
      <c r="E202" s="71"/>
      <c r="F202" s="202">
        <f t="shared" si="66"/>
        <v>0</v>
      </c>
      <c r="G202" s="203"/>
      <c r="H202" s="179"/>
      <c r="I202" s="204">
        <f t="shared" si="67"/>
        <v>0</v>
      </c>
      <c r="J202" s="203"/>
      <c r="K202" s="179"/>
      <c r="L202" s="204">
        <f t="shared" si="68"/>
        <v>0</v>
      </c>
      <c r="M202" s="154"/>
      <c r="N202" s="230"/>
      <c r="O202" s="312">
        <f t="shared" si="69"/>
        <v>0</v>
      </c>
      <c r="P202" s="209"/>
      <c r="Q202" s="208">
        <f t="shared" si="63"/>
        <v>0</v>
      </c>
    </row>
    <row r="203" spans="1:17" ht="12.75" hidden="1">
      <c r="A203" s="17" t="s">
        <v>179</v>
      </c>
      <c r="B203" s="55">
        <v>33044</v>
      </c>
      <c r="C203" s="72"/>
      <c r="D203" s="133"/>
      <c r="E203" s="71"/>
      <c r="F203" s="202">
        <f t="shared" si="66"/>
        <v>0</v>
      </c>
      <c r="G203" s="203"/>
      <c r="H203" s="179"/>
      <c r="I203" s="204">
        <f t="shared" si="67"/>
        <v>0</v>
      </c>
      <c r="J203" s="203"/>
      <c r="K203" s="179"/>
      <c r="L203" s="204">
        <f t="shared" si="68"/>
        <v>0</v>
      </c>
      <c r="M203" s="154"/>
      <c r="N203" s="230"/>
      <c r="O203" s="312">
        <f t="shared" si="69"/>
        <v>0</v>
      </c>
      <c r="P203" s="209"/>
      <c r="Q203" s="208">
        <f t="shared" si="63"/>
        <v>0</v>
      </c>
    </row>
    <row r="204" spans="1:17" ht="12.75" hidden="1">
      <c r="A204" s="17" t="s">
        <v>183</v>
      </c>
      <c r="B204" s="55">
        <v>33024</v>
      </c>
      <c r="C204" s="72"/>
      <c r="D204" s="133"/>
      <c r="E204" s="71"/>
      <c r="F204" s="202">
        <f t="shared" si="66"/>
        <v>0</v>
      </c>
      <c r="G204" s="203"/>
      <c r="H204" s="179"/>
      <c r="I204" s="204">
        <f t="shared" si="67"/>
        <v>0</v>
      </c>
      <c r="J204" s="203"/>
      <c r="K204" s="179"/>
      <c r="L204" s="204">
        <f t="shared" si="68"/>
        <v>0</v>
      </c>
      <c r="M204" s="154"/>
      <c r="N204" s="230"/>
      <c r="O204" s="312">
        <f t="shared" si="69"/>
        <v>0</v>
      </c>
      <c r="P204" s="209"/>
      <c r="Q204" s="208">
        <f t="shared" si="63"/>
        <v>0</v>
      </c>
    </row>
    <row r="205" spans="1:17" ht="12.75" hidden="1">
      <c r="A205" s="33" t="s">
        <v>144</v>
      </c>
      <c r="B205" s="55">
        <v>33018</v>
      </c>
      <c r="C205" s="72"/>
      <c r="D205" s="133"/>
      <c r="E205" s="71"/>
      <c r="F205" s="202">
        <f t="shared" si="66"/>
        <v>0</v>
      </c>
      <c r="G205" s="203"/>
      <c r="H205" s="179"/>
      <c r="I205" s="204">
        <f t="shared" si="67"/>
        <v>0</v>
      </c>
      <c r="J205" s="203"/>
      <c r="K205" s="179"/>
      <c r="L205" s="204">
        <f t="shared" si="68"/>
        <v>0</v>
      </c>
      <c r="M205" s="154"/>
      <c r="N205" s="230"/>
      <c r="O205" s="312">
        <f t="shared" si="69"/>
        <v>0</v>
      </c>
      <c r="P205" s="209"/>
      <c r="Q205" s="208">
        <f t="shared" si="63"/>
        <v>0</v>
      </c>
    </row>
    <row r="206" spans="1:17" ht="12.75">
      <c r="A206" s="17" t="s">
        <v>330</v>
      </c>
      <c r="B206" s="55">
        <v>33083</v>
      </c>
      <c r="C206" s="72"/>
      <c r="D206" s="133"/>
      <c r="E206" s="71"/>
      <c r="F206" s="202">
        <f t="shared" si="66"/>
        <v>0</v>
      </c>
      <c r="G206" s="203">
        <f>480.4-248.2</f>
        <v>232.2</v>
      </c>
      <c r="H206" s="179"/>
      <c r="I206" s="204">
        <f t="shared" si="67"/>
        <v>232.2</v>
      </c>
      <c r="J206" s="203"/>
      <c r="K206" s="179"/>
      <c r="L206" s="204">
        <f t="shared" si="68"/>
        <v>232.2</v>
      </c>
      <c r="M206" s="154"/>
      <c r="N206" s="230"/>
      <c r="O206" s="312">
        <f t="shared" si="69"/>
        <v>232.2</v>
      </c>
      <c r="P206" s="209">
        <f>-201.8</f>
        <v>-201.8</v>
      </c>
      <c r="Q206" s="208">
        <f t="shared" si="63"/>
        <v>30.399999999999977</v>
      </c>
    </row>
    <row r="207" spans="1:17" ht="13.5" thickBot="1">
      <c r="A207" s="342" t="s">
        <v>163</v>
      </c>
      <c r="B207" s="331">
        <v>33160</v>
      </c>
      <c r="C207" s="332"/>
      <c r="D207" s="333"/>
      <c r="E207" s="334"/>
      <c r="F207" s="335">
        <f t="shared" si="66"/>
        <v>0</v>
      </c>
      <c r="G207" s="336"/>
      <c r="H207" s="337"/>
      <c r="I207" s="338">
        <f t="shared" si="67"/>
        <v>0</v>
      </c>
      <c r="J207" s="336"/>
      <c r="K207" s="337"/>
      <c r="L207" s="338">
        <f t="shared" si="68"/>
        <v>0</v>
      </c>
      <c r="M207" s="339"/>
      <c r="N207" s="340"/>
      <c r="O207" s="341">
        <f t="shared" si="69"/>
        <v>0</v>
      </c>
      <c r="P207" s="280">
        <f>182.28-3.11</f>
        <v>179.17</v>
      </c>
      <c r="Q207" s="284">
        <f t="shared" si="63"/>
        <v>179.17</v>
      </c>
    </row>
    <row r="208" spans="1:17" ht="12.75">
      <c r="A208" s="33" t="s">
        <v>328</v>
      </c>
      <c r="B208" s="55">
        <v>33087</v>
      </c>
      <c r="C208" s="72"/>
      <c r="D208" s="133"/>
      <c r="E208" s="71"/>
      <c r="F208" s="202">
        <f t="shared" si="66"/>
        <v>0</v>
      </c>
      <c r="G208" s="203">
        <f>13698.4</f>
        <v>13698.4</v>
      </c>
      <c r="H208" s="179"/>
      <c r="I208" s="204">
        <f t="shared" si="67"/>
        <v>13698.4</v>
      </c>
      <c r="J208" s="203"/>
      <c r="K208" s="179"/>
      <c r="L208" s="204">
        <f t="shared" si="68"/>
        <v>13698.4</v>
      </c>
      <c r="M208" s="154"/>
      <c r="N208" s="230"/>
      <c r="O208" s="312">
        <f t="shared" si="69"/>
        <v>13698.4</v>
      </c>
      <c r="P208" s="209">
        <f>-0.41</f>
        <v>-0.41</v>
      </c>
      <c r="Q208" s="208">
        <f t="shared" si="63"/>
        <v>13697.99</v>
      </c>
    </row>
    <row r="209" spans="1:17" ht="12.75">
      <c r="A209" s="33" t="s">
        <v>337</v>
      </c>
      <c r="B209" s="55">
        <v>33087</v>
      </c>
      <c r="C209" s="72"/>
      <c r="D209" s="133"/>
      <c r="E209" s="71"/>
      <c r="F209" s="202">
        <f t="shared" si="66"/>
        <v>0</v>
      </c>
      <c r="G209" s="203">
        <f>32526</f>
        <v>32526</v>
      </c>
      <c r="H209" s="179"/>
      <c r="I209" s="204">
        <f t="shared" si="67"/>
        <v>32526</v>
      </c>
      <c r="J209" s="203"/>
      <c r="K209" s="179"/>
      <c r="L209" s="204">
        <f t="shared" si="68"/>
        <v>32526</v>
      </c>
      <c r="M209" s="154"/>
      <c r="N209" s="230"/>
      <c r="O209" s="312">
        <f t="shared" si="69"/>
        <v>32526</v>
      </c>
      <c r="P209" s="209"/>
      <c r="Q209" s="208">
        <f t="shared" si="63"/>
        <v>32526</v>
      </c>
    </row>
    <row r="210" spans="1:17" ht="12.75">
      <c r="A210" s="33" t="s">
        <v>317</v>
      </c>
      <c r="B210" s="55">
        <v>33086</v>
      </c>
      <c r="C210" s="72"/>
      <c r="D210" s="133">
        <f>18081.7</f>
        <v>18081.7</v>
      </c>
      <c r="E210" s="71"/>
      <c r="F210" s="202">
        <f t="shared" si="66"/>
        <v>18081.7</v>
      </c>
      <c r="G210" s="203"/>
      <c r="H210" s="179"/>
      <c r="I210" s="204">
        <f t="shared" si="67"/>
        <v>18081.7</v>
      </c>
      <c r="J210" s="203"/>
      <c r="K210" s="179"/>
      <c r="L210" s="204">
        <f t="shared" si="68"/>
        <v>18081.7</v>
      </c>
      <c r="M210" s="154">
        <f>12245.1</f>
        <v>12245.1</v>
      </c>
      <c r="N210" s="230"/>
      <c r="O210" s="312">
        <f t="shared" si="69"/>
        <v>30326.800000000003</v>
      </c>
      <c r="P210" s="209">
        <f>-4675.68</f>
        <v>-4675.68</v>
      </c>
      <c r="Q210" s="208">
        <f t="shared" si="63"/>
        <v>25651.120000000003</v>
      </c>
    </row>
    <row r="211" spans="1:17" ht="12.75">
      <c r="A211" s="33" t="s">
        <v>329</v>
      </c>
      <c r="B211" s="55">
        <v>33088</v>
      </c>
      <c r="C211" s="72"/>
      <c r="D211" s="133"/>
      <c r="E211" s="71"/>
      <c r="F211" s="202">
        <f t="shared" si="66"/>
        <v>0</v>
      </c>
      <c r="G211" s="203">
        <f>21681</f>
        <v>21681</v>
      </c>
      <c r="H211" s="179"/>
      <c r="I211" s="204">
        <f t="shared" si="67"/>
        <v>21681</v>
      </c>
      <c r="J211" s="203"/>
      <c r="K211" s="179"/>
      <c r="L211" s="204">
        <f t="shared" si="68"/>
        <v>21681</v>
      </c>
      <c r="M211" s="154"/>
      <c r="N211" s="230"/>
      <c r="O211" s="312">
        <f t="shared" si="69"/>
        <v>21681</v>
      </c>
      <c r="P211" s="209">
        <f>-43.32</f>
        <v>-43.32</v>
      </c>
      <c r="Q211" s="208">
        <f t="shared" si="63"/>
        <v>21637.68</v>
      </c>
    </row>
    <row r="212" spans="1:17" ht="12.75">
      <c r="A212" s="33" t="s">
        <v>372</v>
      </c>
      <c r="B212" s="55">
        <v>33090</v>
      </c>
      <c r="C212" s="72"/>
      <c r="D212" s="133"/>
      <c r="E212" s="71"/>
      <c r="F212" s="202"/>
      <c r="G212" s="203"/>
      <c r="H212" s="179"/>
      <c r="I212" s="204"/>
      <c r="J212" s="203"/>
      <c r="K212" s="179"/>
      <c r="L212" s="204">
        <f t="shared" si="68"/>
        <v>0</v>
      </c>
      <c r="M212" s="154">
        <f>300</f>
        <v>300</v>
      </c>
      <c r="N212" s="230"/>
      <c r="O212" s="312">
        <f t="shared" si="69"/>
        <v>300</v>
      </c>
      <c r="P212" s="209">
        <f>-300</f>
        <v>-300</v>
      </c>
      <c r="Q212" s="208">
        <f t="shared" si="63"/>
        <v>0</v>
      </c>
    </row>
    <row r="213" spans="1:17" ht="12.75">
      <c r="A213" s="33" t="s">
        <v>366</v>
      </c>
      <c r="B213" s="55">
        <v>33092</v>
      </c>
      <c r="C213" s="72"/>
      <c r="D213" s="133"/>
      <c r="E213" s="71"/>
      <c r="F213" s="202"/>
      <c r="G213" s="203"/>
      <c r="H213" s="179"/>
      <c r="I213" s="204"/>
      <c r="J213" s="203"/>
      <c r="K213" s="179"/>
      <c r="L213" s="204">
        <f t="shared" si="68"/>
        <v>0</v>
      </c>
      <c r="M213" s="154">
        <f>1464.57+1740.57+1185.32</f>
        <v>4390.46</v>
      </c>
      <c r="N213" s="230"/>
      <c r="O213" s="312">
        <f t="shared" si="69"/>
        <v>4390.46</v>
      </c>
      <c r="P213" s="209">
        <f>12535.39</f>
        <v>12535.39</v>
      </c>
      <c r="Q213" s="208">
        <f t="shared" si="63"/>
        <v>16925.85</v>
      </c>
    </row>
    <row r="214" spans="1:17" ht="12.75">
      <c r="A214" s="33" t="s">
        <v>373</v>
      </c>
      <c r="B214" s="55">
        <v>33093</v>
      </c>
      <c r="C214" s="72"/>
      <c r="D214" s="133"/>
      <c r="E214" s="71"/>
      <c r="F214" s="202"/>
      <c r="G214" s="203"/>
      <c r="H214" s="179"/>
      <c r="I214" s="204"/>
      <c r="J214" s="203"/>
      <c r="K214" s="179"/>
      <c r="L214" s="204"/>
      <c r="M214" s="154"/>
      <c r="N214" s="230"/>
      <c r="O214" s="312"/>
      <c r="P214" s="209">
        <f>85</f>
        <v>85</v>
      </c>
      <c r="Q214" s="208">
        <f t="shared" si="63"/>
        <v>85</v>
      </c>
    </row>
    <row r="215" spans="1:17" ht="12.75" hidden="1">
      <c r="A215" s="17" t="s">
        <v>82</v>
      </c>
      <c r="B215" s="55">
        <v>33025</v>
      </c>
      <c r="C215" s="72"/>
      <c r="D215" s="133"/>
      <c r="E215" s="71"/>
      <c r="F215" s="202">
        <f t="shared" si="66"/>
        <v>0</v>
      </c>
      <c r="G215" s="203"/>
      <c r="H215" s="179"/>
      <c r="I215" s="204">
        <f t="shared" si="67"/>
        <v>0</v>
      </c>
      <c r="J215" s="203"/>
      <c r="K215" s="179"/>
      <c r="L215" s="204">
        <f t="shared" si="68"/>
        <v>0</v>
      </c>
      <c r="M215" s="154"/>
      <c r="N215" s="230"/>
      <c r="O215" s="312">
        <f t="shared" si="69"/>
        <v>0</v>
      </c>
      <c r="P215" s="209"/>
      <c r="Q215" s="208">
        <f t="shared" si="63"/>
        <v>0</v>
      </c>
    </row>
    <row r="216" spans="1:17" ht="12.75" hidden="1">
      <c r="A216" s="17" t="s">
        <v>152</v>
      </c>
      <c r="B216" s="55">
        <v>33038</v>
      </c>
      <c r="C216" s="72"/>
      <c r="D216" s="133"/>
      <c r="E216" s="71"/>
      <c r="F216" s="202">
        <f t="shared" si="66"/>
        <v>0</v>
      </c>
      <c r="G216" s="203"/>
      <c r="H216" s="179"/>
      <c r="I216" s="204">
        <f t="shared" si="67"/>
        <v>0</v>
      </c>
      <c r="J216" s="203"/>
      <c r="K216" s="179"/>
      <c r="L216" s="204">
        <f t="shared" si="68"/>
        <v>0</v>
      </c>
      <c r="M216" s="154"/>
      <c r="N216" s="230"/>
      <c r="O216" s="312">
        <f t="shared" si="69"/>
        <v>0</v>
      </c>
      <c r="P216" s="209"/>
      <c r="Q216" s="208">
        <f t="shared" si="63"/>
        <v>0</v>
      </c>
    </row>
    <row r="217" spans="1:17" ht="12.75">
      <c r="A217" s="17" t="s">
        <v>360</v>
      </c>
      <c r="B217" s="55">
        <v>33339</v>
      </c>
      <c r="C217" s="72"/>
      <c r="D217" s="133"/>
      <c r="E217" s="71"/>
      <c r="F217" s="202"/>
      <c r="G217" s="203"/>
      <c r="H217" s="179"/>
      <c r="I217" s="204"/>
      <c r="J217" s="203"/>
      <c r="K217" s="179"/>
      <c r="L217" s="204">
        <f t="shared" si="68"/>
        <v>0</v>
      </c>
      <c r="M217" s="154">
        <f>51</f>
        <v>51</v>
      </c>
      <c r="N217" s="230"/>
      <c r="O217" s="312">
        <f t="shared" si="69"/>
        <v>51</v>
      </c>
      <c r="P217" s="209"/>
      <c r="Q217" s="208">
        <f t="shared" si="63"/>
        <v>51</v>
      </c>
    </row>
    <row r="218" spans="1:17" ht="12.75">
      <c r="A218" s="17" t="s">
        <v>332</v>
      </c>
      <c r="B218" s="55">
        <v>13305</v>
      </c>
      <c r="C218" s="72"/>
      <c r="D218" s="133"/>
      <c r="E218" s="71"/>
      <c r="F218" s="202">
        <f t="shared" si="66"/>
        <v>0</v>
      </c>
      <c r="G218" s="203">
        <f>1290.41+645.2</f>
        <v>1935.6100000000001</v>
      </c>
      <c r="H218" s="179"/>
      <c r="I218" s="204">
        <f t="shared" si="67"/>
        <v>1935.6100000000001</v>
      </c>
      <c r="J218" s="203">
        <f>4752.48</f>
        <v>4752.48</v>
      </c>
      <c r="K218" s="179"/>
      <c r="L218" s="204">
        <f t="shared" si="68"/>
        <v>6688.09</v>
      </c>
      <c r="M218" s="154">
        <f>2241.67</f>
        <v>2241.67</v>
      </c>
      <c r="N218" s="230"/>
      <c r="O218" s="312">
        <f t="shared" si="69"/>
        <v>8929.76</v>
      </c>
      <c r="P218" s="209"/>
      <c r="Q218" s="208">
        <f t="shared" si="63"/>
        <v>8929.76</v>
      </c>
    </row>
    <row r="219" spans="1:17" ht="12.75">
      <c r="A219" s="17" t="s">
        <v>350</v>
      </c>
      <c r="B219" s="55">
        <v>29031</v>
      </c>
      <c r="C219" s="72"/>
      <c r="D219" s="133"/>
      <c r="E219" s="71"/>
      <c r="F219" s="202"/>
      <c r="G219" s="203"/>
      <c r="H219" s="179"/>
      <c r="I219" s="204">
        <f t="shared" si="67"/>
        <v>0</v>
      </c>
      <c r="J219" s="203">
        <f>420.75</f>
        <v>420.75</v>
      </c>
      <c r="K219" s="179"/>
      <c r="L219" s="204">
        <f t="shared" si="68"/>
        <v>420.75</v>
      </c>
      <c r="M219" s="154"/>
      <c r="N219" s="230"/>
      <c r="O219" s="312">
        <f t="shared" si="69"/>
        <v>420.75</v>
      </c>
      <c r="P219" s="209"/>
      <c r="Q219" s="208">
        <f t="shared" si="63"/>
        <v>420.75</v>
      </c>
    </row>
    <row r="220" spans="1:17" ht="12.75" hidden="1">
      <c r="A220" s="17" t="s">
        <v>249</v>
      </c>
      <c r="B220" s="55">
        <v>33063</v>
      </c>
      <c r="C220" s="72"/>
      <c r="D220" s="133"/>
      <c r="E220" s="71"/>
      <c r="F220" s="202">
        <f t="shared" si="66"/>
        <v>0</v>
      </c>
      <c r="G220" s="203"/>
      <c r="H220" s="179"/>
      <c r="I220" s="204">
        <f t="shared" si="67"/>
        <v>0</v>
      </c>
      <c r="J220" s="203"/>
      <c r="K220" s="179"/>
      <c r="L220" s="204">
        <f t="shared" si="68"/>
        <v>0</v>
      </c>
      <c r="M220" s="154"/>
      <c r="N220" s="230"/>
      <c r="O220" s="312">
        <f t="shared" si="69"/>
        <v>0</v>
      </c>
      <c r="P220" s="209"/>
      <c r="Q220" s="208">
        <f t="shared" si="63"/>
        <v>0</v>
      </c>
    </row>
    <row r="221" spans="1:17" ht="12.75" hidden="1">
      <c r="A221" s="17" t="s">
        <v>243</v>
      </c>
      <c r="B221" s="291" t="s">
        <v>244</v>
      </c>
      <c r="C221" s="72"/>
      <c r="D221" s="133"/>
      <c r="E221" s="71"/>
      <c r="F221" s="202">
        <f t="shared" si="66"/>
        <v>0</v>
      </c>
      <c r="G221" s="203"/>
      <c r="H221" s="179"/>
      <c r="I221" s="204">
        <f t="shared" si="67"/>
        <v>0</v>
      </c>
      <c r="J221" s="203"/>
      <c r="K221" s="179"/>
      <c r="L221" s="204">
        <f t="shared" si="68"/>
        <v>0</v>
      </c>
      <c r="M221" s="154"/>
      <c r="N221" s="230"/>
      <c r="O221" s="312">
        <f t="shared" si="69"/>
        <v>0</v>
      </c>
      <c r="P221" s="209"/>
      <c r="Q221" s="208">
        <f t="shared" si="63"/>
        <v>0</v>
      </c>
    </row>
    <row r="222" spans="1:17" ht="12.75">
      <c r="A222" s="17" t="s">
        <v>297</v>
      </c>
      <c r="B222" s="291" t="s">
        <v>244</v>
      </c>
      <c r="C222" s="72"/>
      <c r="D222" s="133">
        <f>13.8+389.37</f>
        <v>403.17</v>
      </c>
      <c r="E222" s="71"/>
      <c r="F222" s="202">
        <f t="shared" si="66"/>
        <v>403.17</v>
      </c>
      <c r="G222" s="203"/>
      <c r="H222" s="179"/>
      <c r="I222" s="204">
        <f t="shared" si="67"/>
        <v>403.17</v>
      </c>
      <c r="J222" s="203"/>
      <c r="K222" s="179"/>
      <c r="L222" s="204">
        <f t="shared" si="68"/>
        <v>403.17</v>
      </c>
      <c r="M222" s="154"/>
      <c r="N222" s="230"/>
      <c r="O222" s="312">
        <f t="shared" si="69"/>
        <v>403.17</v>
      </c>
      <c r="P222" s="209"/>
      <c r="Q222" s="208">
        <f t="shared" si="63"/>
        <v>403.17</v>
      </c>
    </row>
    <row r="223" spans="1:17" ht="12.75">
      <c r="A223" s="17" t="s">
        <v>364</v>
      </c>
      <c r="B223" s="207" t="s">
        <v>365</v>
      </c>
      <c r="C223" s="72"/>
      <c r="D223" s="133"/>
      <c r="E223" s="71"/>
      <c r="F223" s="202"/>
      <c r="G223" s="203"/>
      <c r="H223" s="179"/>
      <c r="I223" s="204"/>
      <c r="J223" s="203"/>
      <c r="K223" s="179"/>
      <c r="L223" s="204">
        <f t="shared" si="68"/>
        <v>0</v>
      </c>
      <c r="M223" s="154">
        <f>115.72+655.71</f>
        <v>771.4300000000001</v>
      </c>
      <c r="N223" s="230"/>
      <c r="O223" s="312">
        <f t="shared" si="69"/>
        <v>771.4300000000001</v>
      </c>
      <c r="P223" s="209"/>
      <c r="Q223" s="208">
        <f t="shared" si="63"/>
        <v>771.4300000000001</v>
      </c>
    </row>
    <row r="224" spans="1:17" ht="12.75">
      <c r="A224" s="17" t="s">
        <v>309</v>
      </c>
      <c r="B224" s="55">
        <v>2054</v>
      </c>
      <c r="C224" s="72"/>
      <c r="D224" s="133">
        <f>2962.92</f>
        <v>2962.92</v>
      </c>
      <c r="E224" s="71"/>
      <c r="F224" s="202">
        <f t="shared" si="66"/>
        <v>2962.92</v>
      </c>
      <c r="G224" s="203"/>
      <c r="H224" s="179"/>
      <c r="I224" s="204">
        <f t="shared" si="67"/>
        <v>2962.92</v>
      </c>
      <c r="J224" s="203"/>
      <c r="K224" s="179"/>
      <c r="L224" s="204">
        <f t="shared" si="68"/>
        <v>2962.92</v>
      </c>
      <c r="M224" s="154"/>
      <c r="N224" s="230"/>
      <c r="O224" s="312">
        <f t="shared" si="69"/>
        <v>2962.92</v>
      </c>
      <c r="P224" s="209"/>
      <c r="Q224" s="208">
        <f t="shared" si="63"/>
        <v>2962.92</v>
      </c>
    </row>
    <row r="225" spans="1:17" ht="12.75">
      <c r="A225" s="17" t="s">
        <v>268</v>
      </c>
      <c r="B225" s="55">
        <v>2054</v>
      </c>
      <c r="C225" s="72"/>
      <c r="D225" s="133"/>
      <c r="E225" s="71"/>
      <c r="F225" s="202">
        <f t="shared" si="66"/>
        <v>0</v>
      </c>
      <c r="G225" s="203"/>
      <c r="H225" s="179"/>
      <c r="I225" s="204">
        <f t="shared" si="67"/>
        <v>0</v>
      </c>
      <c r="J225" s="203">
        <f>976.13</f>
        <v>976.13</v>
      </c>
      <c r="K225" s="179"/>
      <c r="L225" s="204">
        <f t="shared" si="68"/>
        <v>976.13</v>
      </c>
      <c r="M225" s="154"/>
      <c r="N225" s="230"/>
      <c r="O225" s="312">
        <f t="shared" si="69"/>
        <v>976.13</v>
      </c>
      <c r="P225" s="209"/>
      <c r="Q225" s="208">
        <f t="shared" si="63"/>
        <v>976.13</v>
      </c>
    </row>
    <row r="226" spans="1:17" ht="12.75">
      <c r="A226" s="17" t="s">
        <v>340</v>
      </c>
      <c r="B226" s="55">
        <v>2075</v>
      </c>
      <c r="C226" s="72"/>
      <c r="D226" s="133"/>
      <c r="E226" s="71"/>
      <c r="F226" s="202">
        <f t="shared" si="66"/>
        <v>0</v>
      </c>
      <c r="G226" s="203">
        <f>3064.67</f>
        <v>3064.67</v>
      </c>
      <c r="H226" s="179"/>
      <c r="I226" s="204">
        <f t="shared" si="67"/>
        <v>3064.67</v>
      </c>
      <c r="J226" s="203"/>
      <c r="K226" s="179"/>
      <c r="L226" s="204">
        <f t="shared" si="68"/>
        <v>3064.67</v>
      </c>
      <c r="M226" s="154">
        <f>1864.04</f>
        <v>1864.04</v>
      </c>
      <c r="N226" s="230"/>
      <c r="O226" s="312">
        <f t="shared" si="69"/>
        <v>4928.71</v>
      </c>
      <c r="P226" s="209"/>
      <c r="Q226" s="208">
        <f t="shared" si="63"/>
        <v>4928.71</v>
      </c>
    </row>
    <row r="227" spans="1:17" ht="12.75">
      <c r="A227" s="17" t="s">
        <v>310</v>
      </c>
      <c r="B227" s="55">
        <v>2066</v>
      </c>
      <c r="C227" s="72"/>
      <c r="D227" s="133">
        <f>14775.7</f>
        <v>14775.7</v>
      </c>
      <c r="E227" s="71"/>
      <c r="F227" s="202">
        <f t="shared" si="66"/>
        <v>14775.7</v>
      </c>
      <c r="G227" s="203"/>
      <c r="H227" s="179"/>
      <c r="I227" s="204">
        <f t="shared" si="67"/>
        <v>14775.7</v>
      </c>
      <c r="J227" s="203"/>
      <c r="K227" s="179"/>
      <c r="L227" s="204">
        <f t="shared" si="68"/>
        <v>14775.7</v>
      </c>
      <c r="M227" s="154"/>
      <c r="N227" s="230"/>
      <c r="O227" s="312">
        <f t="shared" si="69"/>
        <v>14775.7</v>
      </c>
      <c r="P227" s="209"/>
      <c r="Q227" s="208">
        <f t="shared" si="63"/>
        <v>14775.7</v>
      </c>
    </row>
    <row r="228" spans="1:17" ht="12.75">
      <c r="A228" s="17" t="s">
        <v>347</v>
      </c>
      <c r="B228" s="55"/>
      <c r="C228" s="72"/>
      <c r="D228" s="133"/>
      <c r="E228" s="71"/>
      <c r="F228" s="202"/>
      <c r="G228" s="203"/>
      <c r="H228" s="179"/>
      <c r="I228" s="204">
        <f t="shared" si="67"/>
        <v>0</v>
      </c>
      <c r="J228" s="203">
        <f>14844.55-147.49</f>
        <v>14697.06</v>
      </c>
      <c r="K228" s="179"/>
      <c r="L228" s="204">
        <f t="shared" si="68"/>
        <v>14697.06</v>
      </c>
      <c r="M228" s="154">
        <f>43257.03+147.49</f>
        <v>43404.52</v>
      </c>
      <c r="N228" s="230"/>
      <c r="O228" s="312">
        <f t="shared" si="69"/>
        <v>58101.579999999994</v>
      </c>
      <c r="P228" s="209"/>
      <c r="Q228" s="208">
        <f t="shared" si="63"/>
        <v>58101.579999999994</v>
      </c>
    </row>
    <row r="229" spans="1:17" ht="12.75">
      <c r="A229" s="17" t="s">
        <v>334</v>
      </c>
      <c r="B229" s="55">
        <v>17051</v>
      </c>
      <c r="C229" s="72"/>
      <c r="D229" s="133"/>
      <c r="E229" s="71"/>
      <c r="F229" s="202">
        <f t="shared" si="66"/>
        <v>0</v>
      </c>
      <c r="G229" s="203">
        <f>6.93+7.72+14.14</f>
        <v>28.79</v>
      </c>
      <c r="H229" s="179"/>
      <c r="I229" s="204">
        <f t="shared" si="67"/>
        <v>28.79</v>
      </c>
      <c r="J229" s="203">
        <f>7.93+13.12+18.28</f>
        <v>39.33</v>
      </c>
      <c r="K229" s="179"/>
      <c r="L229" s="204">
        <f t="shared" si="68"/>
        <v>68.12</v>
      </c>
      <c r="M229" s="154"/>
      <c r="N229" s="230"/>
      <c r="O229" s="312">
        <f t="shared" si="69"/>
        <v>68.12</v>
      </c>
      <c r="P229" s="209">
        <f>25.8</f>
        <v>25.8</v>
      </c>
      <c r="Q229" s="208">
        <f t="shared" si="63"/>
        <v>93.92</v>
      </c>
    </row>
    <row r="230" spans="1:17" ht="12.75">
      <c r="A230" s="17" t="s">
        <v>75</v>
      </c>
      <c r="B230" s="104" t="s">
        <v>241</v>
      </c>
      <c r="C230" s="72">
        <v>6820</v>
      </c>
      <c r="D230" s="133">
        <f>6310.53+7999.21+191.86+35552.53</f>
        <v>50054.13</v>
      </c>
      <c r="E230" s="71"/>
      <c r="F230" s="202">
        <f t="shared" si="66"/>
        <v>56874.13</v>
      </c>
      <c r="G230" s="203">
        <f>-6664+41.66+174.49</f>
        <v>-6447.85</v>
      </c>
      <c r="H230" s="179"/>
      <c r="I230" s="204">
        <f>F230+G230+H230</f>
        <v>50426.28</v>
      </c>
      <c r="J230" s="203">
        <f>315</f>
        <v>315</v>
      </c>
      <c r="K230" s="179"/>
      <c r="L230" s="204">
        <f t="shared" si="68"/>
        <v>50741.28</v>
      </c>
      <c r="M230" s="168">
        <f>3500+6.07</f>
        <v>3506.07</v>
      </c>
      <c r="N230" s="230"/>
      <c r="O230" s="312">
        <f>L230+M230+N230</f>
        <v>54247.35</v>
      </c>
      <c r="P230" s="209">
        <f>6664+337.79+918.1</f>
        <v>7919.89</v>
      </c>
      <c r="Q230" s="208">
        <f t="shared" si="63"/>
        <v>62167.24</v>
      </c>
    </row>
    <row r="231" spans="1:17" ht="12.75">
      <c r="A231" s="17" t="s">
        <v>51</v>
      </c>
      <c r="B231" s="55"/>
      <c r="C231" s="72">
        <v>53295.41</v>
      </c>
      <c r="D231" s="133">
        <f>2000+2184.07+4900-15535.6-207+7000+20000+9000+6000</f>
        <v>35341.47</v>
      </c>
      <c r="E231" s="71"/>
      <c r="F231" s="202">
        <f t="shared" si="66"/>
        <v>88636.88</v>
      </c>
      <c r="G231" s="203">
        <f>-32323.94-1.1-750-6402.5</f>
        <v>-39477.53999999999</v>
      </c>
      <c r="H231" s="179"/>
      <c r="I231" s="204">
        <f>F231+G231+H231</f>
        <v>49159.34000000001</v>
      </c>
      <c r="J231" s="203">
        <f>463.4+1311.9-389.5+180.99-6.5-114.1</f>
        <v>1446.1900000000003</v>
      </c>
      <c r="K231" s="179"/>
      <c r="L231" s="204">
        <f t="shared" si="68"/>
        <v>50605.53000000001</v>
      </c>
      <c r="M231" s="168">
        <f>-15633.82-342.55-705.59-39.6+119.86-200</f>
        <v>-16801.699999999997</v>
      </c>
      <c r="N231" s="230"/>
      <c r="O231" s="312">
        <f>L231+M231+N231</f>
        <v>33803.830000000016</v>
      </c>
      <c r="P231" s="209">
        <f>1090.04+2952.8</f>
        <v>4042.84</v>
      </c>
      <c r="Q231" s="208">
        <f t="shared" si="63"/>
        <v>37846.67000000001</v>
      </c>
    </row>
    <row r="232" spans="1:17" ht="12.75">
      <c r="A232" s="20" t="s">
        <v>53</v>
      </c>
      <c r="B232" s="59"/>
      <c r="C232" s="80">
        <f>SUM(C234:C242)</f>
        <v>740</v>
      </c>
      <c r="D232" s="137">
        <f aca="true" t="shared" si="70" ref="D232:Q232">SUM(D234:D242)</f>
        <v>10063.7</v>
      </c>
      <c r="E232" s="81">
        <f t="shared" si="70"/>
        <v>0</v>
      </c>
      <c r="F232" s="256">
        <f t="shared" si="70"/>
        <v>10803.7</v>
      </c>
      <c r="G232" s="223">
        <f t="shared" si="70"/>
        <v>7957</v>
      </c>
      <c r="H232" s="190">
        <f t="shared" si="70"/>
        <v>0</v>
      </c>
      <c r="I232" s="236">
        <f t="shared" si="70"/>
        <v>18760.7</v>
      </c>
      <c r="J232" s="223">
        <f t="shared" si="70"/>
        <v>868.8</v>
      </c>
      <c r="K232" s="190">
        <f t="shared" si="70"/>
        <v>0</v>
      </c>
      <c r="L232" s="236">
        <f t="shared" si="70"/>
        <v>19629.5</v>
      </c>
      <c r="M232" s="166">
        <f t="shared" si="70"/>
        <v>4186.65</v>
      </c>
      <c r="N232" s="296">
        <f t="shared" si="70"/>
        <v>0</v>
      </c>
      <c r="O232" s="316">
        <f t="shared" si="70"/>
        <v>23816.15</v>
      </c>
      <c r="P232" s="223">
        <f t="shared" si="70"/>
        <v>5905.43</v>
      </c>
      <c r="Q232" s="149">
        <f t="shared" si="70"/>
        <v>29721.58</v>
      </c>
    </row>
    <row r="233" spans="1:17" ht="12.75">
      <c r="A233" s="15" t="s">
        <v>26</v>
      </c>
      <c r="B233" s="55"/>
      <c r="C233" s="72"/>
      <c r="D233" s="133"/>
      <c r="E233" s="71"/>
      <c r="F233" s="202"/>
      <c r="G233" s="203"/>
      <c r="H233" s="179"/>
      <c r="I233" s="205"/>
      <c r="J233" s="203"/>
      <c r="K233" s="179"/>
      <c r="L233" s="205"/>
      <c r="M233" s="154"/>
      <c r="N233" s="230"/>
      <c r="O233" s="311"/>
      <c r="P233" s="209"/>
      <c r="Q233" s="208"/>
    </row>
    <row r="234" spans="1:17" ht="12.75">
      <c r="A234" s="17" t="s">
        <v>83</v>
      </c>
      <c r="B234" s="55"/>
      <c r="C234" s="72">
        <v>740</v>
      </c>
      <c r="D234" s="133">
        <f>701.01</f>
        <v>701.01</v>
      </c>
      <c r="E234" s="71"/>
      <c r="F234" s="202">
        <f aca="true" t="shared" si="71" ref="F234:F242">C234+D234+E234</f>
        <v>1441.01</v>
      </c>
      <c r="G234" s="203">
        <f>593+700</f>
        <v>1293</v>
      </c>
      <c r="H234" s="179"/>
      <c r="I234" s="204">
        <f aca="true" t="shared" si="72" ref="I234:I242">F234+G234+H234</f>
        <v>2734.01</v>
      </c>
      <c r="J234" s="203">
        <f>173.8+695</f>
        <v>868.8</v>
      </c>
      <c r="K234" s="179"/>
      <c r="L234" s="204">
        <f aca="true" t="shared" si="73" ref="L234:L242">I234+J234+K234</f>
        <v>3602.8100000000004</v>
      </c>
      <c r="M234" s="154">
        <f>1787.65+1354</f>
        <v>3141.65</v>
      </c>
      <c r="N234" s="230"/>
      <c r="O234" s="312">
        <f aca="true" t="shared" si="74" ref="O234:O242">L234+M234+N234</f>
        <v>6744.460000000001</v>
      </c>
      <c r="P234" s="209">
        <f>400.23</f>
        <v>400.23</v>
      </c>
      <c r="Q234" s="208">
        <f t="shared" si="63"/>
        <v>7144.6900000000005</v>
      </c>
    </row>
    <row r="235" spans="1:17" ht="12.75" hidden="1">
      <c r="A235" s="17" t="s">
        <v>243</v>
      </c>
      <c r="B235" s="55" t="s">
        <v>245</v>
      </c>
      <c r="C235" s="72"/>
      <c r="D235" s="133"/>
      <c r="E235" s="71"/>
      <c r="F235" s="202">
        <f t="shared" si="71"/>
        <v>0</v>
      </c>
      <c r="G235" s="203"/>
      <c r="H235" s="179"/>
      <c r="I235" s="204">
        <f t="shared" si="72"/>
        <v>0</v>
      </c>
      <c r="J235" s="203"/>
      <c r="K235" s="179"/>
      <c r="L235" s="204">
        <f t="shared" si="73"/>
        <v>0</v>
      </c>
      <c r="M235" s="154"/>
      <c r="N235" s="230"/>
      <c r="O235" s="312">
        <f t="shared" si="74"/>
        <v>0</v>
      </c>
      <c r="P235" s="209"/>
      <c r="Q235" s="208">
        <f t="shared" si="63"/>
        <v>0</v>
      </c>
    </row>
    <row r="236" spans="1:17" ht="12.75">
      <c r="A236" s="17" t="s">
        <v>310</v>
      </c>
      <c r="B236" s="55"/>
      <c r="C236" s="72"/>
      <c r="D236" s="133">
        <f>4004.56</f>
        <v>4004.56</v>
      </c>
      <c r="E236" s="71"/>
      <c r="F236" s="202">
        <f t="shared" si="71"/>
        <v>4004.56</v>
      </c>
      <c r="G236" s="203"/>
      <c r="H236" s="179"/>
      <c r="I236" s="204">
        <f t="shared" si="72"/>
        <v>4004.56</v>
      </c>
      <c r="J236" s="203"/>
      <c r="K236" s="179"/>
      <c r="L236" s="204">
        <f t="shared" si="73"/>
        <v>4004.56</v>
      </c>
      <c r="M236" s="154"/>
      <c r="N236" s="230"/>
      <c r="O236" s="312">
        <f t="shared" si="74"/>
        <v>4004.56</v>
      </c>
      <c r="P236" s="209"/>
      <c r="Q236" s="208">
        <f t="shared" si="63"/>
        <v>4004.56</v>
      </c>
    </row>
    <row r="237" spans="1:17" ht="12.75">
      <c r="A237" s="17" t="s">
        <v>347</v>
      </c>
      <c r="B237" s="55">
        <v>2066</v>
      </c>
      <c r="C237" s="72"/>
      <c r="D237" s="133"/>
      <c r="E237" s="71"/>
      <c r="F237" s="202"/>
      <c r="G237" s="203"/>
      <c r="H237" s="179"/>
      <c r="I237" s="204"/>
      <c r="J237" s="203"/>
      <c r="K237" s="179"/>
      <c r="L237" s="204">
        <f t="shared" si="73"/>
        <v>0</v>
      </c>
      <c r="M237" s="154">
        <f>1045</f>
        <v>1045</v>
      </c>
      <c r="N237" s="230"/>
      <c r="O237" s="312">
        <f t="shared" si="74"/>
        <v>1045</v>
      </c>
      <c r="P237" s="209"/>
      <c r="Q237" s="208">
        <f t="shared" si="63"/>
        <v>1045</v>
      </c>
    </row>
    <row r="238" spans="1:17" ht="12.75">
      <c r="A238" s="17" t="s">
        <v>381</v>
      </c>
      <c r="B238" s="55">
        <v>29501</v>
      </c>
      <c r="C238" s="72"/>
      <c r="D238" s="133"/>
      <c r="E238" s="71"/>
      <c r="F238" s="202"/>
      <c r="G238" s="203"/>
      <c r="H238" s="179"/>
      <c r="I238" s="204"/>
      <c r="J238" s="203"/>
      <c r="K238" s="179"/>
      <c r="L238" s="204">
        <f t="shared" si="73"/>
        <v>0</v>
      </c>
      <c r="M238" s="154"/>
      <c r="N238" s="230"/>
      <c r="O238" s="312">
        <f t="shared" si="74"/>
        <v>0</v>
      </c>
      <c r="P238" s="209">
        <f>5505.2</f>
        <v>5505.2</v>
      </c>
      <c r="Q238" s="208">
        <f t="shared" si="63"/>
        <v>5505.2</v>
      </c>
    </row>
    <row r="239" spans="1:17" ht="12.75" hidden="1">
      <c r="A239" s="17" t="s">
        <v>67</v>
      </c>
      <c r="B239" s="55"/>
      <c r="C239" s="72"/>
      <c r="D239" s="133"/>
      <c r="E239" s="71"/>
      <c r="F239" s="202">
        <f t="shared" si="71"/>
        <v>0</v>
      </c>
      <c r="G239" s="203"/>
      <c r="H239" s="179"/>
      <c r="I239" s="204">
        <f t="shared" si="72"/>
        <v>0</v>
      </c>
      <c r="J239" s="203"/>
      <c r="K239" s="179"/>
      <c r="L239" s="204">
        <f t="shared" si="73"/>
        <v>0</v>
      </c>
      <c r="M239" s="154"/>
      <c r="N239" s="230"/>
      <c r="O239" s="312">
        <f t="shared" si="74"/>
        <v>0</v>
      </c>
      <c r="P239" s="209"/>
      <c r="Q239" s="208">
        <f t="shared" si="63"/>
        <v>0</v>
      </c>
    </row>
    <row r="240" spans="1:17" ht="12.75" hidden="1">
      <c r="A240" s="17" t="s">
        <v>84</v>
      </c>
      <c r="B240" s="55"/>
      <c r="C240" s="72"/>
      <c r="D240" s="133"/>
      <c r="E240" s="71"/>
      <c r="F240" s="202">
        <f t="shared" si="71"/>
        <v>0</v>
      </c>
      <c r="G240" s="203"/>
      <c r="H240" s="179"/>
      <c r="I240" s="204">
        <f t="shared" si="72"/>
        <v>0</v>
      </c>
      <c r="J240" s="203"/>
      <c r="K240" s="179"/>
      <c r="L240" s="204">
        <f t="shared" si="73"/>
        <v>0</v>
      </c>
      <c r="M240" s="154"/>
      <c r="N240" s="230"/>
      <c r="O240" s="312">
        <f t="shared" si="74"/>
        <v>0</v>
      </c>
      <c r="P240" s="209"/>
      <c r="Q240" s="208">
        <f t="shared" si="63"/>
        <v>0</v>
      </c>
    </row>
    <row r="241" spans="1:17" ht="12.75" hidden="1">
      <c r="A241" s="17" t="s">
        <v>54</v>
      </c>
      <c r="B241" s="55"/>
      <c r="C241" s="72"/>
      <c r="D241" s="133"/>
      <c r="E241" s="71"/>
      <c r="F241" s="202">
        <f t="shared" si="71"/>
        <v>0</v>
      </c>
      <c r="G241" s="203"/>
      <c r="H241" s="179"/>
      <c r="I241" s="204">
        <f t="shared" si="72"/>
        <v>0</v>
      </c>
      <c r="J241" s="203"/>
      <c r="K241" s="184"/>
      <c r="L241" s="204">
        <f t="shared" si="73"/>
        <v>0</v>
      </c>
      <c r="M241" s="154"/>
      <c r="N241" s="230"/>
      <c r="O241" s="312">
        <f t="shared" si="74"/>
        <v>0</v>
      </c>
      <c r="P241" s="209"/>
      <c r="Q241" s="208">
        <f t="shared" si="63"/>
        <v>0</v>
      </c>
    </row>
    <row r="242" spans="1:17" ht="12.75">
      <c r="A242" s="23" t="s">
        <v>75</v>
      </c>
      <c r="B242" s="58"/>
      <c r="C242" s="115"/>
      <c r="D242" s="138">
        <f>4858.13+500</f>
        <v>5358.13</v>
      </c>
      <c r="E242" s="79"/>
      <c r="F242" s="257">
        <f t="shared" si="71"/>
        <v>5358.13</v>
      </c>
      <c r="G242" s="224">
        <f>6664</f>
        <v>6664</v>
      </c>
      <c r="H242" s="182"/>
      <c r="I242" s="237">
        <f t="shared" si="72"/>
        <v>12022.130000000001</v>
      </c>
      <c r="J242" s="224"/>
      <c r="K242" s="185"/>
      <c r="L242" s="237">
        <f t="shared" si="73"/>
        <v>12022.130000000001</v>
      </c>
      <c r="M242" s="153"/>
      <c r="N242" s="297"/>
      <c r="O242" s="317">
        <f t="shared" si="74"/>
        <v>12022.130000000001</v>
      </c>
      <c r="P242" s="276"/>
      <c r="Q242" s="282">
        <f t="shared" si="63"/>
        <v>12022.130000000001</v>
      </c>
    </row>
    <row r="243" spans="1:17" ht="12.75">
      <c r="A243" s="10" t="s">
        <v>85</v>
      </c>
      <c r="B243" s="59"/>
      <c r="C243" s="69">
        <f aca="true" t="shared" si="75" ref="C243:Q243">C244+C256</f>
        <v>675790.6</v>
      </c>
      <c r="D243" s="132">
        <f t="shared" si="75"/>
        <v>147005.25</v>
      </c>
      <c r="E243" s="70">
        <f t="shared" si="75"/>
        <v>0</v>
      </c>
      <c r="F243" s="92">
        <f t="shared" si="75"/>
        <v>822795.85</v>
      </c>
      <c r="G243" s="219">
        <f t="shared" si="75"/>
        <v>5424.8</v>
      </c>
      <c r="H243" s="178">
        <f t="shared" si="75"/>
        <v>0</v>
      </c>
      <c r="I243" s="205">
        <f t="shared" si="75"/>
        <v>828220.65</v>
      </c>
      <c r="J243" s="219">
        <f t="shared" si="75"/>
        <v>548</v>
      </c>
      <c r="K243" s="178">
        <f t="shared" si="75"/>
        <v>0</v>
      </c>
      <c r="L243" s="205">
        <f t="shared" si="75"/>
        <v>828768.65</v>
      </c>
      <c r="M243" s="150">
        <f t="shared" si="75"/>
        <v>0</v>
      </c>
      <c r="N243" s="229">
        <f t="shared" si="75"/>
        <v>-45819.99999999999</v>
      </c>
      <c r="O243" s="311">
        <f t="shared" si="75"/>
        <v>782948.65</v>
      </c>
      <c r="P243" s="219">
        <f t="shared" si="75"/>
        <v>0</v>
      </c>
      <c r="Q243" s="143">
        <f t="shared" si="75"/>
        <v>782948.65</v>
      </c>
    </row>
    <row r="244" spans="1:17" ht="12.75">
      <c r="A244" s="19" t="s">
        <v>49</v>
      </c>
      <c r="B244" s="59"/>
      <c r="C244" s="77">
        <f aca="true" t="shared" si="76" ref="C244:Q244">SUM(C246:C255)</f>
        <v>675790.6</v>
      </c>
      <c r="D244" s="136">
        <f t="shared" si="76"/>
        <v>121242.75</v>
      </c>
      <c r="E244" s="78">
        <f t="shared" si="76"/>
        <v>0</v>
      </c>
      <c r="F244" s="201">
        <f t="shared" si="76"/>
        <v>797033.35</v>
      </c>
      <c r="G244" s="222">
        <f t="shared" si="76"/>
        <v>4024.8</v>
      </c>
      <c r="H244" s="183">
        <f t="shared" si="76"/>
        <v>0</v>
      </c>
      <c r="I244" s="235">
        <f t="shared" si="76"/>
        <v>801058.15</v>
      </c>
      <c r="J244" s="222">
        <f t="shared" si="76"/>
        <v>548</v>
      </c>
      <c r="K244" s="183">
        <f t="shared" si="76"/>
        <v>0</v>
      </c>
      <c r="L244" s="235">
        <f t="shared" si="76"/>
        <v>801606.15</v>
      </c>
      <c r="M244" s="151">
        <f t="shared" si="76"/>
        <v>-2645.9900000000002</v>
      </c>
      <c r="N244" s="295">
        <f t="shared" si="76"/>
        <v>-87911.48999999999</v>
      </c>
      <c r="O244" s="315">
        <f t="shared" si="76"/>
        <v>711048.67</v>
      </c>
      <c r="P244" s="222">
        <f t="shared" si="76"/>
        <v>0</v>
      </c>
      <c r="Q244" s="148">
        <f t="shared" si="76"/>
        <v>711048.67</v>
      </c>
    </row>
    <row r="245" spans="1:17" ht="12.75">
      <c r="A245" s="15" t="s">
        <v>26</v>
      </c>
      <c r="B245" s="55"/>
      <c r="C245" s="72"/>
      <c r="D245" s="133"/>
      <c r="E245" s="71"/>
      <c r="F245" s="92"/>
      <c r="G245" s="203"/>
      <c r="H245" s="179"/>
      <c r="I245" s="205"/>
      <c r="J245" s="203"/>
      <c r="K245" s="179"/>
      <c r="L245" s="205"/>
      <c r="M245" s="154"/>
      <c r="N245" s="230"/>
      <c r="O245" s="311"/>
      <c r="P245" s="209"/>
      <c r="Q245" s="208"/>
    </row>
    <row r="246" spans="1:17" ht="12.75">
      <c r="A246" s="12" t="s">
        <v>72</v>
      </c>
      <c r="B246" s="55"/>
      <c r="C246" s="72">
        <v>336314.6</v>
      </c>
      <c r="D246" s="133">
        <f>27000+11394.25+27.2</f>
        <v>38421.45</v>
      </c>
      <c r="E246" s="71"/>
      <c r="F246" s="202">
        <f aca="true" t="shared" si="77" ref="F246:F255">C246+D246+E246</f>
        <v>374736.05</v>
      </c>
      <c r="G246" s="203"/>
      <c r="H246" s="179"/>
      <c r="I246" s="204">
        <f aca="true" t="shared" si="78" ref="I246:I255">F246+G246+H246</f>
        <v>374736.05</v>
      </c>
      <c r="J246" s="203">
        <f>200+368</f>
        <v>568</v>
      </c>
      <c r="K246" s="179"/>
      <c r="L246" s="204">
        <f aca="true" t="shared" si="79" ref="L246:L255">I246+J246+K246</f>
        <v>375304.05</v>
      </c>
      <c r="M246" s="154"/>
      <c r="N246" s="230">
        <f>-13060-42091.49</f>
        <v>-55151.49</v>
      </c>
      <c r="O246" s="312">
        <f aca="true" t="shared" si="80" ref="O246:O255">L246+M246+N246</f>
        <v>320152.56</v>
      </c>
      <c r="P246" s="209"/>
      <c r="Q246" s="208">
        <f>O246+P246</f>
        <v>320152.56</v>
      </c>
    </row>
    <row r="247" spans="1:17" ht="12.75" hidden="1">
      <c r="A247" s="56" t="s">
        <v>189</v>
      </c>
      <c r="B247" s="55"/>
      <c r="C247" s="72"/>
      <c r="D247" s="133"/>
      <c r="E247" s="71"/>
      <c r="F247" s="202">
        <f t="shared" si="77"/>
        <v>0</v>
      </c>
      <c r="G247" s="203"/>
      <c r="H247" s="179"/>
      <c r="I247" s="204">
        <f t="shared" si="78"/>
        <v>0</v>
      </c>
      <c r="J247" s="203"/>
      <c r="K247" s="179"/>
      <c r="L247" s="204"/>
      <c r="M247" s="154"/>
      <c r="N247" s="230"/>
      <c r="O247" s="312">
        <f t="shared" si="80"/>
        <v>0</v>
      </c>
      <c r="P247" s="209"/>
      <c r="Q247" s="208"/>
    </row>
    <row r="248" spans="1:17" ht="12.75">
      <c r="A248" s="17" t="s">
        <v>63</v>
      </c>
      <c r="B248" s="55"/>
      <c r="C248" s="72">
        <v>231476</v>
      </c>
      <c r="D248" s="133">
        <f>60418.83</f>
        <v>60418.83</v>
      </c>
      <c r="E248" s="71"/>
      <c r="F248" s="202">
        <f t="shared" si="77"/>
        <v>291894.83</v>
      </c>
      <c r="G248" s="203"/>
      <c r="H248" s="179">
        <f>1375.23</f>
        <v>1375.23</v>
      </c>
      <c r="I248" s="204">
        <f t="shared" si="78"/>
        <v>293270.06</v>
      </c>
      <c r="J248" s="203">
        <f>-107.41</f>
        <v>-107.41</v>
      </c>
      <c r="K248" s="179"/>
      <c r="L248" s="204">
        <f t="shared" si="79"/>
        <v>293162.65</v>
      </c>
      <c r="M248" s="154">
        <f>104.01+1436.51</f>
        <v>1540.52</v>
      </c>
      <c r="N248" s="230">
        <f>-32760+1000</f>
        <v>-31760</v>
      </c>
      <c r="O248" s="312">
        <f t="shared" si="80"/>
        <v>262943.17000000004</v>
      </c>
      <c r="P248" s="209"/>
      <c r="Q248" s="208">
        <f>O248+P248</f>
        <v>262943.17000000004</v>
      </c>
    </row>
    <row r="249" spans="1:17" ht="12.75" hidden="1">
      <c r="A249" s="17" t="s">
        <v>158</v>
      </c>
      <c r="B249" s="55"/>
      <c r="C249" s="72">
        <v>0</v>
      </c>
      <c r="D249" s="139"/>
      <c r="E249" s="71"/>
      <c r="F249" s="202">
        <f t="shared" si="77"/>
        <v>0</v>
      </c>
      <c r="G249" s="203"/>
      <c r="H249" s="179"/>
      <c r="I249" s="204">
        <f t="shared" si="78"/>
        <v>0</v>
      </c>
      <c r="J249" s="203"/>
      <c r="K249" s="179"/>
      <c r="L249" s="204"/>
      <c r="M249" s="154"/>
      <c r="N249" s="230"/>
      <c r="O249" s="312">
        <f t="shared" si="80"/>
        <v>0</v>
      </c>
      <c r="P249" s="209"/>
      <c r="Q249" s="208"/>
    </row>
    <row r="250" spans="1:17" ht="12.75">
      <c r="A250" s="17" t="s">
        <v>51</v>
      </c>
      <c r="B250" s="55"/>
      <c r="C250" s="116">
        <v>108000</v>
      </c>
      <c r="D250" s="133">
        <f>21500+599.97</f>
        <v>22099.97</v>
      </c>
      <c r="E250" s="71"/>
      <c r="F250" s="202">
        <f t="shared" si="77"/>
        <v>130099.97</v>
      </c>
      <c r="G250" s="203">
        <f>-1400</f>
        <v>-1400</v>
      </c>
      <c r="H250" s="179">
        <f>-1375.23</f>
        <v>-1375.23</v>
      </c>
      <c r="I250" s="204">
        <f t="shared" si="78"/>
        <v>127324.74</v>
      </c>
      <c r="J250" s="203">
        <f>-200+107.41</f>
        <v>-92.59</v>
      </c>
      <c r="K250" s="179"/>
      <c r="L250" s="204">
        <f t="shared" si="79"/>
        <v>127232.15000000001</v>
      </c>
      <c r="M250" s="154">
        <f>-2750-1436.51</f>
        <v>-4186.51</v>
      </c>
      <c r="N250" s="230">
        <f>-1000</f>
        <v>-1000</v>
      </c>
      <c r="O250" s="312">
        <f t="shared" si="80"/>
        <v>122045.64000000001</v>
      </c>
      <c r="P250" s="209"/>
      <c r="Q250" s="208">
        <f aca="true" t="shared" si="81" ref="Q250:Q255">O250+P250</f>
        <v>122045.64000000001</v>
      </c>
    </row>
    <row r="251" spans="1:17" ht="12.75">
      <c r="A251" s="17" t="s">
        <v>76</v>
      </c>
      <c r="B251" s="55"/>
      <c r="C251" s="116"/>
      <c r="D251" s="133">
        <f>302.5</f>
        <v>302.5</v>
      </c>
      <c r="E251" s="71"/>
      <c r="F251" s="202">
        <f t="shared" si="77"/>
        <v>302.5</v>
      </c>
      <c r="G251" s="203"/>
      <c r="H251" s="179"/>
      <c r="I251" s="204">
        <f t="shared" si="78"/>
        <v>302.5</v>
      </c>
      <c r="J251" s="203"/>
      <c r="K251" s="179"/>
      <c r="L251" s="204">
        <f t="shared" si="79"/>
        <v>302.5</v>
      </c>
      <c r="M251" s="154"/>
      <c r="N251" s="230"/>
      <c r="O251" s="312">
        <f t="shared" si="80"/>
        <v>302.5</v>
      </c>
      <c r="P251" s="209"/>
      <c r="Q251" s="208">
        <f t="shared" si="81"/>
        <v>302.5</v>
      </c>
    </row>
    <row r="252" spans="1:17" ht="12.75">
      <c r="A252" s="33" t="s">
        <v>348</v>
      </c>
      <c r="B252" s="55">
        <v>35028</v>
      </c>
      <c r="C252" s="116"/>
      <c r="D252" s="133"/>
      <c r="E252" s="71"/>
      <c r="F252" s="202">
        <f t="shared" si="77"/>
        <v>0</v>
      </c>
      <c r="G252" s="203"/>
      <c r="H252" s="179"/>
      <c r="I252" s="204">
        <f t="shared" si="78"/>
        <v>0</v>
      </c>
      <c r="J252" s="203">
        <f>180</f>
        <v>180</v>
      </c>
      <c r="K252" s="179"/>
      <c r="L252" s="204">
        <f t="shared" si="79"/>
        <v>180</v>
      </c>
      <c r="M252" s="154"/>
      <c r="N252" s="230"/>
      <c r="O252" s="312">
        <f t="shared" si="80"/>
        <v>180</v>
      </c>
      <c r="P252" s="209"/>
      <c r="Q252" s="208">
        <f t="shared" si="81"/>
        <v>180</v>
      </c>
    </row>
    <row r="253" spans="1:17" ht="12.75">
      <c r="A253" s="17" t="s">
        <v>251</v>
      </c>
      <c r="B253" s="55">
        <v>35018</v>
      </c>
      <c r="C253" s="116"/>
      <c r="D253" s="133"/>
      <c r="E253" s="71"/>
      <c r="F253" s="202">
        <f t="shared" si="77"/>
        <v>0</v>
      </c>
      <c r="G253" s="203">
        <f>1900+3524.8</f>
        <v>5424.8</v>
      </c>
      <c r="H253" s="179"/>
      <c r="I253" s="204">
        <f t="shared" si="78"/>
        <v>5424.8</v>
      </c>
      <c r="J253" s="203"/>
      <c r="K253" s="179"/>
      <c r="L253" s="204">
        <f t="shared" si="79"/>
        <v>5424.8</v>
      </c>
      <c r="M253" s="154"/>
      <c r="N253" s="230"/>
      <c r="O253" s="312">
        <f t="shared" si="80"/>
        <v>5424.8</v>
      </c>
      <c r="P253" s="209"/>
      <c r="Q253" s="208">
        <f t="shared" si="81"/>
        <v>5424.8</v>
      </c>
    </row>
    <row r="254" spans="1:17" ht="12.75" hidden="1">
      <c r="A254" s="17" t="s">
        <v>279</v>
      </c>
      <c r="B254" s="55"/>
      <c r="C254" s="116"/>
      <c r="D254" s="133"/>
      <c r="E254" s="71"/>
      <c r="F254" s="202">
        <f t="shared" si="77"/>
        <v>0</v>
      </c>
      <c r="G254" s="203"/>
      <c r="H254" s="179"/>
      <c r="I254" s="204">
        <f t="shared" si="78"/>
        <v>0</v>
      </c>
      <c r="J254" s="203"/>
      <c r="K254" s="179"/>
      <c r="L254" s="204">
        <f t="shared" si="79"/>
        <v>0</v>
      </c>
      <c r="M254" s="154"/>
      <c r="N254" s="230"/>
      <c r="O254" s="312">
        <f t="shared" si="80"/>
        <v>0</v>
      </c>
      <c r="P254" s="209"/>
      <c r="Q254" s="208">
        <f t="shared" si="81"/>
        <v>0</v>
      </c>
    </row>
    <row r="255" spans="1:17" ht="12.75" hidden="1">
      <c r="A255" s="17" t="s">
        <v>86</v>
      </c>
      <c r="B255" s="55"/>
      <c r="C255" s="72"/>
      <c r="D255" s="133"/>
      <c r="E255" s="71"/>
      <c r="F255" s="202">
        <f t="shared" si="77"/>
        <v>0</v>
      </c>
      <c r="G255" s="203"/>
      <c r="H255" s="179"/>
      <c r="I255" s="204">
        <f t="shared" si="78"/>
        <v>0</v>
      </c>
      <c r="J255" s="203"/>
      <c r="K255" s="179"/>
      <c r="L255" s="204">
        <f t="shared" si="79"/>
        <v>0</v>
      </c>
      <c r="M255" s="154"/>
      <c r="N255" s="230"/>
      <c r="O255" s="312">
        <f t="shared" si="80"/>
        <v>0</v>
      </c>
      <c r="P255" s="209"/>
      <c r="Q255" s="208">
        <f t="shared" si="81"/>
        <v>0</v>
      </c>
    </row>
    <row r="256" spans="1:17" ht="12.75">
      <c r="A256" s="19" t="s">
        <v>53</v>
      </c>
      <c r="B256" s="59"/>
      <c r="C256" s="77">
        <f>SUM(C258:C262)</f>
        <v>0</v>
      </c>
      <c r="D256" s="136">
        <f aca="true" t="shared" si="82" ref="D256:Q256">SUM(D258:D262)</f>
        <v>25762.5</v>
      </c>
      <c r="E256" s="78">
        <f t="shared" si="82"/>
        <v>0</v>
      </c>
      <c r="F256" s="201">
        <f t="shared" si="82"/>
        <v>25762.5</v>
      </c>
      <c r="G256" s="222">
        <f t="shared" si="82"/>
        <v>1400</v>
      </c>
      <c r="H256" s="183">
        <f t="shared" si="82"/>
        <v>0</v>
      </c>
      <c r="I256" s="235">
        <f t="shared" si="82"/>
        <v>27162.5</v>
      </c>
      <c r="J256" s="222">
        <f t="shared" si="82"/>
        <v>0</v>
      </c>
      <c r="K256" s="183">
        <f t="shared" si="82"/>
        <v>0</v>
      </c>
      <c r="L256" s="235">
        <f t="shared" si="82"/>
        <v>27162.5</v>
      </c>
      <c r="M256" s="151">
        <f t="shared" si="82"/>
        <v>2645.99</v>
      </c>
      <c r="N256" s="295">
        <f t="shared" si="82"/>
        <v>42091.49</v>
      </c>
      <c r="O256" s="315">
        <f t="shared" si="82"/>
        <v>71899.98</v>
      </c>
      <c r="P256" s="222">
        <f t="shared" si="82"/>
        <v>0</v>
      </c>
      <c r="Q256" s="148">
        <f t="shared" si="82"/>
        <v>71899.98</v>
      </c>
    </row>
    <row r="257" spans="1:17" ht="12.75">
      <c r="A257" s="15" t="s">
        <v>26</v>
      </c>
      <c r="B257" s="55"/>
      <c r="C257" s="72"/>
      <c r="D257" s="133"/>
      <c r="E257" s="71"/>
      <c r="F257" s="202"/>
      <c r="G257" s="203"/>
      <c r="H257" s="179"/>
      <c r="I257" s="204"/>
      <c r="J257" s="203"/>
      <c r="K257" s="179"/>
      <c r="L257" s="204"/>
      <c r="M257" s="154"/>
      <c r="N257" s="230"/>
      <c r="O257" s="312"/>
      <c r="P257" s="209"/>
      <c r="Q257" s="208"/>
    </row>
    <row r="258" spans="1:17" ht="12.75" hidden="1">
      <c r="A258" s="17" t="s">
        <v>54</v>
      </c>
      <c r="B258" s="55"/>
      <c r="C258" s="72">
        <v>0</v>
      </c>
      <c r="D258" s="133"/>
      <c r="E258" s="71"/>
      <c r="F258" s="202">
        <f>C258+D258+E258</f>
        <v>0</v>
      </c>
      <c r="G258" s="203"/>
      <c r="H258" s="179"/>
      <c r="I258" s="204"/>
      <c r="J258" s="203"/>
      <c r="K258" s="179"/>
      <c r="L258" s="204"/>
      <c r="M258" s="154"/>
      <c r="N258" s="230"/>
      <c r="O258" s="312"/>
      <c r="P258" s="209"/>
      <c r="Q258" s="208"/>
    </row>
    <row r="259" spans="1:17" ht="12.75">
      <c r="A259" s="17" t="s">
        <v>218</v>
      </c>
      <c r="B259" s="55"/>
      <c r="C259" s="72"/>
      <c r="D259" s="139">
        <f>25762.5</f>
        <v>25762.5</v>
      </c>
      <c r="E259" s="71"/>
      <c r="F259" s="202">
        <f>C259+D259+E259</f>
        <v>25762.5</v>
      </c>
      <c r="G259" s="203">
        <f>1400</f>
        <v>1400</v>
      </c>
      <c r="H259" s="179"/>
      <c r="I259" s="204">
        <f>F259+G259+H259</f>
        <v>27162.5</v>
      </c>
      <c r="J259" s="203"/>
      <c r="K259" s="179"/>
      <c r="L259" s="204">
        <f>I259+J259+K259</f>
        <v>27162.5</v>
      </c>
      <c r="M259" s="154">
        <f>2750-104.01</f>
        <v>2645.99</v>
      </c>
      <c r="N259" s="230"/>
      <c r="O259" s="312">
        <f>L259+M259+N259</f>
        <v>29808.489999999998</v>
      </c>
      <c r="P259" s="209"/>
      <c r="Q259" s="208">
        <f>O259+P259</f>
        <v>29808.489999999998</v>
      </c>
    </row>
    <row r="260" spans="1:17" ht="12.75">
      <c r="A260" s="23" t="s">
        <v>83</v>
      </c>
      <c r="B260" s="58"/>
      <c r="C260" s="115"/>
      <c r="D260" s="138"/>
      <c r="E260" s="79"/>
      <c r="F260" s="257">
        <f>C260+D260+E260</f>
        <v>0</v>
      </c>
      <c r="G260" s="224"/>
      <c r="H260" s="182"/>
      <c r="I260" s="237">
        <f>F260+G260+H260</f>
        <v>0</v>
      </c>
      <c r="J260" s="224"/>
      <c r="K260" s="182"/>
      <c r="L260" s="237">
        <f>I260+J260+K260</f>
        <v>0</v>
      </c>
      <c r="M260" s="153"/>
      <c r="N260" s="297">
        <f>42091.49</f>
        <v>42091.49</v>
      </c>
      <c r="O260" s="317">
        <f>L260+M260+N260</f>
        <v>42091.49</v>
      </c>
      <c r="P260" s="276"/>
      <c r="Q260" s="282">
        <f>O260+P260</f>
        <v>42091.49</v>
      </c>
    </row>
    <row r="261" spans="1:17" ht="12.75" hidden="1">
      <c r="A261" s="17" t="s">
        <v>193</v>
      </c>
      <c r="B261" s="55"/>
      <c r="C261" s="72"/>
      <c r="D261" s="133"/>
      <c r="E261" s="71"/>
      <c r="F261" s="202">
        <f>C261+D261+E261</f>
        <v>0</v>
      </c>
      <c r="G261" s="224"/>
      <c r="H261" s="182"/>
      <c r="I261" s="237">
        <f>F261+G261+H261</f>
        <v>0</v>
      </c>
      <c r="J261" s="224"/>
      <c r="K261" s="182"/>
      <c r="L261" s="237">
        <f>I261+J261+K261</f>
        <v>0</v>
      </c>
      <c r="M261" s="153"/>
      <c r="N261" s="297"/>
      <c r="O261" s="317">
        <f>L261+M261+N261</f>
        <v>0</v>
      </c>
      <c r="P261" s="276"/>
      <c r="Q261" s="282">
        <f>O261+P261</f>
        <v>0</v>
      </c>
    </row>
    <row r="262" spans="1:17" ht="12.75" hidden="1">
      <c r="A262" s="16" t="s">
        <v>76</v>
      </c>
      <c r="B262" s="58"/>
      <c r="C262" s="115"/>
      <c r="D262" s="138"/>
      <c r="E262" s="79"/>
      <c r="F262" s="257">
        <f>C262+D262+E262</f>
        <v>0</v>
      </c>
      <c r="G262" s="224"/>
      <c r="H262" s="182"/>
      <c r="I262" s="237">
        <f>F262+G262+H262</f>
        <v>0</v>
      </c>
      <c r="J262" s="224"/>
      <c r="K262" s="182"/>
      <c r="L262" s="237">
        <f>I262+J262+K262</f>
        <v>0</v>
      </c>
      <c r="M262" s="153"/>
      <c r="N262" s="297"/>
      <c r="O262" s="317">
        <f>L262+M262+N262</f>
        <v>0</v>
      </c>
      <c r="P262" s="276"/>
      <c r="Q262" s="282">
        <f>O262+P262</f>
        <v>0</v>
      </c>
    </row>
    <row r="263" spans="1:17" ht="12.75">
      <c r="A263" s="24" t="s">
        <v>285</v>
      </c>
      <c r="B263" s="60"/>
      <c r="C263" s="73">
        <f aca="true" t="shared" si="83" ref="C263:Q263">C264+C283</f>
        <v>262309.5</v>
      </c>
      <c r="D263" s="134">
        <f t="shared" si="83"/>
        <v>25623.950000000004</v>
      </c>
      <c r="E263" s="74">
        <f t="shared" si="83"/>
        <v>0</v>
      </c>
      <c r="F263" s="254">
        <f t="shared" si="83"/>
        <v>287933.45</v>
      </c>
      <c r="G263" s="220">
        <f t="shared" si="83"/>
        <v>6176.759999999999</v>
      </c>
      <c r="H263" s="181">
        <f t="shared" si="83"/>
        <v>0</v>
      </c>
      <c r="I263" s="211">
        <f t="shared" si="83"/>
        <v>294110.21</v>
      </c>
      <c r="J263" s="220">
        <f>J264+J283</f>
        <v>11400.66</v>
      </c>
      <c r="K263" s="181">
        <f>K264+K283</f>
        <v>150</v>
      </c>
      <c r="L263" s="211">
        <f>L264+L283</f>
        <v>305660.87</v>
      </c>
      <c r="M263" s="165">
        <f t="shared" si="83"/>
        <v>10050.37</v>
      </c>
      <c r="N263" s="231">
        <f t="shared" si="83"/>
        <v>0</v>
      </c>
      <c r="O263" s="313">
        <f t="shared" si="83"/>
        <v>315711.24</v>
      </c>
      <c r="P263" s="220">
        <f t="shared" si="83"/>
        <v>509.0799999999999</v>
      </c>
      <c r="Q263" s="145">
        <f t="shared" si="83"/>
        <v>316220.31999999995</v>
      </c>
    </row>
    <row r="264" spans="1:17" ht="12.75">
      <c r="A264" s="19" t="s">
        <v>49</v>
      </c>
      <c r="B264" s="59"/>
      <c r="C264" s="77">
        <f aca="true" t="shared" si="84" ref="C264:Q264">SUM(C266:C282)</f>
        <v>259459.5</v>
      </c>
      <c r="D264" s="136">
        <f t="shared" si="84"/>
        <v>23881.950000000004</v>
      </c>
      <c r="E264" s="78">
        <f t="shared" si="84"/>
        <v>0</v>
      </c>
      <c r="F264" s="201">
        <f t="shared" si="84"/>
        <v>283341.45</v>
      </c>
      <c r="G264" s="222">
        <f t="shared" si="84"/>
        <v>4812.8099999999995</v>
      </c>
      <c r="H264" s="183">
        <f t="shared" si="84"/>
        <v>0</v>
      </c>
      <c r="I264" s="235">
        <f t="shared" si="84"/>
        <v>288154.26</v>
      </c>
      <c r="J264" s="222">
        <f>SUM(J266:J282)</f>
        <v>7750.66</v>
      </c>
      <c r="K264" s="183">
        <f>SUM(K266:K282)</f>
        <v>150</v>
      </c>
      <c r="L264" s="235">
        <f>SUM(L266:L282)</f>
        <v>296054.92</v>
      </c>
      <c r="M264" s="151">
        <f t="shared" si="84"/>
        <v>9230.720000000001</v>
      </c>
      <c r="N264" s="295">
        <f t="shared" si="84"/>
        <v>0</v>
      </c>
      <c r="O264" s="315">
        <f t="shared" si="84"/>
        <v>305285.64</v>
      </c>
      <c r="P264" s="222">
        <f t="shared" si="84"/>
        <v>509.0799999999999</v>
      </c>
      <c r="Q264" s="148">
        <f t="shared" si="84"/>
        <v>305794.72</v>
      </c>
    </row>
    <row r="265" spans="1:17" ht="12.75">
      <c r="A265" s="15" t="s">
        <v>26</v>
      </c>
      <c r="B265" s="55"/>
      <c r="C265" s="72"/>
      <c r="D265" s="133"/>
      <c r="E265" s="71"/>
      <c r="F265" s="202"/>
      <c r="G265" s="203"/>
      <c r="H265" s="179"/>
      <c r="I265" s="204"/>
      <c r="J265" s="203"/>
      <c r="K265" s="179"/>
      <c r="L265" s="204"/>
      <c r="M265" s="154"/>
      <c r="N265" s="230"/>
      <c r="O265" s="312"/>
      <c r="P265" s="209"/>
      <c r="Q265" s="208"/>
    </row>
    <row r="266" spans="1:17" ht="12.75">
      <c r="A266" s="17" t="s">
        <v>72</v>
      </c>
      <c r="B266" s="55"/>
      <c r="C266" s="72">
        <v>214799.6</v>
      </c>
      <c r="D266" s="133">
        <f>1000+1960+6961.7+5380.1+3630.6</f>
        <v>18932.4</v>
      </c>
      <c r="E266" s="71">
        <f>340</f>
        <v>340</v>
      </c>
      <c r="F266" s="202">
        <f aca="true" t="shared" si="85" ref="F266:F282">C266+D266+E266</f>
        <v>234072</v>
      </c>
      <c r="G266" s="203">
        <f>1695.3+150-180+470.2+211.45</f>
        <v>2346.95</v>
      </c>
      <c r="H266" s="179"/>
      <c r="I266" s="204">
        <f>F266+G266+H266</f>
        <v>236418.95</v>
      </c>
      <c r="J266" s="203">
        <f>5552+74</f>
        <v>5626</v>
      </c>
      <c r="K266" s="179"/>
      <c r="L266" s="204">
        <f>I266+J266+K266</f>
        <v>242044.95</v>
      </c>
      <c r="M266" s="154">
        <f>4522.6</f>
        <v>4522.6</v>
      </c>
      <c r="N266" s="230"/>
      <c r="O266" s="312">
        <f>L266+M266+N266</f>
        <v>246567.55000000002</v>
      </c>
      <c r="P266" s="209">
        <f>240.3+16.4-8.1</f>
        <v>248.6</v>
      </c>
      <c r="Q266" s="208">
        <f aca="true" t="shared" si="86" ref="Q266:Q282">O266+P266</f>
        <v>246816.15000000002</v>
      </c>
    </row>
    <row r="267" spans="1:17" ht="12.75">
      <c r="A267" s="17" t="s">
        <v>51</v>
      </c>
      <c r="B267" s="55"/>
      <c r="C267" s="72">
        <v>41051.6</v>
      </c>
      <c r="D267" s="133">
        <f>-6340.2+3444.55-1600-400+400+300+57+500-242-1960+2100+630</f>
        <v>-3110.6499999999996</v>
      </c>
      <c r="E267" s="71">
        <f>-340-20</f>
        <v>-360</v>
      </c>
      <c r="F267" s="202">
        <f t="shared" si="85"/>
        <v>37580.95</v>
      </c>
      <c r="G267" s="203">
        <f>-250-108.04</f>
        <v>-358.04</v>
      </c>
      <c r="H267" s="179"/>
      <c r="I267" s="204">
        <f aca="true" t="shared" si="87" ref="I267:I282">F267+G267+H267</f>
        <v>37222.909999999996</v>
      </c>
      <c r="J267" s="203">
        <f>1600-2000</f>
        <v>-400</v>
      </c>
      <c r="K267" s="179">
        <f>150</f>
        <v>150</v>
      </c>
      <c r="L267" s="204">
        <f aca="true" t="shared" si="88" ref="L267:L282">I267+J267+K267</f>
        <v>36972.909999999996</v>
      </c>
      <c r="M267" s="154">
        <f>-0.7+600+1071+200-108.13+161.13</f>
        <v>1923.3000000000002</v>
      </c>
      <c r="N267" s="230"/>
      <c r="O267" s="312">
        <f aca="true" t="shared" si="89" ref="O267:O282">L267+M267+N267</f>
        <v>38896.21</v>
      </c>
      <c r="P267" s="209">
        <f>-16.4+8.1-24.32</f>
        <v>-32.62</v>
      </c>
      <c r="Q267" s="208">
        <f t="shared" si="86"/>
        <v>38863.59</v>
      </c>
    </row>
    <row r="268" spans="1:17" ht="12.75">
      <c r="A268" s="17" t="s">
        <v>124</v>
      </c>
      <c r="B268" s="55"/>
      <c r="C268" s="72">
        <v>3608.3</v>
      </c>
      <c r="D268" s="133">
        <f>120</f>
        <v>120</v>
      </c>
      <c r="E268" s="71"/>
      <c r="F268" s="202">
        <f t="shared" si="85"/>
        <v>3728.3</v>
      </c>
      <c r="G268" s="203"/>
      <c r="H268" s="179"/>
      <c r="I268" s="204">
        <f t="shared" si="87"/>
        <v>3728.3</v>
      </c>
      <c r="J268" s="203"/>
      <c r="K268" s="179"/>
      <c r="L268" s="204">
        <f t="shared" si="88"/>
        <v>3728.3</v>
      </c>
      <c r="M268" s="154">
        <f>0.7</f>
        <v>0.7</v>
      </c>
      <c r="N268" s="230"/>
      <c r="O268" s="312">
        <f t="shared" si="89"/>
        <v>3729</v>
      </c>
      <c r="P268" s="209"/>
      <c r="Q268" s="208">
        <f t="shared" si="86"/>
        <v>3729</v>
      </c>
    </row>
    <row r="269" spans="1:17" ht="12.75">
      <c r="A269" s="17" t="s">
        <v>64</v>
      </c>
      <c r="B269" s="55"/>
      <c r="C269" s="72"/>
      <c r="D269" s="133">
        <f>6340.2+1600+400-400</f>
        <v>7940.200000000001</v>
      </c>
      <c r="E269" s="71">
        <f>20</f>
        <v>20</v>
      </c>
      <c r="F269" s="202">
        <f t="shared" si="85"/>
        <v>7960.200000000001</v>
      </c>
      <c r="G269" s="203"/>
      <c r="H269" s="179"/>
      <c r="I269" s="204">
        <f t="shared" si="87"/>
        <v>7960.200000000001</v>
      </c>
      <c r="J269" s="203"/>
      <c r="K269" s="179"/>
      <c r="L269" s="204">
        <f t="shared" si="88"/>
        <v>7960.200000000001</v>
      </c>
      <c r="M269" s="154">
        <f>108.13</f>
        <v>108.13</v>
      </c>
      <c r="N269" s="230"/>
      <c r="O269" s="312">
        <f t="shared" si="89"/>
        <v>8068.330000000001</v>
      </c>
      <c r="P269" s="209"/>
      <c r="Q269" s="208">
        <f t="shared" si="86"/>
        <v>8068.330000000001</v>
      </c>
    </row>
    <row r="270" spans="1:17" ht="12.75">
      <c r="A270" s="17" t="s">
        <v>87</v>
      </c>
      <c r="B270" s="55">
        <v>34070</v>
      </c>
      <c r="C270" s="72"/>
      <c r="D270" s="133"/>
      <c r="E270" s="71"/>
      <c r="F270" s="202">
        <f t="shared" si="85"/>
        <v>0</v>
      </c>
      <c r="G270" s="203">
        <f>810</f>
        <v>810</v>
      </c>
      <c r="H270" s="179"/>
      <c r="I270" s="204">
        <f t="shared" si="87"/>
        <v>810</v>
      </c>
      <c r="J270" s="203">
        <f>345+140+60+130+215+100</f>
        <v>990</v>
      </c>
      <c r="K270" s="179"/>
      <c r="L270" s="204">
        <f t="shared" si="88"/>
        <v>1800</v>
      </c>
      <c r="M270" s="154"/>
      <c r="N270" s="230"/>
      <c r="O270" s="312">
        <f t="shared" si="89"/>
        <v>1800</v>
      </c>
      <c r="P270" s="209"/>
      <c r="Q270" s="208">
        <f t="shared" si="86"/>
        <v>1800</v>
      </c>
    </row>
    <row r="271" spans="1:17" ht="12.75">
      <c r="A271" s="17" t="s">
        <v>345</v>
      </c>
      <c r="B271" s="55">
        <v>34017</v>
      </c>
      <c r="C271" s="72"/>
      <c r="D271" s="133"/>
      <c r="E271" s="71"/>
      <c r="F271" s="202"/>
      <c r="G271" s="203"/>
      <c r="H271" s="179"/>
      <c r="I271" s="204">
        <f t="shared" si="87"/>
        <v>0</v>
      </c>
      <c r="J271" s="203">
        <f>27.5+135</f>
        <v>162.5</v>
      </c>
      <c r="K271" s="179"/>
      <c r="L271" s="204">
        <f t="shared" si="88"/>
        <v>162.5</v>
      </c>
      <c r="M271" s="154"/>
      <c r="N271" s="230"/>
      <c r="O271" s="312">
        <f t="shared" si="89"/>
        <v>162.5</v>
      </c>
      <c r="P271" s="209"/>
      <c r="Q271" s="208">
        <f t="shared" si="86"/>
        <v>162.5</v>
      </c>
    </row>
    <row r="272" spans="1:17" ht="12.75">
      <c r="A272" s="17" t="s">
        <v>346</v>
      </c>
      <c r="B272" s="55">
        <v>34019</v>
      </c>
      <c r="C272" s="72"/>
      <c r="D272" s="133"/>
      <c r="E272" s="71"/>
      <c r="F272" s="202"/>
      <c r="G272" s="203"/>
      <c r="H272" s="179"/>
      <c r="I272" s="204">
        <f t="shared" si="87"/>
        <v>0</v>
      </c>
      <c r="J272" s="203">
        <f>34.16+50</f>
        <v>84.16</v>
      </c>
      <c r="K272" s="179"/>
      <c r="L272" s="204">
        <f t="shared" si="88"/>
        <v>84.16</v>
      </c>
      <c r="M272" s="154"/>
      <c r="N272" s="230"/>
      <c r="O272" s="312">
        <f t="shared" si="89"/>
        <v>84.16</v>
      </c>
      <c r="P272" s="209"/>
      <c r="Q272" s="208">
        <f t="shared" si="86"/>
        <v>84.16</v>
      </c>
    </row>
    <row r="273" spans="1:17" ht="12.75">
      <c r="A273" s="17" t="s">
        <v>369</v>
      </c>
      <c r="B273" s="55">
        <v>34031</v>
      </c>
      <c r="C273" s="72"/>
      <c r="D273" s="133"/>
      <c r="E273" s="71"/>
      <c r="F273" s="202"/>
      <c r="G273" s="203"/>
      <c r="H273" s="179"/>
      <c r="I273" s="204">
        <f t="shared" si="87"/>
        <v>0</v>
      </c>
      <c r="J273" s="203">
        <f>83+69+92+117+90</f>
        <v>451</v>
      </c>
      <c r="K273" s="179"/>
      <c r="L273" s="204">
        <f t="shared" si="88"/>
        <v>451</v>
      </c>
      <c r="M273" s="154">
        <f>-33</f>
        <v>-33</v>
      </c>
      <c r="N273" s="230"/>
      <c r="O273" s="312">
        <f t="shared" si="89"/>
        <v>418</v>
      </c>
      <c r="P273" s="209"/>
      <c r="Q273" s="208">
        <f t="shared" si="86"/>
        <v>418</v>
      </c>
    </row>
    <row r="274" spans="1:17" ht="12.75">
      <c r="A274" s="17" t="s">
        <v>379</v>
      </c>
      <c r="B274" s="55">
        <v>34033</v>
      </c>
      <c r="C274" s="72"/>
      <c r="D274" s="133"/>
      <c r="E274" s="71"/>
      <c r="F274" s="202"/>
      <c r="G274" s="203"/>
      <c r="H274" s="179"/>
      <c r="I274" s="204"/>
      <c r="J274" s="203"/>
      <c r="K274" s="179"/>
      <c r="L274" s="204">
        <f t="shared" si="88"/>
        <v>0</v>
      </c>
      <c r="M274" s="154"/>
      <c r="N274" s="230"/>
      <c r="O274" s="312">
        <f t="shared" si="89"/>
        <v>0</v>
      </c>
      <c r="P274" s="209">
        <f>270.46</f>
        <v>270.46</v>
      </c>
      <c r="Q274" s="208">
        <f t="shared" si="86"/>
        <v>270.46</v>
      </c>
    </row>
    <row r="275" spans="1:17" ht="12.75">
      <c r="A275" s="17" t="s">
        <v>88</v>
      </c>
      <c r="B275" s="55">
        <v>34053</v>
      </c>
      <c r="C275" s="72"/>
      <c r="D275" s="133"/>
      <c r="E275" s="71"/>
      <c r="F275" s="202">
        <f t="shared" si="85"/>
        <v>0</v>
      </c>
      <c r="G275" s="203"/>
      <c r="H275" s="179"/>
      <c r="I275" s="204">
        <f t="shared" si="87"/>
        <v>0</v>
      </c>
      <c r="J275" s="203">
        <f>32+65+28+69+63+126+97</f>
        <v>480</v>
      </c>
      <c r="K275" s="179"/>
      <c r="L275" s="204">
        <f t="shared" si="88"/>
        <v>480</v>
      </c>
      <c r="M275" s="154"/>
      <c r="N275" s="230"/>
      <c r="O275" s="312">
        <f t="shared" si="89"/>
        <v>480</v>
      </c>
      <c r="P275" s="209">
        <f>-65-0.27</f>
        <v>-65.27</v>
      </c>
      <c r="Q275" s="208">
        <f t="shared" si="86"/>
        <v>414.73</v>
      </c>
    </row>
    <row r="276" spans="1:17" ht="12.75">
      <c r="A276" s="17" t="s">
        <v>351</v>
      </c>
      <c r="B276" s="55">
        <v>34021</v>
      </c>
      <c r="C276" s="72"/>
      <c r="D276" s="133"/>
      <c r="E276" s="71"/>
      <c r="F276" s="202"/>
      <c r="G276" s="203"/>
      <c r="H276" s="179"/>
      <c r="I276" s="204">
        <f t="shared" si="87"/>
        <v>0</v>
      </c>
      <c r="J276" s="203">
        <f>200</f>
        <v>200</v>
      </c>
      <c r="K276" s="179"/>
      <c r="L276" s="204">
        <f t="shared" si="88"/>
        <v>200</v>
      </c>
      <c r="M276" s="154"/>
      <c r="N276" s="230"/>
      <c r="O276" s="312">
        <f t="shared" si="89"/>
        <v>200</v>
      </c>
      <c r="P276" s="209"/>
      <c r="Q276" s="208">
        <f t="shared" si="86"/>
        <v>200</v>
      </c>
    </row>
    <row r="277" spans="1:17" ht="12.75">
      <c r="A277" s="17" t="s">
        <v>367</v>
      </c>
      <c r="B277" s="55">
        <v>34033</v>
      </c>
      <c r="C277" s="72"/>
      <c r="D277" s="133"/>
      <c r="E277" s="71"/>
      <c r="F277" s="202"/>
      <c r="G277" s="203"/>
      <c r="H277" s="179"/>
      <c r="I277" s="204"/>
      <c r="J277" s="203"/>
      <c r="K277" s="179"/>
      <c r="L277" s="204">
        <f t="shared" si="88"/>
        <v>0</v>
      </c>
      <c r="M277" s="154">
        <f>32.02</f>
        <v>32.02</v>
      </c>
      <c r="N277" s="230"/>
      <c r="O277" s="312">
        <f t="shared" si="89"/>
        <v>32.02</v>
      </c>
      <c r="P277" s="209"/>
      <c r="Q277" s="208">
        <f t="shared" si="86"/>
        <v>32.02</v>
      </c>
    </row>
    <row r="278" spans="1:17" ht="12.75">
      <c r="A278" s="17" t="s">
        <v>371</v>
      </c>
      <c r="B278" s="55"/>
      <c r="C278" s="72"/>
      <c r="D278" s="133"/>
      <c r="E278" s="71"/>
      <c r="F278" s="202"/>
      <c r="G278" s="203"/>
      <c r="H278" s="179"/>
      <c r="I278" s="204"/>
      <c r="J278" s="203"/>
      <c r="K278" s="179"/>
      <c r="L278" s="204">
        <f t="shared" si="88"/>
        <v>0</v>
      </c>
      <c r="M278" s="154">
        <f>388.6</f>
        <v>388.6</v>
      </c>
      <c r="N278" s="230"/>
      <c r="O278" s="312">
        <f t="shared" si="89"/>
        <v>388.6</v>
      </c>
      <c r="P278" s="209"/>
      <c r="Q278" s="208">
        <f t="shared" si="86"/>
        <v>388.6</v>
      </c>
    </row>
    <row r="279" spans="1:17" ht="12.75">
      <c r="A279" s="17" t="s">
        <v>362</v>
      </c>
      <c r="B279" s="55" t="s">
        <v>363</v>
      </c>
      <c r="C279" s="72"/>
      <c r="D279" s="133"/>
      <c r="E279" s="71"/>
      <c r="F279" s="202">
        <f t="shared" si="85"/>
        <v>0</v>
      </c>
      <c r="G279" s="203"/>
      <c r="H279" s="179"/>
      <c r="I279" s="204">
        <f t="shared" si="87"/>
        <v>0</v>
      </c>
      <c r="J279" s="203"/>
      <c r="K279" s="179"/>
      <c r="L279" s="204">
        <f t="shared" si="88"/>
        <v>0</v>
      </c>
      <c r="M279" s="154">
        <f>219.17</f>
        <v>219.17</v>
      </c>
      <c r="N279" s="230"/>
      <c r="O279" s="312">
        <f t="shared" si="89"/>
        <v>219.17</v>
      </c>
      <c r="P279" s="209"/>
      <c r="Q279" s="208">
        <f t="shared" si="86"/>
        <v>219.17</v>
      </c>
    </row>
    <row r="280" spans="1:17" ht="12.75">
      <c r="A280" s="17" t="s">
        <v>357</v>
      </c>
      <c r="B280" s="55"/>
      <c r="C280" s="72"/>
      <c r="D280" s="133"/>
      <c r="E280" s="71"/>
      <c r="F280" s="202"/>
      <c r="G280" s="203"/>
      <c r="H280" s="179"/>
      <c r="I280" s="204"/>
      <c r="J280" s="203"/>
      <c r="K280" s="179"/>
      <c r="L280" s="204">
        <f t="shared" si="88"/>
        <v>0</v>
      </c>
      <c r="M280" s="154">
        <f>425.3+1643.9</f>
        <v>2069.2000000000003</v>
      </c>
      <c r="N280" s="230"/>
      <c r="O280" s="312">
        <f t="shared" si="89"/>
        <v>2069.2000000000003</v>
      </c>
      <c r="P280" s="209"/>
      <c r="Q280" s="208">
        <f t="shared" si="86"/>
        <v>2069.2000000000003</v>
      </c>
    </row>
    <row r="281" spans="1:17" ht="12.75">
      <c r="A281" s="17" t="s">
        <v>249</v>
      </c>
      <c r="B281" s="55"/>
      <c r="C281" s="72"/>
      <c r="D281" s="133"/>
      <c r="E281" s="71"/>
      <c r="F281" s="202">
        <f t="shared" si="85"/>
        <v>0</v>
      </c>
      <c r="G281" s="203">
        <f>425.46</f>
        <v>425.46</v>
      </c>
      <c r="H281" s="179"/>
      <c r="I281" s="204">
        <f t="shared" si="87"/>
        <v>425.46</v>
      </c>
      <c r="J281" s="203"/>
      <c r="K281" s="179"/>
      <c r="L281" s="204">
        <f t="shared" si="88"/>
        <v>425.46</v>
      </c>
      <c r="M281" s="154"/>
      <c r="N281" s="230"/>
      <c r="O281" s="312">
        <f t="shared" si="89"/>
        <v>425.46</v>
      </c>
      <c r="P281" s="209"/>
      <c r="Q281" s="208">
        <f t="shared" si="86"/>
        <v>425.46</v>
      </c>
    </row>
    <row r="282" spans="1:17" ht="12.75">
      <c r="A282" s="17" t="s">
        <v>76</v>
      </c>
      <c r="B282" s="55"/>
      <c r="C282" s="72"/>
      <c r="D282" s="133"/>
      <c r="E282" s="71"/>
      <c r="F282" s="202">
        <f t="shared" si="85"/>
        <v>0</v>
      </c>
      <c r="G282" s="203">
        <f>323.8+402+862.64</f>
        <v>1588.44</v>
      </c>
      <c r="H282" s="179"/>
      <c r="I282" s="204">
        <f t="shared" si="87"/>
        <v>1588.44</v>
      </c>
      <c r="J282" s="203">
        <f>157</f>
        <v>157</v>
      </c>
      <c r="K282" s="179"/>
      <c r="L282" s="204">
        <f t="shared" si="88"/>
        <v>1745.44</v>
      </c>
      <c r="M282" s="154"/>
      <c r="N282" s="230"/>
      <c r="O282" s="312">
        <f t="shared" si="89"/>
        <v>1745.44</v>
      </c>
      <c r="P282" s="209">
        <f>87.91</f>
        <v>87.91</v>
      </c>
      <c r="Q282" s="208">
        <f t="shared" si="86"/>
        <v>1833.3500000000001</v>
      </c>
    </row>
    <row r="283" spans="1:17" ht="12.75">
      <c r="A283" s="19" t="s">
        <v>53</v>
      </c>
      <c r="B283" s="59"/>
      <c r="C283" s="77">
        <f>SUM(C285:C290)</f>
        <v>2850</v>
      </c>
      <c r="D283" s="136">
        <f aca="true" t="shared" si="90" ref="D283:Q283">SUM(D285:D290)</f>
        <v>1742</v>
      </c>
      <c r="E283" s="78">
        <f t="shared" si="90"/>
        <v>0</v>
      </c>
      <c r="F283" s="201">
        <f t="shared" si="90"/>
        <v>4592</v>
      </c>
      <c r="G283" s="222">
        <f t="shared" si="90"/>
        <v>1363.95</v>
      </c>
      <c r="H283" s="183">
        <f t="shared" si="90"/>
        <v>0</v>
      </c>
      <c r="I283" s="235">
        <f t="shared" si="90"/>
        <v>5955.95</v>
      </c>
      <c r="J283" s="222">
        <f t="shared" si="90"/>
        <v>3650</v>
      </c>
      <c r="K283" s="183">
        <f t="shared" si="90"/>
        <v>0</v>
      </c>
      <c r="L283" s="235">
        <f t="shared" si="90"/>
        <v>9605.95</v>
      </c>
      <c r="M283" s="151">
        <f t="shared" si="90"/>
        <v>819.65</v>
      </c>
      <c r="N283" s="295">
        <f t="shared" si="90"/>
        <v>0</v>
      </c>
      <c r="O283" s="315">
        <f t="shared" si="90"/>
        <v>10425.6</v>
      </c>
      <c r="P283" s="222">
        <f t="shared" si="90"/>
        <v>0</v>
      </c>
      <c r="Q283" s="148">
        <f t="shared" si="90"/>
        <v>10425.6</v>
      </c>
    </row>
    <row r="284" spans="1:17" ht="12.75">
      <c r="A284" s="15" t="s">
        <v>26</v>
      </c>
      <c r="B284" s="55"/>
      <c r="C284" s="72"/>
      <c r="D284" s="133"/>
      <c r="E284" s="71"/>
      <c r="F284" s="202"/>
      <c r="G284" s="203"/>
      <c r="H284" s="179"/>
      <c r="I284" s="204"/>
      <c r="J284" s="203"/>
      <c r="K284" s="179"/>
      <c r="L284" s="204"/>
      <c r="M284" s="154"/>
      <c r="N284" s="230"/>
      <c r="O284" s="312"/>
      <c r="P284" s="209"/>
      <c r="Q284" s="208"/>
    </row>
    <row r="285" spans="1:17" ht="12.75">
      <c r="A285" s="17" t="s">
        <v>88</v>
      </c>
      <c r="B285" s="55">
        <v>34544</v>
      </c>
      <c r="C285" s="72"/>
      <c r="D285" s="133"/>
      <c r="E285" s="71"/>
      <c r="F285" s="202">
        <f>C285+D285+E285</f>
        <v>0</v>
      </c>
      <c r="G285" s="203"/>
      <c r="H285" s="179"/>
      <c r="I285" s="204"/>
      <c r="J285" s="203">
        <f>440</f>
        <v>440</v>
      </c>
      <c r="K285" s="179"/>
      <c r="L285" s="204">
        <f aca="true" t="shared" si="91" ref="L285:L290">I285+J285+K285</f>
        <v>440</v>
      </c>
      <c r="M285" s="154"/>
      <c r="N285" s="230"/>
      <c r="O285" s="312">
        <f aca="true" t="shared" si="92" ref="O285:O290">L285+M285+N285</f>
        <v>440</v>
      </c>
      <c r="P285" s="209"/>
      <c r="Q285" s="208">
        <f aca="true" t="shared" si="93" ref="Q285:Q290">O285+P285</f>
        <v>440</v>
      </c>
    </row>
    <row r="286" spans="1:17" ht="12.75">
      <c r="A286" s="17" t="s">
        <v>357</v>
      </c>
      <c r="B286" s="55"/>
      <c r="C286" s="72"/>
      <c r="D286" s="133"/>
      <c r="E286" s="71"/>
      <c r="F286" s="202"/>
      <c r="G286" s="203"/>
      <c r="H286" s="179"/>
      <c r="I286" s="204"/>
      <c r="J286" s="203"/>
      <c r="K286" s="179"/>
      <c r="L286" s="204">
        <f t="shared" si="91"/>
        <v>0</v>
      </c>
      <c r="M286" s="154">
        <f>766.11</f>
        <v>766.11</v>
      </c>
      <c r="N286" s="230"/>
      <c r="O286" s="312">
        <f t="shared" si="92"/>
        <v>766.11</v>
      </c>
      <c r="P286" s="209"/>
      <c r="Q286" s="208">
        <f t="shared" si="93"/>
        <v>766.11</v>
      </c>
    </row>
    <row r="287" spans="1:17" ht="12.75">
      <c r="A287" s="17" t="s">
        <v>371</v>
      </c>
      <c r="B287" s="55"/>
      <c r="C287" s="72"/>
      <c r="D287" s="133"/>
      <c r="E287" s="71"/>
      <c r="F287" s="202"/>
      <c r="G287" s="203"/>
      <c r="H287" s="179"/>
      <c r="I287" s="204"/>
      <c r="J287" s="203"/>
      <c r="K287" s="179"/>
      <c r="L287" s="204">
        <f t="shared" si="91"/>
        <v>0</v>
      </c>
      <c r="M287" s="154">
        <f>53.54</f>
        <v>53.54</v>
      </c>
      <c r="N287" s="230"/>
      <c r="O287" s="312">
        <f t="shared" si="92"/>
        <v>53.54</v>
      </c>
      <c r="P287" s="209"/>
      <c r="Q287" s="208">
        <f t="shared" si="93"/>
        <v>53.54</v>
      </c>
    </row>
    <row r="288" spans="1:17" ht="12.75">
      <c r="A288" s="53" t="s">
        <v>83</v>
      </c>
      <c r="B288" s="55"/>
      <c r="C288" s="72">
        <v>2850</v>
      </c>
      <c r="D288" s="139">
        <f>1500</f>
        <v>1500</v>
      </c>
      <c r="E288" s="71"/>
      <c r="F288" s="202">
        <f>C288+D288+E288</f>
        <v>4350</v>
      </c>
      <c r="G288" s="203">
        <f>100+180+800+1000-1200</f>
        <v>880</v>
      </c>
      <c r="H288" s="179"/>
      <c r="I288" s="204">
        <f>F288+G288+H288</f>
        <v>5230</v>
      </c>
      <c r="J288" s="203">
        <f>2000</f>
        <v>2000</v>
      </c>
      <c r="K288" s="179"/>
      <c r="L288" s="204">
        <f t="shared" si="91"/>
        <v>7230</v>
      </c>
      <c r="M288" s="154"/>
      <c r="N288" s="230"/>
      <c r="O288" s="312">
        <f t="shared" si="92"/>
        <v>7230</v>
      </c>
      <c r="P288" s="209"/>
      <c r="Q288" s="208">
        <f t="shared" si="93"/>
        <v>7230</v>
      </c>
    </row>
    <row r="289" spans="1:17" ht="12.75">
      <c r="A289" s="53" t="s">
        <v>54</v>
      </c>
      <c r="B289" s="55"/>
      <c r="C289" s="72"/>
      <c r="D289" s="133">
        <f>242</f>
        <v>242</v>
      </c>
      <c r="E289" s="71"/>
      <c r="F289" s="202">
        <f>C289+D289+E289</f>
        <v>242</v>
      </c>
      <c r="G289" s="203">
        <f>173.96</f>
        <v>173.96</v>
      </c>
      <c r="H289" s="179"/>
      <c r="I289" s="204">
        <f>F289+G289+H289</f>
        <v>415.96000000000004</v>
      </c>
      <c r="J289" s="203"/>
      <c r="K289" s="179"/>
      <c r="L289" s="204">
        <f t="shared" si="91"/>
        <v>415.96000000000004</v>
      </c>
      <c r="M289" s="154"/>
      <c r="N289" s="230"/>
      <c r="O289" s="312">
        <f t="shared" si="92"/>
        <v>415.96000000000004</v>
      </c>
      <c r="P289" s="209"/>
      <c r="Q289" s="208">
        <f t="shared" si="93"/>
        <v>415.96000000000004</v>
      </c>
    </row>
    <row r="290" spans="1:17" ht="12.75">
      <c r="A290" s="23" t="s">
        <v>76</v>
      </c>
      <c r="B290" s="58"/>
      <c r="C290" s="115"/>
      <c r="D290" s="138"/>
      <c r="E290" s="79"/>
      <c r="F290" s="257">
        <f>C290+D290+E290</f>
        <v>0</v>
      </c>
      <c r="G290" s="224">
        <f>250+59.99</f>
        <v>309.99</v>
      </c>
      <c r="H290" s="182"/>
      <c r="I290" s="237">
        <f>F290+G290+H290</f>
        <v>309.99</v>
      </c>
      <c r="J290" s="224">
        <f>1210</f>
        <v>1210</v>
      </c>
      <c r="K290" s="182"/>
      <c r="L290" s="237">
        <f t="shared" si="91"/>
        <v>1519.99</v>
      </c>
      <c r="M290" s="197"/>
      <c r="N290" s="297"/>
      <c r="O290" s="317">
        <f t="shared" si="92"/>
        <v>1519.99</v>
      </c>
      <c r="P290" s="276"/>
      <c r="Q290" s="282">
        <f t="shared" si="93"/>
        <v>1519.99</v>
      </c>
    </row>
    <row r="291" spans="1:27" ht="12.75">
      <c r="A291" s="10" t="s">
        <v>253</v>
      </c>
      <c r="B291" s="59"/>
      <c r="C291" s="69">
        <f>C292+C295</f>
        <v>1338.39</v>
      </c>
      <c r="D291" s="132">
        <f>D292+D295</f>
        <v>0</v>
      </c>
      <c r="E291" s="70">
        <f>E292+E297</f>
        <v>0</v>
      </c>
      <c r="F291" s="92">
        <f>F292+F295</f>
        <v>1338.39</v>
      </c>
      <c r="G291" s="225">
        <f>G292+G295</f>
        <v>0</v>
      </c>
      <c r="H291" s="191">
        <f aca="true" t="shared" si="94" ref="H291:Q291">H292+H295</f>
        <v>0</v>
      </c>
      <c r="I291" s="238">
        <f t="shared" si="94"/>
        <v>1338.39</v>
      </c>
      <c r="J291" s="225">
        <f t="shared" si="94"/>
        <v>0</v>
      </c>
      <c r="K291" s="191">
        <f t="shared" si="94"/>
        <v>0</v>
      </c>
      <c r="L291" s="238">
        <f t="shared" si="94"/>
        <v>1338.39</v>
      </c>
      <c r="M291" s="167">
        <f t="shared" si="94"/>
        <v>0</v>
      </c>
      <c r="N291" s="298">
        <f t="shared" si="94"/>
        <v>0</v>
      </c>
      <c r="O291" s="319">
        <f t="shared" si="94"/>
        <v>1338.39</v>
      </c>
      <c r="P291" s="225">
        <f t="shared" si="94"/>
        <v>0</v>
      </c>
      <c r="Q291" s="152">
        <f t="shared" si="94"/>
        <v>1338.39</v>
      </c>
      <c r="Z291" s="107"/>
      <c r="AA291" s="92"/>
    </row>
    <row r="292" spans="1:17" ht="12.75">
      <c r="A292" s="19" t="s">
        <v>49</v>
      </c>
      <c r="B292" s="59"/>
      <c r="C292" s="77">
        <f>SUM(C294:C294)</f>
        <v>1338.39</v>
      </c>
      <c r="D292" s="136">
        <f>SUM(D294:D294)</f>
        <v>0</v>
      </c>
      <c r="E292" s="78">
        <f>SUM(E294:E294)</f>
        <v>0</v>
      </c>
      <c r="F292" s="201">
        <f>SUM(F294:F294)</f>
        <v>1338.39</v>
      </c>
      <c r="G292" s="222">
        <f>SUM(G294:G294)</f>
        <v>0</v>
      </c>
      <c r="H292" s="183">
        <f aca="true" t="shared" si="95" ref="H292:Q292">SUM(H294:H294)</f>
        <v>0</v>
      </c>
      <c r="I292" s="239">
        <f t="shared" si="95"/>
        <v>1338.39</v>
      </c>
      <c r="J292" s="222">
        <f t="shared" si="95"/>
        <v>0</v>
      </c>
      <c r="K292" s="183">
        <f t="shared" si="95"/>
        <v>0</v>
      </c>
      <c r="L292" s="239">
        <f t="shared" si="95"/>
        <v>1338.39</v>
      </c>
      <c r="M292" s="151">
        <f t="shared" si="95"/>
        <v>0</v>
      </c>
      <c r="N292" s="295">
        <f t="shared" si="95"/>
        <v>0</v>
      </c>
      <c r="O292" s="315">
        <f t="shared" si="95"/>
        <v>1338.39</v>
      </c>
      <c r="P292" s="222">
        <f t="shared" si="95"/>
        <v>0</v>
      </c>
      <c r="Q292" s="148">
        <f t="shared" si="95"/>
        <v>1338.39</v>
      </c>
    </row>
    <row r="293" spans="1:17" ht="12.75">
      <c r="A293" s="15" t="s">
        <v>26</v>
      </c>
      <c r="B293" s="55"/>
      <c r="C293" s="72"/>
      <c r="D293" s="133"/>
      <c r="E293" s="71"/>
      <c r="F293" s="202"/>
      <c r="G293" s="203"/>
      <c r="H293" s="179"/>
      <c r="I293" s="204"/>
      <c r="J293" s="203"/>
      <c r="K293" s="179"/>
      <c r="L293" s="204"/>
      <c r="M293" s="168"/>
      <c r="N293" s="230"/>
      <c r="O293" s="312"/>
      <c r="P293" s="209"/>
      <c r="Q293" s="208"/>
    </row>
    <row r="294" spans="1:17" ht="13.5" thickBot="1">
      <c r="A294" s="330" t="s">
        <v>51</v>
      </c>
      <c r="B294" s="331"/>
      <c r="C294" s="332">
        <v>1338.39</v>
      </c>
      <c r="D294" s="333"/>
      <c r="E294" s="334"/>
      <c r="F294" s="335">
        <f>C294+D294+E294</f>
        <v>1338.39</v>
      </c>
      <c r="G294" s="336"/>
      <c r="H294" s="337"/>
      <c r="I294" s="338">
        <f>F294+G294+H294</f>
        <v>1338.39</v>
      </c>
      <c r="J294" s="336"/>
      <c r="K294" s="337"/>
      <c r="L294" s="338">
        <f>I294+J294+K294</f>
        <v>1338.39</v>
      </c>
      <c r="M294" s="345"/>
      <c r="N294" s="340"/>
      <c r="O294" s="341">
        <f>L294+M294+N294</f>
        <v>1338.39</v>
      </c>
      <c r="P294" s="280"/>
      <c r="Q294" s="284">
        <f>O294+P294</f>
        <v>1338.39</v>
      </c>
    </row>
    <row r="295" spans="1:17" ht="12.75" hidden="1">
      <c r="A295" s="19" t="s">
        <v>53</v>
      </c>
      <c r="B295" s="59"/>
      <c r="C295" s="77">
        <f>C297</f>
        <v>0</v>
      </c>
      <c r="D295" s="136">
        <f>D297</f>
        <v>0</v>
      </c>
      <c r="E295" s="78">
        <f>SUM(E297:E299)</f>
        <v>53698.78</v>
      </c>
      <c r="F295" s="201">
        <f aca="true" t="shared" si="96" ref="F295:Q295">F297</f>
        <v>0</v>
      </c>
      <c r="G295" s="222">
        <f t="shared" si="96"/>
        <v>0</v>
      </c>
      <c r="H295" s="183">
        <f t="shared" si="96"/>
        <v>0</v>
      </c>
      <c r="I295" s="239">
        <f t="shared" si="96"/>
        <v>0</v>
      </c>
      <c r="J295" s="222">
        <f t="shared" si="96"/>
        <v>0</v>
      </c>
      <c r="K295" s="183">
        <f t="shared" si="96"/>
        <v>0</v>
      </c>
      <c r="L295" s="239">
        <f t="shared" si="96"/>
        <v>0</v>
      </c>
      <c r="M295" s="151">
        <f t="shared" si="96"/>
        <v>0</v>
      </c>
      <c r="N295" s="295">
        <f t="shared" si="96"/>
        <v>0</v>
      </c>
      <c r="O295" s="315">
        <f t="shared" si="96"/>
        <v>0</v>
      </c>
      <c r="P295" s="222">
        <f t="shared" si="96"/>
        <v>0</v>
      </c>
      <c r="Q295" s="148">
        <f t="shared" si="96"/>
        <v>0</v>
      </c>
    </row>
    <row r="296" spans="1:17" ht="12.75" hidden="1">
      <c r="A296" s="15" t="s">
        <v>26</v>
      </c>
      <c r="B296" s="55"/>
      <c r="C296" s="72"/>
      <c r="D296" s="133"/>
      <c r="E296" s="71"/>
      <c r="F296" s="202"/>
      <c r="G296" s="203"/>
      <c r="H296" s="179"/>
      <c r="I296" s="204"/>
      <c r="J296" s="203"/>
      <c r="K296" s="179"/>
      <c r="L296" s="204"/>
      <c r="M296" s="154"/>
      <c r="N296" s="230"/>
      <c r="O296" s="312"/>
      <c r="P296" s="209"/>
      <c r="Q296" s="208"/>
    </row>
    <row r="297" spans="1:17" ht="12.75" hidden="1">
      <c r="A297" s="106" t="s">
        <v>54</v>
      </c>
      <c r="B297" s="58"/>
      <c r="C297" s="115"/>
      <c r="D297" s="138"/>
      <c r="E297" s="79"/>
      <c r="F297" s="257">
        <f>C297+D297+E297</f>
        <v>0</v>
      </c>
      <c r="G297" s="224"/>
      <c r="H297" s="179"/>
      <c r="I297" s="237">
        <f>F297+G297+H297</f>
        <v>0</v>
      </c>
      <c r="J297" s="203"/>
      <c r="K297" s="179"/>
      <c r="L297" s="289">
        <f>I297+J297+K297</f>
        <v>0</v>
      </c>
      <c r="M297" s="153"/>
      <c r="N297" s="297"/>
      <c r="O297" s="317">
        <f>L297+M297+N297</f>
        <v>0</v>
      </c>
      <c r="P297" s="209"/>
      <c r="Q297" s="208">
        <f>O297+P297</f>
        <v>0</v>
      </c>
    </row>
    <row r="298" spans="1:17" ht="12.75">
      <c r="A298" s="10" t="s">
        <v>48</v>
      </c>
      <c r="B298" s="57"/>
      <c r="C298" s="69">
        <f aca="true" t="shared" si="97" ref="C298:Q298">C299+C313</f>
        <v>61493.06</v>
      </c>
      <c r="D298" s="132">
        <f t="shared" si="97"/>
        <v>12200</v>
      </c>
      <c r="E298" s="70">
        <f t="shared" si="97"/>
        <v>27484.7</v>
      </c>
      <c r="F298" s="92">
        <f t="shared" si="97"/>
        <v>101177.76</v>
      </c>
      <c r="G298" s="219">
        <f t="shared" si="97"/>
        <v>80000</v>
      </c>
      <c r="H298" s="178">
        <f t="shared" si="97"/>
        <v>0</v>
      </c>
      <c r="I298" s="205">
        <f t="shared" si="97"/>
        <v>181177.75999999998</v>
      </c>
      <c r="J298" s="219">
        <f>J299+J313</f>
        <v>169306.31000000003</v>
      </c>
      <c r="K298" s="178">
        <f>K299+K313</f>
        <v>-150</v>
      </c>
      <c r="L298" s="205">
        <f>L299+L313</f>
        <v>350334.07</v>
      </c>
      <c r="M298" s="150">
        <f t="shared" si="97"/>
        <v>2500</v>
      </c>
      <c r="N298" s="229">
        <f t="shared" si="97"/>
        <v>0</v>
      </c>
      <c r="O298" s="311">
        <f t="shared" si="97"/>
        <v>352834.07</v>
      </c>
      <c r="P298" s="219">
        <f t="shared" si="97"/>
        <v>32631.36</v>
      </c>
      <c r="Q298" s="143">
        <f t="shared" si="97"/>
        <v>385465.43</v>
      </c>
    </row>
    <row r="299" spans="1:17" ht="12.75">
      <c r="A299" s="19" t="s">
        <v>49</v>
      </c>
      <c r="B299" s="57"/>
      <c r="C299" s="77">
        <f aca="true" t="shared" si="98" ref="C299:Q299">SUM(C301:C312)</f>
        <v>60693.06</v>
      </c>
      <c r="D299" s="136">
        <f t="shared" si="98"/>
        <v>10900</v>
      </c>
      <c r="E299" s="78">
        <f t="shared" si="98"/>
        <v>26214.08</v>
      </c>
      <c r="F299" s="201">
        <f t="shared" si="98"/>
        <v>97807.14</v>
      </c>
      <c r="G299" s="222">
        <f t="shared" si="98"/>
        <v>80000</v>
      </c>
      <c r="H299" s="183">
        <f t="shared" si="98"/>
        <v>0</v>
      </c>
      <c r="I299" s="235">
        <f t="shared" si="98"/>
        <v>177807.13999999998</v>
      </c>
      <c r="J299" s="222">
        <f>SUM(J301:J312)</f>
        <v>169306.31000000003</v>
      </c>
      <c r="K299" s="183">
        <f>SUM(K301:K312)</f>
        <v>-150</v>
      </c>
      <c r="L299" s="235">
        <f>SUM(L301:L312)</f>
        <v>346963.45</v>
      </c>
      <c r="M299" s="151">
        <f t="shared" si="98"/>
        <v>2500</v>
      </c>
      <c r="N299" s="295">
        <f t="shared" si="98"/>
        <v>0</v>
      </c>
      <c r="O299" s="315">
        <f t="shared" si="98"/>
        <v>349463.45</v>
      </c>
      <c r="P299" s="222">
        <f t="shared" si="98"/>
        <v>32581.36</v>
      </c>
      <c r="Q299" s="148">
        <f t="shared" si="98"/>
        <v>382044.81</v>
      </c>
    </row>
    <row r="300" spans="1:17" ht="12.75">
      <c r="A300" s="15" t="s">
        <v>26</v>
      </c>
      <c r="B300" s="42"/>
      <c r="C300" s="72"/>
      <c r="D300" s="133"/>
      <c r="E300" s="71"/>
      <c r="F300" s="202"/>
      <c r="G300" s="203"/>
      <c r="H300" s="179"/>
      <c r="I300" s="204"/>
      <c r="J300" s="203"/>
      <c r="K300" s="179"/>
      <c r="L300" s="204"/>
      <c r="M300" s="154"/>
      <c r="N300" s="230"/>
      <c r="O300" s="312"/>
      <c r="P300" s="209"/>
      <c r="Q300" s="208"/>
    </row>
    <row r="301" spans="1:17" ht="12.75">
      <c r="A301" s="13" t="s">
        <v>126</v>
      </c>
      <c r="B301" s="55"/>
      <c r="C301" s="72">
        <v>27707.22</v>
      </c>
      <c r="D301" s="133"/>
      <c r="E301" s="71"/>
      <c r="F301" s="202">
        <f aca="true" t="shared" si="99" ref="F301:F312">C301+D301+E301</f>
        <v>27707.22</v>
      </c>
      <c r="G301" s="203"/>
      <c r="H301" s="179"/>
      <c r="I301" s="204">
        <f>F301+G301+H301</f>
        <v>27707.22</v>
      </c>
      <c r="J301" s="203"/>
      <c r="K301" s="179"/>
      <c r="L301" s="204">
        <f>I301+J301+K301</f>
        <v>27707.22</v>
      </c>
      <c r="M301" s="154"/>
      <c r="N301" s="230"/>
      <c r="O301" s="312">
        <f>L301+M301+N301</f>
        <v>27707.22</v>
      </c>
      <c r="P301" s="209"/>
      <c r="Q301" s="208">
        <f>O301+P301</f>
        <v>27707.22</v>
      </c>
    </row>
    <row r="302" spans="1:17" ht="12.75">
      <c r="A302" s="13" t="s">
        <v>50</v>
      </c>
      <c r="B302" s="55"/>
      <c r="C302" s="72">
        <v>7048.74</v>
      </c>
      <c r="D302" s="133"/>
      <c r="E302" s="71"/>
      <c r="F302" s="202">
        <f t="shared" si="99"/>
        <v>7048.74</v>
      </c>
      <c r="G302" s="203"/>
      <c r="H302" s="179"/>
      <c r="I302" s="204">
        <f>F302+G302+H302</f>
        <v>7048.74</v>
      </c>
      <c r="J302" s="203"/>
      <c r="K302" s="179"/>
      <c r="L302" s="204">
        <f>I302+J302+K302</f>
        <v>7048.74</v>
      </c>
      <c r="M302" s="154"/>
      <c r="N302" s="230"/>
      <c r="O302" s="312">
        <f>L302+M302+N302</f>
        <v>7048.74</v>
      </c>
      <c r="P302" s="209"/>
      <c r="Q302" s="208">
        <f>O302+P302</f>
        <v>7048.74</v>
      </c>
    </row>
    <row r="303" spans="1:17" ht="12.75">
      <c r="A303" s="13" t="s">
        <v>226</v>
      </c>
      <c r="B303" s="55"/>
      <c r="C303" s="72">
        <v>1450</v>
      </c>
      <c r="D303" s="133"/>
      <c r="E303" s="71"/>
      <c r="F303" s="202">
        <f t="shared" si="99"/>
        <v>1450</v>
      </c>
      <c r="G303" s="203"/>
      <c r="H303" s="179"/>
      <c r="I303" s="204">
        <f>F303+G303+H303</f>
        <v>1450</v>
      </c>
      <c r="J303" s="203"/>
      <c r="K303" s="179"/>
      <c r="L303" s="204">
        <f>I303+J303+K303</f>
        <v>1450</v>
      </c>
      <c r="M303" s="154">
        <f>250</f>
        <v>250</v>
      </c>
      <c r="N303" s="230"/>
      <c r="O303" s="312">
        <f>L303+M303+N303</f>
        <v>1700</v>
      </c>
      <c r="P303" s="209"/>
      <c r="Q303" s="208">
        <f>O303+P303</f>
        <v>1700</v>
      </c>
    </row>
    <row r="304" spans="1:17" ht="12.75">
      <c r="A304" s="13" t="s">
        <v>51</v>
      </c>
      <c r="B304" s="55"/>
      <c r="C304" s="72">
        <v>15187.1</v>
      </c>
      <c r="D304" s="133">
        <f>1500</f>
        <v>1500</v>
      </c>
      <c r="E304" s="71"/>
      <c r="F304" s="202">
        <f t="shared" si="99"/>
        <v>16687.1</v>
      </c>
      <c r="G304" s="203"/>
      <c r="H304" s="179"/>
      <c r="I304" s="204">
        <f>F304+G304+H304</f>
        <v>16687.1</v>
      </c>
      <c r="J304" s="203">
        <f>75.1</f>
        <v>75.1</v>
      </c>
      <c r="K304" s="179"/>
      <c r="L304" s="204">
        <f>I304+J304+K304</f>
        <v>16762.199999999997</v>
      </c>
      <c r="M304" s="154">
        <f>-250</f>
        <v>-250</v>
      </c>
      <c r="N304" s="230"/>
      <c r="O304" s="312">
        <f>L304+M304+N304</f>
        <v>16512.199999999997</v>
      </c>
      <c r="P304" s="209"/>
      <c r="Q304" s="208">
        <f>O304+P304</f>
        <v>16512.199999999997</v>
      </c>
    </row>
    <row r="305" spans="1:17" ht="12.75">
      <c r="A305" s="13" t="s">
        <v>76</v>
      </c>
      <c r="B305" s="55"/>
      <c r="C305" s="72"/>
      <c r="D305" s="133"/>
      <c r="E305" s="71"/>
      <c r="F305" s="202">
        <f t="shared" si="99"/>
        <v>0</v>
      </c>
      <c r="G305" s="203"/>
      <c r="H305" s="179"/>
      <c r="I305" s="204"/>
      <c r="J305" s="203"/>
      <c r="K305" s="179"/>
      <c r="L305" s="204">
        <f>I305+J305+K305</f>
        <v>0</v>
      </c>
      <c r="M305" s="154">
        <f>2500</f>
        <v>2500</v>
      </c>
      <c r="N305" s="230"/>
      <c r="O305" s="312">
        <f>L305+M305+N305</f>
        <v>2500</v>
      </c>
      <c r="P305" s="209"/>
      <c r="Q305" s="208">
        <f>O305+P305</f>
        <v>2500</v>
      </c>
    </row>
    <row r="306" spans="1:17" ht="12.75">
      <c r="A306" s="13" t="s">
        <v>322</v>
      </c>
      <c r="B306" s="55"/>
      <c r="C306" s="72">
        <v>500</v>
      </c>
      <c r="D306" s="133"/>
      <c r="E306" s="82">
        <f>25000</f>
        <v>25000</v>
      </c>
      <c r="F306" s="202">
        <f t="shared" si="99"/>
        <v>25500</v>
      </c>
      <c r="G306" s="203">
        <f>20000+20000+40000</f>
        <v>80000</v>
      </c>
      <c r="H306" s="179"/>
      <c r="I306" s="204">
        <f aca="true" t="shared" si="100" ref="I306:I312">F306+G306+H306</f>
        <v>105500</v>
      </c>
      <c r="J306" s="203">
        <f>101.8+23578.3+120000+23551.11</f>
        <v>167231.21000000002</v>
      </c>
      <c r="K306" s="179"/>
      <c r="L306" s="204">
        <f aca="true" t="shared" si="101" ref="L306:L312">I306+J306+K306</f>
        <v>272731.21</v>
      </c>
      <c r="M306" s="154"/>
      <c r="N306" s="230"/>
      <c r="O306" s="312">
        <f aca="true" t="shared" si="102" ref="O306:O312">L306+M306+N306</f>
        <v>272731.21</v>
      </c>
      <c r="P306" s="209">
        <f>27798.54</f>
        <v>27798.54</v>
      </c>
      <c r="Q306" s="208">
        <f aca="true" t="shared" si="103" ref="Q306:Q312">O306+P306</f>
        <v>300529.75</v>
      </c>
    </row>
    <row r="307" spans="1:17" ht="12.75" hidden="1">
      <c r="A307" s="13" t="s">
        <v>283</v>
      </c>
      <c r="B307" s="55">
        <v>98032</v>
      </c>
      <c r="C307" s="72"/>
      <c r="D307" s="133"/>
      <c r="E307" s="71"/>
      <c r="F307" s="202">
        <f t="shared" si="99"/>
        <v>0</v>
      </c>
      <c r="G307" s="203"/>
      <c r="H307" s="179"/>
      <c r="I307" s="204">
        <f t="shared" si="100"/>
        <v>0</v>
      </c>
      <c r="J307" s="203"/>
      <c r="K307" s="179"/>
      <c r="L307" s="204">
        <f t="shared" si="101"/>
        <v>0</v>
      </c>
      <c r="M307" s="154"/>
      <c r="N307" s="230"/>
      <c r="O307" s="312">
        <f t="shared" si="102"/>
        <v>0</v>
      </c>
      <c r="P307" s="209"/>
      <c r="Q307" s="208">
        <f t="shared" si="103"/>
        <v>0</v>
      </c>
    </row>
    <row r="308" spans="1:17" ht="12.75">
      <c r="A308" s="13" t="s">
        <v>382</v>
      </c>
      <c r="B308" s="329" t="s">
        <v>383</v>
      </c>
      <c r="C308" s="72"/>
      <c r="D308" s="133"/>
      <c r="E308" s="71"/>
      <c r="F308" s="202"/>
      <c r="G308" s="203"/>
      <c r="H308" s="179"/>
      <c r="I308" s="204">
        <f t="shared" si="100"/>
        <v>0</v>
      </c>
      <c r="J308" s="203"/>
      <c r="K308" s="179"/>
      <c r="L308" s="204">
        <f t="shared" si="101"/>
        <v>0</v>
      </c>
      <c r="M308" s="154"/>
      <c r="N308" s="230"/>
      <c r="O308" s="312">
        <f t="shared" si="102"/>
        <v>0</v>
      </c>
      <c r="P308" s="209">
        <f>4541.42+291.4</f>
        <v>4832.82</v>
      </c>
      <c r="Q308" s="208">
        <f t="shared" si="103"/>
        <v>4832.82</v>
      </c>
    </row>
    <row r="309" spans="1:17" ht="12.75">
      <c r="A309" s="13" t="s">
        <v>280</v>
      </c>
      <c r="B309" s="55"/>
      <c r="C309" s="72"/>
      <c r="D309" s="133">
        <f>5000</f>
        <v>5000</v>
      </c>
      <c r="E309" s="71"/>
      <c r="F309" s="202">
        <f t="shared" si="99"/>
        <v>5000</v>
      </c>
      <c r="G309" s="203"/>
      <c r="H309" s="179"/>
      <c r="I309" s="204">
        <f t="shared" si="100"/>
        <v>5000</v>
      </c>
      <c r="J309" s="203"/>
      <c r="K309" s="179"/>
      <c r="L309" s="204">
        <f t="shared" si="101"/>
        <v>5000</v>
      </c>
      <c r="M309" s="154"/>
      <c r="N309" s="230"/>
      <c r="O309" s="312">
        <f t="shared" si="102"/>
        <v>5000</v>
      </c>
      <c r="P309" s="209"/>
      <c r="Q309" s="208">
        <f t="shared" si="103"/>
        <v>5000</v>
      </c>
    </row>
    <row r="310" spans="1:17" ht="12.75">
      <c r="A310" s="13" t="s">
        <v>227</v>
      </c>
      <c r="B310" s="55"/>
      <c r="C310" s="72">
        <v>8200</v>
      </c>
      <c r="D310" s="133">
        <f>3500</f>
        <v>3500</v>
      </c>
      <c r="E310" s="71">
        <f>1214.08</f>
        <v>1214.08</v>
      </c>
      <c r="F310" s="202">
        <f t="shared" si="99"/>
        <v>12914.08</v>
      </c>
      <c r="G310" s="203"/>
      <c r="H310" s="179"/>
      <c r="I310" s="204">
        <f t="shared" si="100"/>
        <v>12914.08</v>
      </c>
      <c r="J310" s="203">
        <f>2000</f>
        <v>2000</v>
      </c>
      <c r="K310" s="179">
        <f>-150</f>
        <v>-150</v>
      </c>
      <c r="L310" s="204">
        <f t="shared" si="101"/>
        <v>14764.08</v>
      </c>
      <c r="M310" s="154">
        <f>300</f>
        <v>300</v>
      </c>
      <c r="N310" s="299"/>
      <c r="O310" s="312">
        <f t="shared" si="102"/>
        <v>15064.08</v>
      </c>
      <c r="P310" s="209">
        <f>-50</f>
        <v>-50</v>
      </c>
      <c r="Q310" s="208">
        <f t="shared" si="103"/>
        <v>15014.08</v>
      </c>
    </row>
    <row r="311" spans="1:17" ht="12.75">
      <c r="A311" s="13" t="s">
        <v>228</v>
      </c>
      <c r="B311" s="55"/>
      <c r="C311" s="72">
        <v>600</v>
      </c>
      <c r="D311" s="133">
        <f>900</f>
        <v>900</v>
      </c>
      <c r="E311" s="71"/>
      <c r="F311" s="202">
        <f t="shared" si="99"/>
        <v>1500</v>
      </c>
      <c r="G311" s="203"/>
      <c r="H311" s="179"/>
      <c r="I311" s="204">
        <f t="shared" si="100"/>
        <v>1500</v>
      </c>
      <c r="J311" s="203"/>
      <c r="K311" s="179"/>
      <c r="L311" s="204">
        <f t="shared" si="101"/>
        <v>1500</v>
      </c>
      <c r="M311" s="154">
        <f>-300</f>
        <v>-300</v>
      </c>
      <c r="N311" s="230"/>
      <c r="O311" s="312">
        <f t="shared" si="102"/>
        <v>1200</v>
      </c>
      <c r="P311" s="209"/>
      <c r="Q311" s="208">
        <f t="shared" si="103"/>
        <v>1200</v>
      </c>
    </row>
    <row r="312" spans="1:17" ht="12.75" hidden="1">
      <c r="A312" s="13" t="s">
        <v>52</v>
      </c>
      <c r="B312" s="55"/>
      <c r="C312" s="72"/>
      <c r="D312" s="133"/>
      <c r="E312" s="71"/>
      <c r="F312" s="202">
        <f t="shared" si="99"/>
        <v>0</v>
      </c>
      <c r="G312" s="203"/>
      <c r="H312" s="179"/>
      <c r="I312" s="204">
        <f t="shared" si="100"/>
        <v>0</v>
      </c>
      <c r="J312" s="203"/>
      <c r="K312" s="179"/>
      <c r="L312" s="204">
        <f t="shared" si="101"/>
        <v>0</v>
      </c>
      <c r="M312" s="154"/>
      <c r="N312" s="230"/>
      <c r="O312" s="312">
        <f t="shared" si="102"/>
        <v>0</v>
      </c>
      <c r="P312" s="209"/>
      <c r="Q312" s="208">
        <f t="shared" si="103"/>
        <v>0</v>
      </c>
    </row>
    <row r="313" spans="1:17" ht="12.75">
      <c r="A313" s="20" t="s">
        <v>53</v>
      </c>
      <c r="B313" s="59"/>
      <c r="C313" s="80">
        <f aca="true" t="shared" si="104" ref="C313:Q313">SUM(C315:C319)</f>
        <v>800</v>
      </c>
      <c r="D313" s="137">
        <f t="shared" si="104"/>
        <v>1300</v>
      </c>
      <c r="E313" s="81">
        <f t="shared" si="104"/>
        <v>1270.62</v>
      </c>
      <c r="F313" s="256">
        <f t="shared" si="104"/>
        <v>3370.62</v>
      </c>
      <c r="G313" s="223">
        <f t="shared" si="104"/>
        <v>0</v>
      </c>
      <c r="H313" s="190">
        <f t="shared" si="104"/>
        <v>0</v>
      </c>
      <c r="I313" s="236">
        <f t="shared" si="104"/>
        <v>3370.62</v>
      </c>
      <c r="J313" s="223">
        <f t="shared" si="104"/>
        <v>0</v>
      </c>
      <c r="K313" s="190">
        <f t="shared" si="104"/>
        <v>0</v>
      </c>
      <c r="L313" s="236">
        <f t="shared" si="104"/>
        <v>3370.62</v>
      </c>
      <c r="M313" s="166">
        <f t="shared" si="104"/>
        <v>0</v>
      </c>
      <c r="N313" s="296">
        <f t="shared" si="104"/>
        <v>0</v>
      </c>
      <c r="O313" s="316">
        <f t="shared" si="104"/>
        <v>3370.62</v>
      </c>
      <c r="P313" s="223">
        <f t="shared" si="104"/>
        <v>50</v>
      </c>
      <c r="Q313" s="149">
        <f t="shared" si="104"/>
        <v>3420.62</v>
      </c>
    </row>
    <row r="314" spans="1:17" ht="12.75">
      <c r="A314" s="11" t="s">
        <v>26</v>
      </c>
      <c r="B314" s="55"/>
      <c r="C314" s="73"/>
      <c r="D314" s="134"/>
      <c r="E314" s="74"/>
      <c r="F314" s="254"/>
      <c r="G314" s="220"/>
      <c r="H314" s="181"/>
      <c r="I314" s="211"/>
      <c r="J314" s="220"/>
      <c r="K314" s="181"/>
      <c r="L314" s="211"/>
      <c r="M314" s="165"/>
      <c r="N314" s="231"/>
      <c r="O314" s="313"/>
      <c r="P314" s="209"/>
      <c r="Q314" s="208"/>
    </row>
    <row r="315" spans="1:17" ht="12.75" hidden="1">
      <c r="A315" s="13" t="s">
        <v>143</v>
      </c>
      <c r="B315" s="55"/>
      <c r="C315" s="72"/>
      <c r="D315" s="133"/>
      <c r="E315" s="71"/>
      <c r="F315" s="202">
        <f>C315+D315+E315</f>
        <v>0</v>
      </c>
      <c r="G315" s="203"/>
      <c r="H315" s="179"/>
      <c r="I315" s="204">
        <f>F315+G315+H315</f>
        <v>0</v>
      </c>
      <c r="J315" s="203"/>
      <c r="K315" s="179"/>
      <c r="L315" s="204">
        <f>I315+J315+K315</f>
        <v>0</v>
      </c>
      <c r="M315" s="154"/>
      <c r="N315" s="230"/>
      <c r="O315" s="312">
        <f>L315+M315+N315</f>
        <v>0</v>
      </c>
      <c r="P315" s="209"/>
      <c r="Q315" s="208">
        <f>O315+P315</f>
        <v>0</v>
      </c>
    </row>
    <row r="316" spans="1:17" ht="12.75">
      <c r="A316" s="13" t="s">
        <v>227</v>
      </c>
      <c r="B316" s="55"/>
      <c r="C316" s="72">
        <v>800</v>
      </c>
      <c r="D316" s="133">
        <f>500</f>
        <v>500</v>
      </c>
      <c r="E316" s="71">
        <f>1270.62</f>
        <v>1270.62</v>
      </c>
      <c r="F316" s="202">
        <f>C316+D316+E316</f>
        <v>2570.62</v>
      </c>
      <c r="G316" s="203"/>
      <c r="H316" s="179"/>
      <c r="I316" s="204">
        <f>F316+G316+H316</f>
        <v>2570.62</v>
      </c>
      <c r="J316" s="203"/>
      <c r="K316" s="179"/>
      <c r="L316" s="204">
        <f>I316+J316+K316</f>
        <v>2570.62</v>
      </c>
      <c r="M316" s="154"/>
      <c r="N316" s="299"/>
      <c r="O316" s="312">
        <f>L316+M316+N316</f>
        <v>2570.62</v>
      </c>
      <c r="P316" s="209">
        <f>50</f>
        <v>50</v>
      </c>
      <c r="Q316" s="208">
        <f>O316+P316</f>
        <v>2620.62</v>
      </c>
    </row>
    <row r="317" spans="1:17" ht="12.75" hidden="1">
      <c r="A317" s="13" t="s">
        <v>228</v>
      </c>
      <c r="B317" s="55"/>
      <c r="C317" s="72"/>
      <c r="D317" s="133"/>
      <c r="E317" s="71"/>
      <c r="F317" s="202">
        <f>C317+D317+E317</f>
        <v>0</v>
      </c>
      <c r="G317" s="203"/>
      <c r="H317" s="179"/>
      <c r="I317" s="204"/>
      <c r="J317" s="203"/>
      <c r="K317" s="179"/>
      <c r="L317" s="204"/>
      <c r="M317" s="154"/>
      <c r="N317" s="230"/>
      <c r="O317" s="312"/>
      <c r="P317" s="209"/>
      <c r="Q317" s="208"/>
    </row>
    <row r="318" spans="1:17" ht="12.75" hidden="1">
      <c r="A318" s="13" t="s">
        <v>52</v>
      </c>
      <c r="B318" s="55"/>
      <c r="C318" s="72"/>
      <c r="D318" s="133"/>
      <c r="E318" s="71"/>
      <c r="F318" s="202">
        <f>C318+D318+E318</f>
        <v>0</v>
      </c>
      <c r="G318" s="224"/>
      <c r="H318" s="182"/>
      <c r="I318" s="237">
        <f>F318+G318+H318</f>
        <v>0</v>
      </c>
      <c r="J318" s="224"/>
      <c r="K318" s="182"/>
      <c r="L318" s="144">
        <f>I318+J318+K318</f>
        <v>0</v>
      </c>
      <c r="M318" s="154"/>
      <c r="N318" s="230"/>
      <c r="O318" s="312">
        <f>L318+M318+N318</f>
        <v>0</v>
      </c>
      <c r="P318" s="209"/>
      <c r="Q318" s="208">
        <f>O318+P318</f>
        <v>0</v>
      </c>
    </row>
    <row r="319" spans="1:17" ht="12.75">
      <c r="A319" s="16" t="s">
        <v>54</v>
      </c>
      <c r="B319" s="58"/>
      <c r="C319" s="115"/>
      <c r="D319" s="138">
        <f>800</f>
        <v>800</v>
      </c>
      <c r="E319" s="79"/>
      <c r="F319" s="257">
        <f>C319+D319+E319</f>
        <v>800</v>
      </c>
      <c r="G319" s="224"/>
      <c r="H319" s="182"/>
      <c r="I319" s="237">
        <f>F319+G319+H319</f>
        <v>800</v>
      </c>
      <c r="J319" s="224"/>
      <c r="K319" s="182"/>
      <c r="L319" s="237">
        <f>I319+J319+K319</f>
        <v>800</v>
      </c>
      <c r="M319" s="153"/>
      <c r="N319" s="297"/>
      <c r="O319" s="317">
        <f>L319+M319+N319</f>
        <v>800</v>
      </c>
      <c r="P319" s="276"/>
      <c r="Q319" s="282">
        <f>O319+P319</f>
        <v>800</v>
      </c>
    </row>
    <row r="320" spans="1:17" ht="12.75">
      <c r="A320" s="10" t="s">
        <v>231</v>
      </c>
      <c r="B320" s="59"/>
      <c r="C320" s="69">
        <f aca="true" t="shared" si="105" ref="C320:Q320">C321+C339</f>
        <v>480289.64</v>
      </c>
      <c r="D320" s="132">
        <f t="shared" si="105"/>
        <v>-11549.519999999997</v>
      </c>
      <c r="E320" s="70">
        <f t="shared" si="105"/>
        <v>0</v>
      </c>
      <c r="F320" s="92">
        <f t="shared" si="105"/>
        <v>468740.12</v>
      </c>
      <c r="G320" s="219">
        <f t="shared" si="105"/>
        <v>1002.23</v>
      </c>
      <c r="H320" s="178">
        <f t="shared" si="105"/>
        <v>0</v>
      </c>
      <c r="I320" s="205">
        <f t="shared" si="105"/>
        <v>469742.35</v>
      </c>
      <c r="J320" s="219">
        <f>J321+J339</f>
        <v>5902.23</v>
      </c>
      <c r="K320" s="178">
        <f>K321+K339</f>
        <v>0</v>
      </c>
      <c r="L320" s="205">
        <f>L321+L339</f>
        <v>475644.57999999996</v>
      </c>
      <c r="M320" s="150">
        <f t="shared" si="105"/>
        <v>1100</v>
      </c>
      <c r="N320" s="229">
        <f t="shared" si="105"/>
        <v>0</v>
      </c>
      <c r="O320" s="311">
        <f t="shared" si="105"/>
        <v>476744.57999999996</v>
      </c>
      <c r="P320" s="219">
        <f t="shared" si="105"/>
        <v>0</v>
      </c>
      <c r="Q320" s="143">
        <f t="shared" si="105"/>
        <v>476744.57999999996</v>
      </c>
    </row>
    <row r="321" spans="1:17" ht="12.75">
      <c r="A321" s="19" t="s">
        <v>49</v>
      </c>
      <c r="B321" s="59"/>
      <c r="C321" s="77">
        <f aca="true" t="shared" si="106" ref="C321:Q321">SUM(C323:C338)</f>
        <v>480289.64</v>
      </c>
      <c r="D321" s="136">
        <f t="shared" si="106"/>
        <v>-11549.519999999997</v>
      </c>
      <c r="E321" s="78">
        <f t="shared" si="106"/>
        <v>0</v>
      </c>
      <c r="F321" s="201">
        <f t="shared" si="106"/>
        <v>468740.12</v>
      </c>
      <c r="G321" s="222">
        <f t="shared" si="106"/>
        <v>1002.23</v>
      </c>
      <c r="H321" s="183">
        <f t="shared" si="106"/>
        <v>0</v>
      </c>
      <c r="I321" s="235">
        <f t="shared" si="106"/>
        <v>469742.35</v>
      </c>
      <c r="J321" s="222">
        <f>SUM(J323:J338)</f>
        <v>5902.23</v>
      </c>
      <c r="K321" s="183">
        <f>SUM(K323:K338)</f>
        <v>0</v>
      </c>
      <c r="L321" s="235">
        <f>SUM(L323:L338)</f>
        <v>475644.57999999996</v>
      </c>
      <c r="M321" s="151">
        <f t="shared" si="106"/>
        <v>1100</v>
      </c>
      <c r="N321" s="295">
        <f t="shared" si="106"/>
        <v>0</v>
      </c>
      <c r="O321" s="315">
        <f t="shared" si="106"/>
        <v>476744.57999999996</v>
      </c>
      <c r="P321" s="222">
        <f t="shared" si="106"/>
        <v>0</v>
      </c>
      <c r="Q321" s="148">
        <f t="shared" si="106"/>
        <v>476744.57999999996</v>
      </c>
    </row>
    <row r="322" spans="1:17" ht="12.75">
      <c r="A322" s="15" t="s">
        <v>26</v>
      </c>
      <c r="B322" s="55"/>
      <c r="C322" s="72"/>
      <c r="D322" s="133"/>
      <c r="E322" s="71"/>
      <c r="F322" s="202"/>
      <c r="G322" s="203"/>
      <c r="H322" s="179"/>
      <c r="I322" s="204"/>
      <c r="J322" s="203"/>
      <c r="K322" s="179"/>
      <c r="L322" s="204"/>
      <c r="M322" s="154"/>
      <c r="N322" s="230"/>
      <c r="O322" s="312"/>
      <c r="P322" s="209"/>
      <c r="Q322" s="208"/>
    </row>
    <row r="323" spans="1:17" ht="12.75">
      <c r="A323" s="22" t="s">
        <v>127</v>
      </c>
      <c r="B323" s="55"/>
      <c r="C323" s="72">
        <v>261770.61</v>
      </c>
      <c r="D323" s="139">
        <f>4123.76</f>
        <v>4123.76</v>
      </c>
      <c r="E323" s="71"/>
      <c r="F323" s="202">
        <f aca="true" t="shared" si="107" ref="F323:F338">C323+D323+E323</f>
        <v>265894.37</v>
      </c>
      <c r="G323" s="203"/>
      <c r="H323" s="179"/>
      <c r="I323" s="204">
        <f>F323+G323+H323</f>
        <v>265894.37</v>
      </c>
      <c r="J323" s="210">
        <f>2500+852.71</f>
        <v>3352.71</v>
      </c>
      <c r="K323" s="179"/>
      <c r="L323" s="204">
        <f>I323+J323+K323</f>
        <v>269247.08</v>
      </c>
      <c r="M323" s="154"/>
      <c r="N323" s="230"/>
      <c r="O323" s="312">
        <f>L323+M323+N323</f>
        <v>269247.08</v>
      </c>
      <c r="P323" s="209"/>
      <c r="Q323" s="208">
        <f aca="true" t="shared" si="108" ref="Q323:Q335">O323+P323</f>
        <v>269247.08</v>
      </c>
    </row>
    <row r="324" spans="1:17" ht="12.75">
      <c r="A324" s="13" t="s">
        <v>50</v>
      </c>
      <c r="B324" s="55"/>
      <c r="C324" s="72">
        <v>88209.38</v>
      </c>
      <c r="D324" s="133">
        <f>1376.93</f>
        <v>1376.93</v>
      </c>
      <c r="E324" s="71"/>
      <c r="F324" s="202">
        <f t="shared" si="107"/>
        <v>89586.31</v>
      </c>
      <c r="G324" s="203"/>
      <c r="H324" s="179"/>
      <c r="I324" s="204">
        <f aca="true" t="shared" si="109" ref="I324:I335">F324+G324+H324</f>
        <v>89586.31</v>
      </c>
      <c r="J324" s="203">
        <f>1147.29</f>
        <v>1147.29</v>
      </c>
      <c r="K324" s="179"/>
      <c r="L324" s="204">
        <f aca="true" t="shared" si="110" ref="L324:L338">I324+J324+K324</f>
        <v>90733.59999999999</v>
      </c>
      <c r="M324" s="154"/>
      <c r="N324" s="230"/>
      <c r="O324" s="312">
        <f aca="true" t="shared" si="111" ref="O324:O338">L324+M324+N324</f>
        <v>90733.59999999999</v>
      </c>
      <c r="P324" s="209"/>
      <c r="Q324" s="208">
        <f t="shared" si="108"/>
        <v>90733.59999999999</v>
      </c>
    </row>
    <row r="325" spans="1:17" ht="12.75">
      <c r="A325" s="13" t="s">
        <v>226</v>
      </c>
      <c r="B325" s="55"/>
      <c r="C325" s="72">
        <v>196</v>
      </c>
      <c r="D325" s="133"/>
      <c r="E325" s="71"/>
      <c r="F325" s="202">
        <f t="shared" si="107"/>
        <v>196</v>
      </c>
      <c r="G325" s="203"/>
      <c r="H325" s="179"/>
      <c r="I325" s="204">
        <f t="shared" si="109"/>
        <v>196</v>
      </c>
      <c r="J325" s="203"/>
      <c r="K325" s="179"/>
      <c r="L325" s="204">
        <f t="shared" si="110"/>
        <v>196</v>
      </c>
      <c r="M325" s="154"/>
      <c r="N325" s="230"/>
      <c r="O325" s="312">
        <f t="shared" si="111"/>
        <v>196</v>
      </c>
      <c r="P325" s="209"/>
      <c r="Q325" s="208">
        <f t="shared" si="108"/>
        <v>196</v>
      </c>
    </row>
    <row r="326" spans="1:17" ht="12.75">
      <c r="A326" s="13" t="s">
        <v>51</v>
      </c>
      <c r="B326" s="55"/>
      <c r="C326" s="72">
        <v>67230.25</v>
      </c>
      <c r="D326" s="268">
        <f>-25455+140.83+2250+555</f>
        <v>-22509.17</v>
      </c>
      <c r="E326" s="71"/>
      <c r="F326" s="202">
        <f t="shared" si="107"/>
        <v>44721.08</v>
      </c>
      <c r="G326" s="203">
        <f>1.1</f>
        <v>1.1</v>
      </c>
      <c r="H326" s="179"/>
      <c r="I326" s="204">
        <f t="shared" si="109"/>
        <v>44722.18</v>
      </c>
      <c r="J326" s="203">
        <f>2902.23-2000</f>
        <v>902.23</v>
      </c>
      <c r="K326" s="179"/>
      <c r="L326" s="204">
        <f t="shared" si="110"/>
        <v>45624.41</v>
      </c>
      <c r="M326" s="154"/>
      <c r="N326" s="230"/>
      <c r="O326" s="312">
        <f t="shared" si="111"/>
        <v>45624.41</v>
      </c>
      <c r="P326" s="209"/>
      <c r="Q326" s="208">
        <f t="shared" si="108"/>
        <v>45624.41</v>
      </c>
    </row>
    <row r="327" spans="1:17" ht="12.75">
      <c r="A327" s="13" t="s">
        <v>55</v>
      </c>
      <c r="B327" s="55">
        <v>1115</v>
      </c>
      <c r="C327" s="72">
        <v>343</v>
      </c>
      <c r="D327" s="133">
        <f>188.96</f>
        <v>188.96</v>
      </c>
      <c r="E327" s="71"/>
      <c r="F327" s="202">
        <f t="shared" si="107"/>
        <v>531.96</v>
      </c>
      <c r="G327" s="203"/>
      <c r="H327" s="179"/>
      <c r="I327" s="204">
        <f t="shared" si="109"/>
        <v>531.96</v>
      </c>
      <c r="J327" s="203"/>
      <c r="K327" s="179"/>
      <c r="L327" s="204">
        <f t="shared" si="110"/>
        <v>531.96</v>
      </c>
      <c r="M327" s="154"/>
      <c r="N327" s="230"/>
      <c r="O327" s="312">
        <f t="shared" si="111"/>
        <v>531.96</v>
      </c>
      <c r="P327" s="209"/>
      <c r="Q327" s="208">
        <f t="shared" si="108"/>
        <v>531.96</v>
      </c>
    </row>
    <row r="328" spans="1:17" ht="12.75" hidden="1">
      <c r="A328" s="13" t="s">
        <v>56</v>
      </c>
      <c r="B328" s="55"/>
      <c r="C328" s="72"/>
      <c r="D328" s="133"/>
      <c r="E328" s="71"/>
      <c r="F328" s="202">
        <f t="shared" si="107"/>
        <v>0</v>
      </c>
      <c r="G328" s="203"/>
      <c r="H328" s="179"/>
      <c r="I328" s="204">
        <f t="shared" si="109"/>
        <v>0</v>
      </c>
      <c r="J328" s="203"/>
      <c r="K328" s="179"/>
      <c r="L328" s="204">
        <f t="shared" si="110"/>
        <v>0</v>
      </c>
      <c r="M328" s="154"/>
      <c r="N328" s="230"/>
      <c r="O328" s="312">
        <f t="shared" si="111"/>
        <v>0</v>
      </c>
      <c r="P328" s="209"/>
      <c r="Q328" s="208">
        <f t="shared" si="108"/>
        <v>0</v>
      </c>
    </row>
    <row r="329" spans="1:17" ht="12.75">
      <c r="A329" s="13" t="s">
        <v>57</v>
      </c>
      <c r="B329" s="55">
        <v>51</v>
      </c>
      <c r="C329" s="72">
        <v>62540.4</v>
      </c>
      <c r="D329" s="133">
        <f>5270</f>
        <v>5270</v>
      </c>
      <c r="E329" s="71"/>
      <c r="F329" s="202">
        <f t="shared" si="107"/>
        <v>67810.4</v>
      </c>
      <c r="G329" s="203"/>
      <c r="H329" s="179"/>
      <c r="I329" s="204">
        <f t="shared" si="109"/>
        <v>67810.4</v>
      </c>
      <c r="J329" s="203"/>
      <c r="K329" s="179"/>
      <c r="L329" s="204">
        <f t="shared" si="110"/>
        <v>67810.4</v>
      </c>
      <c r="M329" s="154"/>
      <c r="N329" s="230"/>
      <c r="O329" s="312">
        <f t="shared" si="111"/>
        <v>67810.4</v>
      </c>
      <c r="P329" s="209"/>
      <c r="Q329" s="208">
        <f t="shared" si="108"/>
        <v>67810.4</v>
      </c>
    </row>
    <row r="330" spans="1:17" ht="12.75" hidden="1">
      <c r="A330" s="13" t="s">
        <v>75</v>
      </c>
      <c r="B330" s="55"/>
      <c r="C330" s="72"/>
      <c r="D330" s="133"/>
      <c r="E330" s="71"/>
      <c r="F330" s="202">
        <f t="shared" si="107"/>
        <v>0</v>
      </c>
      <c r="G330" s="203"/>
      <c r="H330" s="179"/>
      <c r="I330" s="204">
        <f t="shared" si="109"/>
        <v>0</v>
      </c>
      <c r="J330" s="203"/>
      <c r="K330" s="179"/>
      <c r="L330" s="204">
        <f t="shared" si="110"/>
        <v>0</v>
      </c>
      <c r="M330" s="154"/>
      <c r="N330" s="230"/>
      <c r="O330" s="312">
        <f t="shared" si="111"/>
        <v>0</v>
      </c>
      <c r="P330" s="209"/>
      <c r="Q330" s="208">
        <f t="shared" si="108"/>
        <v>0</v>
      </c>
    </row>
    <row r="331" spans="1:17" ht="12.75">
      <c r="A331" s="13" t="s">
        <v>335</v>
      </c>
      <c r="B331" s="55">
        <v>13015</v>
      </c>
      <c r="C331" s="72"/>
      <c r="D331" s="133"/>
      <c r="E331" s="71"/>
      <c r="F331" s="202">
        <f t="shared" si="107"/>
        <v>0</v>
      </c>
      <c r="G331" s="203">
        <f>1001.13</f>
        <v>1001.13</v>
      </c>
      <c r="H331" s="179"/>
      <c r="I331" s="204">
        <f t="shared" si="109"/>
        <v>1001.13</v>
      </c>
      <c r="J331" s="203"/>
      <c r="K331" s="179"/>
      <c r="L331" s="204">
        <f t="shared" si="110"/>
        <v>1001.13</v>
      </c>
      <c r="M331" s="154"/>
      <c r="N331" s="230"/>
      <c r="O331" s="312">
        <f t="shared" si="111"/>
        <v>1001.13</v>
      </c>
      <c r="P331" s="209"/>
      <c r="Q331" s="208">
        <f t="shared" si="108"/>
        <v>1001.13</v>
      </c>
    </row>
    <row r="332" spans="1:17" ht="12.75" hidden="1">
      <c r="A332" s="13" t="s">
        <v>58</v>
      </c>
      <c r="B332" s="55"/>
      <c r="C332" s="72"/>
      <c r="D332" s="133"/>
      <c r="E332" s="71"/>
      <c r="F332" s="202">
        <f t="shared" si="107"/>
        <v>0</v>
      </c>
      <c r="G332" s="203"/>
      <c r="H332" s="179"/>
      <c r="I332" s="204">
        <f t="shared" si="109"/>
        <v>0</v>
      </c>
      <c r="J332" s="203"/>
      <c r="K332" s="179"/>
      <c r="L332" s="204">
        <f t="shared" si="110"/>
        <v>0</v>
      </c>
      <c r="M332" s="154"/>
      <c r="N332" s="230"/>
      <c r="O332" s="312">
        <f t="shared" si="111"/>
        <v>0</v>
      </c>
      <c r="P332" s="209"/>
      <c r="Q332" s="208">
        <f t="shared" si="108"/>
        <v>0</v>
      </c>
    </row>
    <row r="333" spans="1:17" ht="12.75">
      <c r="A333" s="13" t="s">
        <v>234</v>
      </c>
      <c r="B333" s="55">
        <v>98008</v>
      </c>
      <c r="C333" s="72"/>
      <c r="D333" s="133"/>
      <c r="E333" s="71"/>
      <c r="F333" s="202">
        <f t="shared" si="107"/>
        <v>0</v>
      </c>
      <c r="G333" s="203"/>
      <c r="H333" s="179"/>
      <c r="I333" s="204">
        <f t="shared" si="109"/>
        <v>0</v>
      </c>
      <c r="J333" s="203"/>
      <c r="K333" s="179"/>
      <c r="L333" s="204">
        <f t="shared" si="110"/>
        <v>0</v>
      </c>
      <c r="M333" s="154">
        <f>100</f>
        <v>100</v>
      </c>
      <c r="N333" s="230"/>
      <c r="O333" s="312">
        <f t="shared" si="111"/>
        <v>100</v>
      </c>
      <c r="P333" s="209"/>
      <c r="Q333" s="208">
        <f t="shared" si="108"/>
        <v>100</v>
      </c>
    </row>
    <row r="334" spans="1:17" ht="12.75">
      <c r="A334" s="13" t="s">
        <v>355</v>
      </c>
      <c r="B334" s="55">
        <v>98187</v>
      </c>
      <c r="C334" s="72"/>
      <c r="D334" s="133"/>
      <c r="E334" s="71"/>
      <c r="F334" s="202"/>
      <c r="G334" s="203"/>
      <c r="H334" s="179"/>
      <c r="I334" s="204"/>
      <c r="J334" s="203"/>
      <c r="K334" s="179"/>
      <c r="L334" s="204">
        <f t="shared" si="110"/>
        <v>0</v>
      </c>
      <c r="M334" s="154">
        <f>1000</f>
        <v>1000</v>
      </c>
      <c r="N334" s="230"/>
      <c r="O334" s="312">
        <f t="shared" si="111"/>
        <v>1000</v>
      </c>
      <c r="P334" s="209"/>
      <c r="Q334" s="208">
        <f t="shared" si="108"/>
        <v>1000</v>
      </c>
    </row>
    <row r="335" spans="1:17" ht="12.75" hidden="1">
      <c r="A335" s="13" t="s">
        <v>235</v>
      </c>
      <c r="B335" s="55">
        <v>98071</v>
      </c>
      <c r="C335" s="72"/>
      <c r="D335" s="133"/>
      <c r="E335" s="71"/>
      <c r="F335" s="202">
        <f t="shared" si="107"/>
        <v>0</v>
      </c>
      <c r="G335" s="203"/>
      <c r="H335" s="179"/>
      <c r="I335" s="204">
        <f t="shared" si="109"/>
        <v>0</v>
      </c>
      <c r="J335" s="203"/>
      <c r="K335" s="179"/>
      <c r="L335" s="204">
        <f t="shared" si="110"/>
        <v>0</v>
      </c>
      <c r="M335" s="154"/>
      <c r="N335" s="230"/>
      <c r="O335" s="312">
        <f t="shared" si="111"/>
        <v>0</v>
      </c>
      <c r="P335" s="209"/>
      <c r="Q335" s="208">
        <f t="shared" si="108"/>
        <v>0</v>
      </c>
    </row>
    <row r="336" spans="1:17" ht="12.75" hidden="1">
      <c r="A336" s="13" t="s">
        <v>59</v>
      </c>
      <c r="B336" s="55">
        <v>98074</v>
      </c>
      <c r="C336" s="72"/>
      <c r="D336" s="133"/>
      <c r="E336" s="71"/>
      <c r="F336" s="259">
        <f t="shared" si="107"/>
        <v>0</v>
      </c>
      <c r="G336" s="203"/>
      <c r="H336" s="179"/>
      <c r="I336" s="204">
        <f>F336+G336+H336</f>
        <v>0</v>
      </c>
      <c r="J336" s="203"/>
      <c r="K336" s="179"/>
      <c r="L336" s="204">
        <f t="shared" si="110"/>
        <v>0</v>
      </c>
      <c r="M336" s="154"/>
      <c r="N336" s="230"/>
      <c r="O336" s="312">
        <f t="shared" si="111"/>
        <v>0</v>
      </c>
      <c r="P336" s="209"/>
      <c r="Q336" s="208">
        <f>O336+P336</f>
        <v>0</v>
      </c>
    </row>
    <row r="337" spans="1:17" ht="12.75" hidden="1">
      <c r="A337" s="13" t="s">
        <v>60</v>
      </c>
      <c r="B337" s="55"/>
      <c r="C337" s="72"/>
      <c r="D337" s="133"/>
      <c r="E337" s="71"/>
      <c r="F337" s="202">
        <f t="shared" si="107"/>
        <v>0</v>
      </c>
      <c r="G337" s="203"/>
      <c r="H337" s="179"/>
      <c r="I337" s="204">
        <f>F337+G337+H337</f>
        <v>0</v>
      </c>
      <c r="J337" s="203"/>
      <c r="K337" s="179"/>
      <c r="L337" s="204">
        <f t="shared" si="110"/>
        <v>0</v>
      </c>
      <c r="M337" s="154"/>
      <c r="N337" s="230"/>
      <c r="O337" s="312">
        <f t="shared" si="111"/>
        <v>0</v>
      </c>
      <c r="P337" s="209"/>
      <c r="Q337" s="208">
        <f>O337+P337</f>
        <v>0</v>
      </c>
    </row>
    <row r="338" spans="1:17" ht="12.75">
      <c r="A338" s="16" t="s">
        <v>61</v>
      </c>
      <c r="B338" s="58">
        <v>4001</v>
      </c>
      <c r="C338" s="115"/>
      <c r="D338" s="138"/>
      <c r="E338" s="79"/>
      <c r="F338" s="257">
        <f t="shared" si="107"/>
        <v>0</v>
      </c>
      <c r="G338" s="224"/>
      <c r="H338" s="182"/>
      <c r="I338" s="237">
        <f>F338+G338+H338</f>
        <v>0</v>
      </c>
      <c r="J338" s="224">
        <f>500</f>
        <v>500</v>
      </c>
      <c r="K338" s="182"/>
      <c r="L338" s="237">
        <f t="shared" si="110"/>
        <v>500</v>
      </c>
      <c r="M338" s="153"/>
      <c r="N338" s="297"/>
      <c r="O338" s="317">
        <f t="shared" si="111"/>
        <v>500</v>
      </c>
      <c r="P338" s="276"/>
      <c r="Q338" s="282">
        <f>O338+P338</f>
        <v>500</v>
      </c>
    </row>
    <row r="339" spans="1:17" ht="12.75" hidden="1">
      <c r="A339" s="19" t="s">
        <v>53</v>
      </c>
      <c r="B339" s="59"/>
      <c r="C339" s="77">
        <f>C342+C341</f>
        <v>0</v>
      </c>
      <c r="D339" s="136">
        <f aca="true" t="shared" si="112" ref="D339:Q339">D342+D341</f>
        <v>0</v>
      </c>
      <c r="E339" s="78">
        <f t="shared" si="112"/>
        <v>0</v>
      </c>
      <c r="F339" s="201">
        <f t="shared" si="112"/>
        <v>0</v>
      </c>
      <c r="G339" s="222">
        <f t="shared" si="112"/>
        <v>0</v>
      </c>
      <c r="H339" s="183">
        <f t="shared" si="112"/>
        <v>0</v>
      </c>
      <c r="I339" s="235">
        <f t="shared" si="112"/>
        <v>0</v>
      </c>
      <c r="J339" s="222">
        <f t="shared" si="112"/>
        <v>0</v>
      </c>
      <c r="K339" s="183">
        <f t="shared" si="112"/>
        <v>0</v>
      </c>
      <c r="L339" s="235">
        <f t="shared" si="112"/>
        <v>0</v>
      </c>
      <c r="M339" s="151">
        <f t="shared" si="112"/>
        <v>0</v>
      </c>
      <c r="N339" s="295">
        <f t="shared" si="112"/>
        <v>0</v>
      </c>
      <c r="O339" s="315">
        <f t="shared" si="112"/>
        <v>0</v>
      </c>
      <c r="P339" s="222">
        <f t="shared" si="112"/>
        <v>0</v>
      </c>
      <c r="Q339" s="148">
        <f t="shared" si="112"/>
        <v>0</v>
      </c>
    </row>
    <row r="340" spans="1:17" ht="12.75" hidden="1">
      <c r="A340" s="15" t="s">
        <v>26</v>
      </c>
      <c r="B340" s="55"/>
      <c r="C340" s="72"/>
      <c r="D340" s="133"/>
      <c r="E340" s="71"/>
      <c r="F340" s="92"/>
      <c r="G340" s="203"/>
      <c r="H340" s="179"/>
      <c r="I340" s="205"/>
      <c r="J340" s="203"/>
      <c r="K340" s="179"/>
      <c r="L340" s="205"/>
      <c r="M340" s="154"/>
      <c r="N340" s="230"/>
      <c r="O340" s="311"/>
      <c r="P340" s="209"/>
      <c r="Q340" s="208"/>
    </row>
    <row r="341" spans="1:17" ht="12.75" hidden="1">
      <c r="A341" s="12" t="s">
        <v>54</v>
      </c>
      <c r="B341" s="55"/>
      <c r="C341" s="72"/>
      <c r="D341" s="133"/>
      <c r="E341" s="71"/>
      <c r="F341" s="202">
        <f>C341+D341+E341</f>
        <v>0</v>
      </c>
      <c r="G341" s="203"/>
      <c r="H341" s="179"/>
      <c r="I341" s="204">
        <f>F341+G341+H341</f>
        <v>0</v>
      </c>
      <c r="J341" s="203"/>
      <c r="K341" s="179"/>
      <c r="L341" s="204">
        <f>I341+J341+K341</f>
        <v>0</v>
      </c>
      <c r="M341" s="154"/>
      <c r="N341" s="230"/>
      <c r="O341" s="312">
        <f>L341+M341+N341</f>
        <v>0</v>
      </c>
      <c r="P341" s="209"/>
      <c r="Q341" s="208">
        <f>O341+P341</f>
        <v>0</v>
      </c>
    </row>
    <row r="342" spans="1:17" ht="12.75" hidden="1">
      <c r="A342" s="16" t="s">
        <v>76</v>
      </c>
      <c r="B342" s="58"/>
      <c r="C342" s="115"/>
      <c r="D342" s="138"/>
      <c r="E342" s="79"/>
      <c r="F342" s="257">
        <f>C342+D342+E342</f>
        <v>0</v>
      </c>
      <c r="G342" s="224"/>
      <c r="H342" s="182"/>
      <c r="I342" s="237">
        <f>F342+G342+H342</f>
        <v>0</v>
      </c>
      <c r="J342" s="224"/>
      <c r="K342" s="182"/>
      <c r="L342" s="237">
        <f>I342+J342+K342</f>
        <v>0</v>
      </c>
      <c r="M342" s="153"/>
      <c r="N342" s="297"/>
      <c r="O342" s="317">
        <f>L342+M342+N342</f>
        <v>0</v>
      </c>
      <c r="P342" s="276"/>
      <c r="Q342" s="282">
        <f>O342+P342</f>
        <v>0</v>
      </c>
    </row>
    <row r="343" spans="1:17" ht="12.75">
      <c r="A343" s="24" t="s">
        <v>153</v>
      </c>
      <c r="B343" s="60"/>
      <c r="C343" s="69">
        <f aca="true" t="shared" si="113" ref="C343:Q343">C344+C371</f>
        <v>561310.2</v>
      </c>
      <c r="D343" s="132">
        <f t="shared" si="113"/>
        <v>1522805.8199999996</v>
      </c>
      <c r="E343" s="70">
        <f t="shared" si="113"/>
        <v>29719.719999999998</v>
      </c>
      <c r="F343" s="92">
        <f t="shared" si="113"/>
        <v>2113835.74</v>
      </c>
      <c r="G343" s="219">
        <f t="shared" si="113"/>
        <v>610719.65</v>
      </c>
      <c r="H343" s="178">
        <f t="shared" si="113"/>
        <v>8691.2</v>
      </c>
      <c r="I343" s="205">
        <f t="shared" si="113"/>
        <v>2733246.59</v>
      </c>
      <c r="J343" s="219">
        <f>J344+J371</f>
        <v>28344.03000000001</v>
      </c>
      <c r="K343" s="178">
        <f>K344+K371</f>
        <v>11529.78</v>
      </c>
      <c r="L343" s="205">
        <f>L344+L371</f>
        <v>2773120.4</v>
      </c>
      <c r="M343" s="150">
        <f t="shared" si="113"/>
        <v>175078.15000000002</v>
      </c>
      <c r="N343" s="229">
        <f t="shared" si="113"/>
        <v>13553.37</v>
      </c>
      <c r="O343" s="311">
        <f t="shared" si="113"/>
        <v>2961751.92</v>
      </c>
      <c r="P343" s="219">
        <f t="shared" si="113"/>
        <v>86540.54000000002</v>
      </c>
      <c r="Q343" s="143">
        <f t="shared" si="113"/>
        <v>3048292.46</v>
      </c>
    </row>
    <row r="344" spans="1:17" ht="12.75">
      <c r="A344" s="19" t="s">
        <v>49</v>
      </c>
      <c r="B344" s="59"/>
      <c r="C344" s="77">
        <f aca="true" t="shared" si="114" ref="C344:Q344">SUM(C346:C359)</f>
        <v>78611.45</v>
      </c>
      <c r="D344" s="136">
        <f t="shared" si="114"/>
        <v>69516.63999999998</v>
      </c>
      <c r="E344" s="78">
        <f t="shared" si="114"/>
        <v>32.67</v>
      </c>
      <c r="F344" s="201">
        <f t="shared" si="114"/>
        <v>148160.76</v>
      </c>
      <c r="G344" s="222">
        <f t="shared" si="114"/>
        <v>2366.3</v>
      </c>
      <c r="H344" s="183">
        <f t="shared" si="114"/>
        <v>4682.41</v>
      </c>
      <c r="I344" s="235">
        <f t="shared" si="114"/>
        <v>155209.46999999997</v>
      </c>
      <c r="J344" s="222">
        <f>SUM(J346:J359)</f>
        <v>-4444.660000000001</v>
      </c>
      <c r="K344" s="183">
        <f>SUM(K346:K359)</f>
        <v>3070.3700000000003</v>
      </c>
      <c r="L344" s="235">
        <f>SUM(L346:L359)</f>
        <v>153835.18</v>
      </c>
      <c r="M344" s="151">
        <f t="shared" si="114"/>
        <v>15489.279999999999</v>
      </c>
      <c r="N344" s="295">
        <f t="shared" si="114"/>
        <v>-384.49</v>
      </c>
      <c r="O344" s="315">
        <f t="shared" si="114"/>
        <v>168939.97</v>
      </c>
      <c r="P344" s="222">
        <f t="shared" si="114"/>
        <v>6376.81</v>
      </c>
      <c r="Q344" s="148">
        <f t="shared" si="114"/>
        <v>175316.77999999997</v>
      </c>
    </row>
    <row r="345" spans="1:17" ht="12.75">
      <c r="A345" s="15" t="s">
        <v>26</v>
      </c>
      <c r="B345" s="55"/>
      <c r="C345" s="77"/>
      <c r="D345" s="269"/>
      <c r="E345" s="87"/>
      <c r="F345" s="201"/>
      <c r="G345" s="203"/>
      <c r="H345" s="179"/>
      <c r="I345" s="204"/>
      <c r="J345" s="203"/>
      <c r="K345" s="179"/>
      <c r="L345" s="204"/>
      <c r="M345" s="168"/>
      <c r="N345" s="230"/>
      <c r="O345" s="312"/>
      <c r="P345" s="209"/>
      <c r="Q345" s="208"/>
    </row>
    <row r="346" spans="1:17" ht="12.75">
      <c r="A346" s="17" t="s">
        <v>51</v>
      </c>
      <c r="B346" s="55"/>
      <c r="C346" s="72">
        <v>6512.95</v>
      </c>
      <c r="D346" s="139">
        <f>2000+6655.15</f>
        <v>8655.15</v>
      </c>
      <c r="E346" s="82"/>
      <c r="F346" s="202">
        <f aca="true" t="shared" si="115" ref="F346:F370">C346+D346+E346</f>
        <v>15168.099999999999</v>
      </c>
      <c r="G346" s="203">
        <f>200</f>
        <v>200</v>
      </c>
      <c r="H346" s="179"/>
      <c r="I346" s="204">
        <f aca="true" t="shared" si="116" ref="I346:I358">F346+G346+H346</f>
        <v>15368.099999999999</v>
      </c>
      <c r="J346" s="203">
        <f>-1000</f>
        <v>-1000</v>
      </c>
      <c r="K346" s="179"/>
      <c r="L346" s="204">
        <f aca="true" t="shared" si="117" ref="L346:L369">I346+J346+K346</f>
        <v>14368.099999999999</v>
      </c>
      <c r="M346" s="168">
        <f>2.4</f>
        <v>2.4</v>
      </c>
      <c r="N346" s="230"/>
      <c r="O346" s="312">
        <f aca="true" t="shared" si="118" ref="O346:O369">L346+M346+N346</f>
        <v>14370.499999999998</v>
      </c>
      <c r="P346" s="209"/>
      <c r="Q346" s="208">
        <f aca="true" t="shared" si="119" ref="Q346:Q357">O346+P346</f>
        <v>14370.499999999998</v>
      </c>
    </row>
    <row r="347" spans="1:17" ht="12.75">
      <c r="A347" s="17" t="s">
        <v>159</v>
      </c>
      <c r="B347" s="55">
        <v>1080</v>
      </c>
      <c r="C347" s="72"/>
      <c r="D347" s="139">
        <f>1246.76</f>
        <v>1246.76</v>
      </c>
      <c r="E347" s="82"/>
      <c r="F347" s="202">
        <f t="shared" si="115"/>
        <v>1246.76</v>
      </c>
      <c r="G347" s="203"/>
      <c r="H347" s="179"/>
      <c r="I347" s="204">
        <f t="shared" si="116"/>
        <v>1246.76</v>
      </c>
      <c r="J347" s="203"/>
      <c r="K347" s="179"/>
      <c r="L347" s="204">
        <f t="shared" si="117"/>
        <v>1246.76</v>
      </c>
      <c r="M347" s="168"/>
      <c r="N347" s="230"/>
      <c r="O347" s="312">
        <f t="shared" si="118"/>
        <v>1246.76</v>
      </c>
      <c r="P347" s="209"/>
      <c r="Q347" s="208">
        <f t="shared" si="119"/>
        <v>1246.76</v>
      </c>
    </row>
    <row r="348" spans="1:17" ht="12.75">
      <c r="A348" s="17" t="s">
        <v>160</v>
      </c>
      <c r="B348" s="105">
        <v>1081.1202</v>
      </c>
      <c r="C348" s="72">
        <v>1490</v>
      </c>
      <c r="D348" s="139">
        <f>228.14</f>
        <v>228.14</v>
      </c>
      <c r="E348" s="82"/>
      <c r="F348" s="202">
        <f t="shared" si="115"/>
        <v>1718.1399999999999</v>
      </c>
      <c r="G348" s="203"/>
      <c r="H348" s="179"/>
      <c r="I348" s="204">
        <f t="shared" si="116"/>
        <v>1718.1399999999999</v>
      </c>
      <c r="J348" s="203"/>
      <c r="K348" s="179"/>
      <c r="L348" s="204">
        <f t="shared" si="117"/>
        <v>1718.1399999999999</v>
      </c>
      <c r="M348" s="168"/>
      <c r="N348" s="230"/>
      <c r="O348" s="312">
        <f t="shared" si="118"/>
        <v>1718.1399999999999</v>
      </c>
      <c r="P348" s="209"/>
      <c r="Q348" s="208">
        <f t="shared" si="119"/>
        <v>1718.1399999999999</v>
      </c>
    </row>
    <row r="349" spans="1:17" ht="12.75" hidden="1">
      <c r="A349" s="56" t="s">
        <v>79</v>
      </c>
      <c r="B349" s="55"/>
      <c r="C349" s="72"/>
      <c r="D349" s="139"/>
      <c r="E349" s="82"/>
      <c r="F349" s="202">
        <f t="shared" si="115"/>
        <v>0</v>
      </c>
      <c r="G349" s="203"/>
      <c r="H349" s="179"/>
      <c r="I349" s="204">
        <f t="shared" si="116"/>
        <v>0</v>
      </c>
      <c r="J349" s="203"/>
      <c r="K349" s="179"/>
      <c r="L349" s="204">
        <f t="shared" si="117"/>
        <v>0</v>
      </c>
      <c r="M349" s="168"/>
      <c r="N349" s="230"/>
      <c r="O349" s="312">
        <f t="shared" si="118"/>
        <v>0</v>
      </c>
      <c r="P349" s="209"/>
      <c r="Q349" s="208">
        <f t="shared" si="119"/>
        <v>0</v>
      </c>
    </row>
    <row r="350" spans="1:17" ht="12.75">
      <c r="A350" s="13" t="s">
        <v>166</v>
      </c>
      <c r="B350" s="55"/>
      <c r="C350" s="72">
        <v>43593.34</v>
      </c>
      <c r="D350" s="139">
        <f>6000</f>
        <v>6000</v>
      </c>
      <c r="E350" s="82"/>
      <c r="F350" s="202">
        <f t="shared" si="115"/>
        <v>49593.34</v>
      </c>
      <c r="G350" s="203"/>
      <c r="H350" s="179"/>
      <c r="I350" s="204">
        <f t="shared" si="116"/>
        <v>49593.34</v>
      </c>
      <c r="J350" s="203"/>
      <c r="K350" s="179"/>
      <c r="L350" s="204">
        <f t="shared" si="117"/>
        <v>49593.34</v>
      </c>
      <c r="M350" s="168">
        <f>-540.89+878.34</f>
        <v>337.45000000000005</v>
      </c>
      <c r="N350" s="230"/>
      <c r="O350" s="312">
        <f t="shared" si="118"/>
        <v>49930.78999999999</v>
      </c>
      <c r="P350" s="209"/>
      <c r="Q350" s="208">
        <f t="shared" si="119"/>
        <v>49930.78999999999</v>
      </c>
    </row>
    <row r="351" spans="1:17" ht="12.75">
      <c r="A351" s="17" t="s">
        <v>211</v>
      </c>
      <c r="B351" s="55"/>
      <c r="C351" s="72"/>
      <c r="D351" s="139">
        <f>15406.15</f>
        <v>15406.15</v>
      </c>
      <c r="E351" s="82"/>
      <c r="F351" s="202">
        <f t="shared" si="115"/>
        <v>15406.15</v>
      </c>
      <c r="G351" s="203">
        <f>100</f>
        <v>100</v>
      </c>
      <c r="H351" s="179"/>
      <c r="I351" s="204">
        <f t="shared" si="116"/>
        <v>15506.15</v>
      </c>
      <c r="J351" s="203">
        <f>-4000</f>
        <v>-4000</v>
      </c>
      <c r="K351" s="179"/>
      <c r="L351" s="204">
        <f t="shared" si="117"/>
        <v>11506.15</v>
      </c>
      <c r="M351" s="168">
        <f>14800</f>
        <v>14800</v>
      </c>
      <c r="N351" s="230"/>
      <c r="O351" s="312">
        <f t="shared" si="118"/>
        <v>26306.15</v>
      </c>
      <c r="P351" s="209"/>
      <c r="Q351" s="208">
        <f t="shared" si="119"/>
        <v>26306.15</v>
      </c>
    </row>
    <row r="352" spans="1:17" ht="12.75">
      <c r="A352" s="13" t="s">
        <v>180</v>
      </c>
      <c r="B352" s="95">
        <v>212163</v>
      </c>
      <c r="C352" s="72"/>
      <c r="D352" s="139">
        <f>486.94</f>
        <v>486.94</v>
      </c>
      <c r="E352" s="82"/>
      <c r="F352" s="202">
        <f t="shared" si="115"/>
        <v>486.94</v>
      </c>
      <c r="G352" s="203">
        <f>150</f>
        <v>150</v>
      </c>
      <c r="H352" s="179"/>
      <c r="I352" s="204">
        <f t="shared" si="116"/>
        <v>636.94</v>
      </c>
      <c r="J352" s="203"/>
      <c r="K352" s="179"/>
      <c r="L352" s="204">
        <f t="shared" si="117"/>
        <v>636.94</v>
      </c>
      <c r="M352" s="168"/>
      <c r="N352" s="230"/>
      <c r="O352" s="312">
        <f t="shared" si="118"/>
        <v>636.94</v>
      </c>
      <c r="P352" s="209"/>
      <c r="Q352" s="208">
        <f t="shared" si="119"/>
        <v>636.94</v>
      </c>
    </row>
    <row r="353" spans="1:17" ht="12.75" hidden="1">
      <c r="A353" s="17" t="s">
        <v>156</v>
      </c>
      <c r="B353" s="95">
        <v>212162</v>
      </c>
      <c r="C353" s="72"/>
      <c r="D353" s="139"/>
      <c r="E353" s="82"/>
      <c r="F353" s="202">
        <f t="shared" si="115"/>
        <v>0</v>
      </c>
      <c r="G353" s="203"/>
      <c r="H353" s="179"/>
      <c r="I353" s="204">
        <f t="shared" si="116"/>
        <v>0</v>
      </c>
      <c r="J353" s="203"/>
      <c r="K353" s="179"/>
      <c r="L353" s="204">
        <f t="shared" si="117"/>
        <v>0</v>
      </c>
      <c r="M353" s="168"/>
      <c r="N353" s="230"/>
      <c r="O353" s="312">
        <f t="shared" si="118"/>
        <v>0</v>
      </c>
      <c r="P353" s="209"/>
      <c r="Q353" s="208">
        <f t="shared" si="119"/>
        <v>0</v>
      </c>
    </row>
    <row r="354" spans="1:17" ht="12.75">
      <c r="A354" s="17" t="s">
        <v>74</v>
      </c>
      <c r="B354" s="95">
        <v>91252</v>
      </c>
      <c r="C354" s="72"/>
      <c r="D354" s="139"/>
      <c r="E354" s="82"/>
      <c r="F354" s="202"/>
      <c r="G354" s="203"/>
      <c r="H354" s="179"/>
      <c r="I354" s="204"/>
      <c r="J354" s="203"/>
      <c r="K354" s="179"/>
      <c r="L354" s="204">
        <f t="shared" si="117"/>
        <v>0</v>
      </c>
      <c r="M354" s="168">
        <f>4077.77</f>
        <v>4077.77</v>
      </c>
      <c r="N354" s="230"/>
      <c r="O354" s="312">
        <f t="shared" si="118"/>
        <v>4077.77</v>
      </c>
      <c r="P354" s="209">
        <f>6068.29</f>
        <v>6068.29</v>
      </c>
      <c r="Q354" s="208">
        <f t="shared" si="119"/>
        <v>10146.06</v>
      </c>
    </row>
    <row r="355" spans="1:17" ht="12.75">
      <c r="A355" s="17" t="s">
        <v>278</v>
      </c>
      <c r="B355" s="95"/>
      <c r="C355" s="72"/>
      <c r="D355" s="139"/>
      <c r="E355" s="82"/>
      <c r="F355" s="202">
        <f t="shared" si="115"/>
        <v>0</v>
      </c>
      <c r="G355" s="203">
        <f>1151.87</f>
        <v>1151.87</v>
      </c>
      <c r="H355" s="179"/>
      <c r="I355" s="204">
        <f t="shared" si="116"/>
        <v>1151.87</v>
      </c>
      <c r="J355" s="203"/>
      <c r="K355" s="179"/>
      <c r="L355" s="204">
        <f t="shared" si="117"/>
        <v>1151.87</v>
      </c>
      <c r="M355" s="168"/>
      <c r="N355" s="230"/>
      <c r="O355" s="312">
        <f t="shared" si="118"/>
        <v>1151.87</v>
      </c>
      <c r="P355" s="209"/>
      <c r="Q355" s="208">
        <f t="shared" si="119"/>
        <v>1151.87</v>
      </c>
    </row>
    <row r="356" spans="1:17" ht="12.75">
      <c r="A356" s="33" t="s">
        <v>318</v>
      </c>
      <c r="B356" s="95"/>
      <c r="C356" s="72"/>
      <c r="D356" s="139">
        <f>2533.61+298.07</f>
        <v>2831.6800000000003</v>
      </c>
      <c r="E356" s="82"/>
      <c r="F356" s="202">
        <f t="shared" si="115"/>
        <v>2831.6800000000003</v>
      </c>
      <c r="G356" s="203"/>
      <c r="H356" s="179"/>
      <c r="I356" s="204">
        <f t="shared" si="116"/>
        <v>2831.6800000000003</v>
      </c>
      <c r="J356" s="203"/>
      <c r="K356" s="179"/>
      <c r="L356" s="204">
        <f t="shared" si="117"/>
        <v>2831.6800000000003</v>
      </c>
      <c r="M356" s="168"/>
      <c r="N356" s="230"/>
      <c r="O356" s="312">
        <f t="shared" si="118"/>
        <v>2831.6800000000003</v>
      </c>
      <c r="P356" s="209"/>
      <c r="Q356" s="208">
        <f t="shared" si="119"/>
        <v>2831.6800000000003</v>
      </c>
    </row>
    <row r="357" spans="1:17" ht="12.75">
      <c r="A357" s="17" t="s">
        <v>344</v>
      </c>
      <c r="B357" s="95"/>
      <c r="C357" s="72"/>
      <c r="D357" s="139"/>
      <c r="E357" s="82"/>
      <c r="F357" s="202"/>
      <c r="G357" s="203"/>
      <c r="H357" s="179"/>
      <c r="I357" s="204">
        <f t="shared" si="116"/>
        <v>0</v>
      </c>
      <c r="J357" s="203">
        <f>29.89</f>
        <v>29.89</v>
      </c>
      <c r="K357" s="179"/>
      <c r="L357" s="204">
        <f t="shared" si="117"/>
        <v>29.89</v>
      </c>
      <c r="M357" s="168"/>
      <c r="N357" s="230"/>
      <c r="O357" s="312">
        <f t="shared" si="118"/>
        <v>29.89</v>
      </c>
      <c r="P357" s="209">
        <f>225.01</f>
        <v>225.01</v>
      </c>
      <c r="Q357" s="208">
        <f t="shared" si="119"/>
        <v>254.89999999999998</v>
      </c>
    </row>
    <row r="358" spans="1:17" ht="12.75" hidden="1">
      <c r="A358" s="17" t="s">
        <v>266</v>
      </c>
      <c r="B358" s="95"/>
      <c r="C358" s="72"/>
      <c r="D358" s="139"/>
      <c r="E358" s="82"/>
      <c r="F358" s="202">
        <f t="shared" si="115"/>
        <v>0</v>
      </c>
      <c r="G358" s="203"/>
      <c r="H358" s="179"/>
      <c r="I358" s="204">
        <f t="shared" si="116"/>
        <v>0</v>
      </c>
      <c r="J358" s="203"/>
      <c r="K358" s="179"/>
      <c r="L358" s="204">
        <f t="shared" si="117"/>
        <v>0</v>
      </c>
      <c r="M358" s="168"/>
      <c r="N358" s="230"/>
      <c r="O358" s="312">
        <f t="shared" si="118"/>
        <v>0</v>
      </c>
      <c r="P358" s="209"/>
      <c r="Q358" s="208"/>
    </row>
    <row r="359" spans="1:17" ht="12.75">
      <c r="A359" s="13" t="s">
        <v>76</v>
      </c>
      <c r="B359" s="55"/>
      <c r="C359" s="116">
        <f>SUM(C360:C370)</f>
        <v>27015.16</v>
      </c>
      <c r="D359" s="139">
        <f>SUM(D360:D370)</f>
        <v>34661.81999999999</v>
      </c>
      <c r="E359" s="82">
        <f aca="true" t="shared" si="120" ref="E359:Q359">SUM(E360:E370)</f>
        <v>32.67</v>
      </c>
      <c r="F359" s="260">
        <f t="shared" si="120"/>
        <v>61709.65000000001</v>
      </c>
      <c r="G359" s="210">
        <f t="shared" si="120"/>
        <v>764.4300000000001</v>
      </c>
      <c r="H359" s="184">
        <f t="shared" si="120"/>
        <v>4682.41</v>
      </c>
      <c r="I359" s="240">
        <f t="shared" si="120"/>
        <v>67156.49</v>
      </c>
      <c r="J359" s="210">
        <f t="shared" si="120"/>
        <v>525.4499999999989</v>
      </c>
      <c r="K359" s="184">
        <f t="shared" si="120"/>
        <v>3070.3700000000003</v>
      </c>
      <c r="L359" s="240">
        <f t="shared" si="120"/>
        <v>70752.31</v>
      </c>
      <c r="M359" s="168">
        <f t="shared" si="120"/>
        <v>-3728.34</v>
      </c>
      <c r="N359" s="299">
        <f t="shared" si="120"/>
        <v>-384.49</v>
      </c>
      <c r="O359" s="312">
        <f t="shared" si="118"/>
        <v>66639.48</v>
      </c>
      <c r="P359" s="210">
        <f t="shared" si="120"/>
        <v>83.51</v>
      </c>
      <c r="Q359" s="155">
        <f t="shared" si="120"/>
        <v>66722.99</v>
      </c>
    </row>
    <row r="360" spans="1:18" ht="12.75">
      <c r="A360" s="13" t="s">
        <v>198</v>
      </c>
      <c r="B360" s="55"/>
      <c r="C360" s="116">
        <v>7500</v>
      </c>
      <c r="D360" s="139"/>
      <c r="E360" s="71"/>
      <c r="F360" s="202">
        <f t="shared" si="115"/>
        <v>7500</v>
      </c>
      <c r="G360" s="203"/>
      <c r="H360" s="179"/>
      <c r="I360" s="204">
        <f>F360+G360+H360</f>
        <v>7500</v>
      </c>
      <c r="J360" s="203"/>
      <c r="K360" s="179"/>
      <c r="L360" s="204">
        <f t="shared" si="117"/>
        <v>7500</v>
      </c>
      <c r="M360" s="168"/>
      <c r="N360" s="230"/>
      <c r="O360" s="312">
        <f t="shared" si="118"/>
        <v>7500</v>
      </c>
      <c r="P360" s="209"/>
      <c r="Q360" s="208">
        <f aca="true" t="shared" si="121" ref="Q360:Q369">O360+P360</f>
        <v>7500</v>
      </c>
      <c r="R360" s="111"/>
    </row>
    <row r="361" spans="1:18" ht="12.75">
      <c r="A361" s="13" t="s">
        <v>165</v>
      </c>
      <c r="B361" s="55"/>
      <c r="C361" s="116"/>
      <c r="D361" s="139">
        <f>8511.2-298.07+8000</f>
        <v>16213.130000000001</v>
      </c>
      <c r="E361" s="71"/>
      <c r="F361" s="202">
        <f t="shared" si="115"/>
        <v>16213.130000000001</v>
      </c>
      <c r="G361" s="203">
        <f>906.59</f>
        <v>906.59</v>
      </c>
      <c r="H361" s="179"/>
      <c r="I361" s="204">
        <f aca="true" t="shared" si="122" ref="I361:I369">F361+G361+H361</f>
        <v>17119.72</v>
      </c>
      <c r="J361" s="203">
        <f>20.05+340.85</f>
        <v>360.90000000000003</v>
      </c>
      <c r="K361" s="179"/>
      <c r="L361" s="204">
        <f t="shared" si="117"/>
        <v>17480.620000000003</v>
      </c>
      <c r="M361" s="168">
        <f>-878.34-2500-350</f>
        <v>-3728.34</v>
      </c>
      <c r="N361" s="230"/>
      <c r="O361" s="312">
        <f t="shared" si="118"/>
        <v>13752.280000000002</v>
      </c>
      <c r="P361" s="209">
        <f>83.51</f>
        <v>83.51</v>
      </c>
      <c r="Q361" s="208">
        <f t="shared" si="121"/>
        <v>13835.790000000003</v>
      </c>
      <c r="R361" s="38"/>
    </row>
    <row r="362" spans="1:17" ht="12.75" hidden="1">
      <c r="A362" s="13" t="s">
        <v>246</v>
      </c>
      <c r="B362" s="55"/>
      <c r="C362" s="116"/>
      <c r="D362" s="270"/>
      <c r="E362" s="71"/>
      <c r="F362" s="202">
        <f t="shared" si="115"/>
        <v>0</v>
      </c>
      <c r="G362" s="203"/>
      <c r="H362" s="179"/>
      <c r="I362" s="204">
        <f t="shared" si="122"/>
        <v>0</v>
      </c>
      <c r="J362" s="203"/>
      <c r="K362" s="179"/>
      <c r="L362" s="204">
        <f t="shared" si="117"/>
        <v>0</v>
      </c>
      <c r="M362" s="168"/>
      <c r="N362" s="230"/>
      <c r="O362" s="312">
        <f t="shared" si="118"/>
        <v>0</v>
      </c>
      <c r="P362" s="209"/>
      <c r="Q362" s="208">
        <f t="shared" si="121"/>
        <v>0</v>
      </c>
    </row>
    <row r="363" spans="1:17" ht="12.75" hidden="1">
      <c r="A363" s="13" t="s">
        <v>188</v>
      </c>
      <c r="B363" s="55"/>
      <c r="C363" s="116"/>
      <c r="D363" s="139"/>
      <c r="E363" s="71"/>
      <c r="F363" s="202">
        <f t="shared" si="115"/>
        <v>0</v>
      </c>
      <c r="G363" s="203"/>
      <c r="H363" s="179"/>
      <c r="I363" s="204">
        <f t="shared" si="122"/>
        <v>0</v>
      </c>
      <c r="J363" s="203"/>
      <c r="K363" s="179"/>
      <c r="L363" s="204">
        <f t="shared" si="117"/>
        <v>0</v>
      </c>
      <c r="M363" s="168"/>
      <c r="N363" s="230"/>
      <c r="O363" s="312">
        <f t="shared" si="118"/>
        <v>0</v>
      </c>
      <c r="P363" s="209"/>
      <c r="Q363" s="208">
        <f t="shared" si="121"/>
        <v>0</v>
      </c>
    </row>
    <row r="364" spans="1:17" ht="12.75">
      <c r="A364" s="13" t="s">
        <v>210</v>
      </c>
      <c r="B364" s="55"/>
      <c r="C364" s="116"/>
      <c r="D364" s="139">
        <f>2977.89</f>
        <v>2977.89</v>
      </c>
      <c r="E364" s="71"/>
      <c r="F364" s="202">
        <f t="shared" si="115"/>
        <v>2977.89</v>
      </c>
      <c r="G364" s="203"/>
      <c r="H364" s="179"/>
      <c r="I364" s="204">
        <f t="shared" si="122"/>
        <v>2977.89</v>
      </c>
      <c r="J364" s="203">
        <f>10000</f>
        <v>10000</v>
      </c>
      <c r="K364" s="179"/>
      <c r="L364" s="204">
        <f t="shared" si="117"/>
        <v>12977.89</v>
      </c>
      <c r="M364" s="168"/>
      <c r="N364" s="230"/>
      <c r="O364" s="312">
        <f t="shared" si="118"/>
        <v>12977.89</v>
      </c>
      <c r="P364" s="209"/>
      <c r="Q364" s="208">
        <f t="shared" si="121"/>
        <v>12977.89</v>
      </c>
    </row>
    <row r="365" spans="1:17" ht="12.75">
      <c r="A365" s="13" t="s">
        <v>164</v>
      </c>
      <c r="B365" s="55"/>
      <c r="C365" s="116"/>
      <c r="D365" s="139">
        <f>6733.32+493.57</f>
        <v>7226.889999999999</v>
      </c>
      <c r="E365" s="71">
        <f>32.67</f>
        <v>32.67</v>
      </c>
      <c r="F365" s="202">
        <f t="shared" si="115"/>
        <v>7259.5599999999995</v>
      </c>
      <c r="G365" s="203">
        <f>206.29-348.45</f>
        <v>-142.16</v>
      </c>
      <c r="H365" s="179">
        <f>60.63+21.78</f>
        <v>82.41</v>
      </c>
      <c r="I365" s="204">
        <f t="shared" si="122"/>
        <v>7199.8099999999995</v>
      </c>
      <c r="J365" s="203"/>
      <c r="K365" s="179">
        <f>3034.07+36.3</f>
        <v>3070.3700000000003</v>
      </c>
      <c r="L365" s="204">
        <f t="shared" si="117"/>
        <v>10270.18</v>
      </c>
      <c r="M365" s="168"/>
      <c r="N365" s="230">
        <f>52.63-437.12</f>
        <v>-384.49</v>
      </c>
      <c r="O365" s="312">
        <f t="shared" si="118"/>
        <v>9885.69</v>
      </c>
      <c r="P365" s="209"/>
      <c r="Q365" s="208">
        <f t="shared" si="121"/>
        <v>9885.69</v>
      </c>
    </row>
    <row r="366" spans="1:17" ht="12.75">
      <c r="A366" s="13" t="s">
        <v>288</v>
      </c>
      <c r="B366" s="55"/>
      <c r="C366" s="116"/>
      <c r="D366" s="139">
        <f>4494.54</f>
        <v>4494.54</v>
      </c>
      <c r="E366" s="71"/>
      <c r="F366" s="202">
        <f t="shared" si="115"/>
        <v>4494.54</v>
      </c>
      <c r="G366" s="203"/>
      <c r="H366" s="179">
        <f>4600</f>
        <v>4600</v>
      </c>
      <c r="I366" s="204">
        <f t="shared" si="122"/>
        <v>9094.54</v>
      </c>
      <c r="J366" s="203">
        <f>964.55</f>
        <v>964.55</v>
      </c>
      <c r="K366" s="179"/>
      <c r="L366" s="204">
        <f t="shared" si="117"/>
        <v>10059.09</v>
      </c>
      <c r="M366" s="168"/>
      <c r="N366" s="230"/>
      <c r="O366" s="312">
        <f t="shared" si="118"/>
        <v>10059.09</v>
      </c>
      <c r="P366" s="209"/>
      <c r="Q366" s="208">
        <f t="shared" si="121"/>
        <v>10059.09</v>
      </c>
    </row>
    <row r="367" spans="1:17" ht="12.75">
      <c r="A367" s="13" t="s">
        <v>171</v>
      </c>
      <c r="B367" s="55"/>
      <c r="C367" s="116">
        <v>1380</v>
      </c>
      <c r="D367" s="139">
        <f>1749.69</f>
        <v>1749.69</v>
      </c>
      <c r="E367" s="71"/>
      <c r="F367" s="202">
        <f t="shared" si="115"/>
        <v>3129.69</v>
      </c>
      <c r="G367" s="203"/>
      <c r="H367" s="179"/>
      <c r="I367" s="204">
        <f t="shared" si="122"/>
        <v>3129.69</v>
      </c>
      <c r="J367" s="203"/>
      <c r="K367" s="179"/>
      <c r="L367" s="204">
        <f t="shared" si="117"/>
        <v>3129.69</v>
      </c>
      <c r="M367" s="168"/>
      <c r="N367" s="230"/>
      <c r="O367" s="312">
        <f t="shared" si="118"/>
        <v>3129.69</v>
      </c>
      <c r="P367" s="209"/>
      <c r="Q367" s="208">
        <f t="shared" si="121"/>
        <v>3129.69</v>
      </c>
    </row>
    <row r="368" spans="1:17" ht="12.75">
      <c r="A368" s="13" t="s">
        <v>170</v>
      </c>
      <c r="B368" s="55"/>
      <c r="C368" s="116">
        <v>16835</v>
      </c>
      <c r="D368" s="139">
        <f>-3035+6334.84</f>
        <v>3299.84</v>
      </c>
      <c r="E368" s="71"/>
      <c r="F368" s="202">
        <f t="shared" si="115"/>
        <v>20134.84</v>
      </c>
      <c r="G368" s="203"/>
      <c r="H368" s="179"/>
      <c r="I368" s="204">
        <f t="shared" si="122"/>
        <v>20134.84</v>
      </c>
      <c r="J368" s="203">
        <f>3000-13800</f>
        <v>-10800</v>
      </c>
      <c r="K368" s="179"/>
      <c r="L368" s="204">
        <f t="shared" si="117"/>
        <v>9334.84</v>
      </c>
      <c r="M368" s="168"/>
      <c r="N368" s="230"/>
      <c r="O368" s="312">
        <f t="shared" si="118"/>
        <v>9334.84</v>
      </c>
      <c r="P368" s="209"/>
      <c r="Q368" s="208">
        <f t="shared" si="121"/>
        <v>9334.84</v>
      </c>
    </row>
    <row r="369" spans="1:17" ht="12.75">
      <c r="A369" s="13" t="s">
        <v>287</v>
      </c>
      <c r="B369" s="55"/>
      <c r="C369" s="116">
        <v>1300.16</v>
      </c>
      <c r="D369" s="139">
        <f>-900.16-400</f>
        <v>-1300.1599999999999</v>
      </c>
      <c r="E369" s="71"/>
      <c r="F369" s="202">
        <f t="shared" si="115"/>
        <v>2.2737367544323206E-13</v>
      </c>
      <c r="G369" s="203"/>
      <c r="H369" s="179"/>
      <c r="I369" s="204">
        <f t="shared" si="122"/>
        <v>2.2737367544323206E-13</v>
      </c>
      <c r="J369" s="203"/>
      <c r="K369" s="179"/>
      <c r="L369" s="204">
        <f t="shared" si="117"/>
        <v>2.2737367544323206E-13</v>
      </c>
      <c r="M369" s="168"/>
      <c r="N369" s="230"/>
      <c r="O369" s="312">
        <f t="shared" si="118"/>
        <v>2.2737367544323206E-13</v>
      </c>
      <c r="P369" s="209"/>
      <c r="Q369" s="208">
        <f t="shared" si="121"/>
        <v>2.2737367544323206E-13</v>
      </c>
    </row>
    <row r="370" spans="1:17" ht="12.75" hidden="1">
      <c r="A370" s="13" t="s">
        <v>220</v>
      </c>
      <c r="B370" s="55"/>
      <c r="C370" s="116"/>
      <c r="D370" s="270"/>
      <c r="E370" s="71"/>
      <c r="F370" s="202">
        <f t="shared" si="115"/>
        <v>0</v>
      </c>
      <c r="G370" s="203"/>
      <c r="H370" s="179"/>
      <c r="I370" s="204"/>
      <c r="J370" s="203"/>
      <c r="K370" s="179"/>
      <c r="L370" s="204"/>
      <c r="M370" s="168"/>
      <c r="N370" s="230"/>
      <c r="O370" s="312"/>
      <c r="P370" s="209"/>
      <c r="Q370" s="208"/>
    </row>
    <row r="371" spans="1:17" ht="12.75">
      <c r="A371" s="19" t="s">
        <v>53</v>
      </c>
      <c r="B371" s="59"/>
      <c r="C371" s="77">
        <f aca="true" t="shared" si="123" ref="C371:Q371">SUM(C373:C390)</f>
        <v>482698.75</v>
      </c>
      <c r="D371" s="136">
        <f t="shared" si="123"/>
        <v>1453289.1799999997</v>
      </c>
      <c r="E371" s="78">
        <f t="shared" si="123"/>
        <v>29687.05</v>
      </c>
      <c r="F371" s="201">
        <f t="shared" si="123"/>
        <v>1965674.98</v>
      </c>
      <c r="G371" s="222">
        <f t="shared" si="123"/>
        <v>608353.35</v>
      </c>
      <c r="H371" s="183">
        <f t="shared" si="123"/>
        <v>4008.790000000001</v>
      </c>
      <c r="I371" s="235">
        <f t="shared" si="123"/>
        <v>2578037.1199999996</v>
      </c>
      <c r="J371" s="222">
        <f t="shared" si="123"/>
        <v>32788.69000000001</v>
      </c>
      <c r="K371" s="183">
        <f t="shared" si="123"/>
        <v>8459.41</v>
      </c>
      <c r="L371" s="235">
        <f t="shared" si="123"/>
        <v>2619285.2199999997</v>
      </c>
      <c r="M371" s="151">
        <f t="shared" si="123"/>
        <v>159588.87000000002</v>
      </c>
      <c r="N371" s="295">
        <f t="shared" si="123"/>
        <v>13937.86</v>
      </c>
      <c r="O371" s="315">
        <f t="shared" si="123"/>
        <v>2792811.9499999997</v>
      </c>
      <c r="P371" s="222">
        <f t="shared" si="123"/>
        <v>80163.73000000003</v>
      </c>
      <c r="Q371" s="148">
        <f t="shared" si="123"/>
        <v>2872975.68</v>
      </c>
    </row>
    <row r="372" spans="1:17" ht="12.75">
      <c r="A372" s="17" t="s">
        <v>26</v>
      </c>
      <c r="B372" s="55"/>
      <c r="C372" s="72"/>
      <c r="D372" s="133"/>
      <c r="E372" s="71"/>
      <c r="F372" s="202"/>
      <c r="G372" s="203"/>
      <c r="H372" s="179"/>
      <c r="I372" s="204"/>
      <c r="J372" s="203"/>
      <c r="K372" s="179"/>
      <c r="L372" s="204"/>
      <c r="M372" s="168"/>
      <c r="N372" s="230"/>
      <c r="O372" s="312"/>
      <c r="P372" s="209"/>
      <c r="Q372" s="208"/>
    </row>
    <row r="373" spans="1:17" ht="12.75" hidden="1">
      <c r="A373" s="17" t="s">
        <v>161</v>
      </c>
      <c r="B373" s="55"/>
      <c r="C373" s="72"/>
      <c r="D373" s="133"/>
      <c r="E373" s="71"/>
      <c r="F373" s="202">
        <f aca="true" t="shared" si="124" ref="F373:F404">C373+D373+E373</f>
        <v>0</v>
      </c>
      <c r="G373" s="203"/>
      <c r="H373" s="179"/>
      <c r="I373" s="204"/>
      <c r="J373" s="203"/>
      <c r="K373" s="179"/>
      <c r="L373" s="204"/>
      <c r="M373" s="168"/>
      <c r="N373" s="230"/>
      <c r="O373" s="312"/>
      <c r="P373" s="209"/>
      <c r="Q373" s="208"/>
    </row>
    <row r="374" spans="1:17" ht="12.75">
      <c r="A374" s="17" t="s">
        <v>160</v>
      </c>
      <c r="B374" s="105">
        <v>1081.1202</v>
      </c>
      <c r="C374" s="72">
        <v>6737</v>
      </c>
      <c r="D374" s="133">
        <f>557.05</f>
        <v>557.05</v>
      </c>
      <c r="E374" s="71"/>
      <c r="F374" s="202">
        <f t="shared" si="124"/>
        <v>7294.05</v>
      </c>
      <c r="G374" s="203"/>
      <c r="H374" s="179"/>
      <c r="I374" s="204">
        <f aca="true" t="shared" si="125" ref="I374:I389">F374+G374+H374</f>
        <v>7294.05</v>
      </c>
      <c r="J374" s="203"/>
      <c r="K374" s="179"/>
      <c r="L374" s="204">
        <f aca="true" t="shared" si="126" ref="L374:L389">I374+J374+K374</f>
        <v>7294.05</v>
      </c>
      <c r="M374" s="168"/>
      <c r="N374" s="230"/>
      <c r="O374" s="312">
        <f aca="true" t="shared" si="127" ref="O374:O389">L374+M374+N374</f>
        <v>7294.05</v>
      </c>
      <c r="P374" s="209"/>
      <c r="Q374" s="208">
        <f aca="true" t="shared" si="128" ref="Q374:Q404">O374+P374</f>
        <v>7294.05</v>
      </c>
    </row>
    <row r="375" spans="1:17" ht="12.75">
      <c r="A375" s="17" t="s">
        <v>155</v>
      </c>
      <c r="B375" s="55"/>
      <c r="C375" s="72">
        <v>19868.59</v>
      </c>
      <c r="D375" s="133">
        <f>1957.58</f>
        <v>1957.58</v>
      </c>
      <c r="E375" s="71"/>
      <c r="F375" s="202">
        <f t="shared" si="124"/>
        <v>21826.17</v>
      </c>
      <c r="G375" s="203">
        <f>10000</f>
        <v>10000</v>
      </c>
      <c r="H375" s="179"/>
      <c r="I375" s="204">
        <f t="shared" si="125"/>
        <v>31826.17</v>
      </c>
      <c r="J375" s="203">
        <f>10000</f>
        <v>10000</v>
      </c>
      <c r="K375" s="179"/>
      <c r="L375" s="204">
        <f t="shared" si="126"/>
        <v>41826.17</v>
      </c>
      <c r="M375" s="168"/>
      <c r="N375" s="230"/>
      <c r="O375" s="312">
        <f t="shared" si="127"/>
        <v>41826.17</v>
      </c>
      <c r="P375" s="209">
        <f>1000</f>
        <v>1000</v>
      </c>
      <c r="Q375" s="208">
        <f t="shared" si="128"/>
        <v>42826.17</v>
      </c>
    </row>
    <row r="376" spans="1:17" ht="12.75">
      <c r="A376" s="17" t="s">
        <v>352</v>
      </c>
      <c r="B376" s="55"/>
      <c r="C376" s="72">
        <v>5000</v>
      </c>
      <c r="D376" s="133">
        <f>5000</f>
        <v>5000</v>
      </c>
      <c r="E376" s="71"/>
      <c r="F376" s="202">
        <f t="shared" si="124"/>
        <v>10000</v>
      </c>
      <c r="G376" s="203"/>
      <c r="H376" s="179"/>
      <c r="I376" s="204">
        <f t="shared" si="125"/>
        <v>10000</v>
      </c>
      <c r="J376" s="203">
        <f>1000</f>
        <v>1000</v>
      </c>
      <c r="K376" s="179"/>
      <c r="L376" s="204">
        <f t="shared" si="126"/>
        <v>11000</v>
      </c>
      <c r="M376" s="168"/>
      <c r="N376" s="230"/>
      <c r="O376" s="312">
        <f t="shared" si="127"/>
        <v>11000</v>
      </c>
      <c r="P376" s="209"/>
      <c r="Q376" s="208">
        <f t="shared" si="128"/>
        <v>11000</v>
      </c>
    </row>
    <row r="377" spans="1:17" ht="12.75">
      <c r="A377" s="17" t="s">
        <v>341</v>
      </c>
      <c r="B377" s="55"/>
      <c r="C377" s="72"/>
      <c r="D377" s="133"/>
      <c r="E377" s="71"/>
      <c r="F377" s="202">
        <f t="shared" si="124"/>
        <v>0</v>
      </c>
      <c r="G377" s="203">
        <f>10000</f>
        <v>10000</v>
      </c>
      <c r="H377" s="179"/>
      <c r="I377" s="204">
        <f t="shared" si="125"/>
        <v>10000</v>
      </c>
      <c r="J377" s="203"/>
      <c r="K377" s="179"/>
      <c r="L377" s="204">
        <f t="shared" si="126"/>
        <v>10000</v>
      </c>
      <c r="M377" s="168"/>
      <c r="N377" s="230"/>
      <c r="O377" s="312">
        <f t="shared" si="127"/>
        <v>10000</v>
      </c>
      <c r="P377" s="209"/>
      <c r="Q377" s="208">
        <f t="shared" si="128"/>
        <v>10000</v>
      </c>
    </row>
    <row r="378" spans="1:17" ht="12.75" hidden="1">
      <c r="A378" s="17" t="s">
        <v>261</v>
      </c>
      <c r="B378" s="55"/>
      <c r="C378" s="72"/>
      <c r="D378" s="139">
        <f>788.1</f>
        <v>788.1</v>
      </c>
      <c r="E378" s="82"/>
      <c r="F378" s="202">
        <f t="shared" si="124"/>
        <v>788.1</v>
      </c>
      <c r="G378" s="203"/>
      <c r="H378" s="179"/>
      <c r="I378" s="204">
        <f t="shared" si="125"/>
        <v>788.1</v>
      </c>
      <c r="J378" s="203"/>
      <c r="K378" s="179"/>
      <c r="L378" s="204">
        <f t="shared" si="126"/>
        <v>788.1</v>
      </c>
      <c r="M378" s="168">
        <f>-788.1</f>
        <v>-788.1</v>
      </c>
      <c r="N378" s="230"/>
      <c r="O378" s="312">
        <f t="shared" si="127"/>
        <v>0</v>
      </c>
      <c r="P378" s="209"/>
      <c r="Q378" s="208">
        <f t="shared" si="128"/>
        <v>0</v>
      </c>
    </row>
    <row r="379" spans="1:17" ht="12.75">
      <c r="A379" s="93" t="s">
        <v>211</v>
      </c>
      <c r="B379" s="55"/>
      <c r="C379" s="72"/>
      <c r="D379" s="270">
        <f>30393.39+60000</f>
        <v>90393.39</v>
      </c>
      <c r="E379" s="88"/>
      <c r="F379" s="202">
        <f t="shared" si="124"/>
        <v>90393.39</v>
      </c>
      <c r="G379" s="203">
        <f>3900</f>
        <v>3900</v>
      </c>
      <c r="H379" s="179"/>
      <c r="I379" s="204">
        <f t="shared" si="125"/>
        <v>94293.39</v>
      </c>
      <c r="J379" s="203">
        <f>-10000</f>
        <v>-10000</v>
      </c>
      <c r="K379" s="179"/>
      <c r="L379" s="204">
        <f t="shared" si="126"/>
        <v>84293.39</v>
      </c>
      <c r="M379" s="168">
        <f>9500</f>
        <v>9500</v>
      </c>
      <c r="N379" s="230"/>
      <c r="O379" s="312">
        <f t="shared" si="127"/>
        <v>93793.39</v>
      </c>
      <c r="P379" s="209"/>
      <c r="Q379" s="208">
        <f t="shared" si="128"/>
        <v>93793.39</v>
      </c>
    </row>
    <row r="380" spans="1:17" ht="12.75">
      <c r="A380" s="17" t="s">
        <v>262</v>
      </c>
      <c r="B380" s="95">
        <v>212163</v>
      </c>
      <c r="C380" s="72">
        <v>106030</v>
      </c>
      <c r="D380" s="139">
        <f>98685.29+97634.38+7574.7</f>
        <v>203894.37</v>
      </c>
      <c r="E380" s="82"/>
      <c r="F380" s="202">
        <f t="shared" si="124"/>
        <v>309924.37</v>
      </c>
      <c r="G380" s="203">
        <f>-150-1314.62</f>
        <v>-1464.62</v>
      </c>
      <c r="H380" s="179"/>
      <c r="I380" s="204">
        <f t="shared" si="125"/>
        <v>308459.75</v>
      </c>
      <c r="J380" s="203"/>
      <c r="K380" s="179"/>
      <c r="L380" s="204">
        <f t="shared" si="126"/>
        <v>308459.75</v>
      </c>
      <c r="M380" s="168"/>
      <c r="N380" s="230"/>
      <c r="O380" s="312">
        <f t="shared" si="127"/>
        <v>308459.75</v>
      </c>
      <c r="P380" s="209"/>
      <c r="Q380" s="208">
        <f t="shared" si="128"/>
        <v>308459.75</v>
      </c>
    </row>
    <row r="381" spans="1:17" ht="12.75">
      <c r="A381" s="17" t="s">
        <v>215</v>
      </c>
      <c r="B381" s="95">
        <v>22777</v>
      </c>
      <c r="C381" s="72"/>
      <c r="D381" s="139"/>
      <c r="E381" s="82"/>
      <c r="F381" s="202">
        <f t="shared" si="124"/>
        <v>0</v>
      </c>
      <c r="G381" s="203"/>
      <c r="H381" s="179"/>
      <c r="I381" s="204">
        <f t="shared" si="125"/>
        <v>0</v>
      </c>
      <c r="J381" s="203"/>
      <c r="K381" s="179"/>
      <c r="L381" s="204">
        <f t="shared" si="126"/>
        <v>0</v>
      </c>
      <c r="M381" s="168">
        <f>4554.2</f>
        <v>4554.2</v>
      </c>
      <c r="N381" s="230"/>
      <c r="O381" s="312">
        <f t="shared" si="127"/>
        <v>4554.2</v>
      </c>
      <c r="P381" s="209">
        <f>6.7</f>
        <v>6.7</v>
      </c>
      <c r="Q381" s="208">
        <f t="shared" si="128"/>
        <v>4560.9</v>
      </c>
    </row>
    <row r="382" spans="1:17" ht="12.75" hidden="1">
      <c r="A382" s="17" t="s">
        <v>250</v>
      </c>
      <c r="B382" s="95">
        <v>98858</v>
      </c>
      <c r="C382" s="72"/>
      <c r="D382" s="139"/>
      <c r="E382" s="82"/>
      <c r="F382" s="202">
        <f t="shared" si="124"/>
        <v>0</v>
      </c>
      <c r="G382" s="203"/>
      <c r="H382" s="179"/>
      <c r="I382" s="204">
        <f t="shared" si="125"/>
        <v>0</v>
      </c>
      <c r="J382" s="203"/>
      <c r="K382" s="179"/>
      <c r="L382" s="204">
        <f t="shared" si="126"/>
        <v>0</v>
      </c>
      <c r="M382" s="168"/>
      <c r="N382" s="230"/>
      <c r="O382" s="312">
        <f t="shared" si="127"/>
        <v>0</v>
      </c>
      <c r="P382" s="209"/>
      <c r="Q382" s="208">
        <f t="shared" si="128"/>
        <v>0</v>
      </c>
    </row>
    <row r="383" spans="1:17" ht="12.75">
      <c r="A383" s="17" t="s">
        <v>156</v>
      </c>
      <c r="B383" s="95">
        <v>212162</v>
      </c>
      <c r="C383" s="72"/>
      <c r="D383" s="139">
        <f>2133.22</f>
        <v>2133.22</v>
      </c>
      <c r="E383" s="82"/>
      <c r="F383" s="202">
        <f t="shared" si="124"/>
        <v>2133.22</v>
      </c>
      <c r="G383" s="203"/>
      <c r="H383" s="179"/>
      <c r="I383" s="204">
        <f t="shared" si="125"/>
        <v>2133.22</v>
      </c>
      <c r="J383" s="203"/>
      <c r="K383" s="179"/>
      <c r="L383" s="204">
        <f t="shared" si="126"/>
        <v>2133.22</v>
      </c>
      <c r="M383" s="168"/>
      <c r="N383" s="230"/>
      <c r="O383" s="312">
        <f t="shared" si="127"/>
        <v>2133.22</v>
      </c>
      <c r="P383" s="209"/>
      <c r="Q383" s="208">
        <f t="shared" si="128"/>
        <v>2133.22</v>
      </c>
    </row>
    <row r="384" spans="1:17" ht="12.75">
      <c r="A384" s="17" t="s">
        <v>278</v>
      </c>
      <c r="B384" s="95"/>
      <c r="C384" s="72"/>
      <c r="D384" s="139">
        <f>10557.37</f>
        <v>10557.37</v>
      </c>
      <c r="E384" s="82"/>
      <c r="F384" s="202">
        <f t="shared" si="124"/>
        <v>10557.37</v>
      </c>
      <c r="G384" s="203">
        <f>739.53</f>
        <v>739.53</v>
      </c>
      <c r="H384" s="179"/>
      <c r="I384" s="204">
        <f t="shared" si="125"/>
        <v>11296.900000000001</v>
      </c>
      <c r="J384" s="203">
        <f>3161.87</f>
        <v>3161.87</v>
      </c>
      <c r="K384" s="179"/>
      <c r="L384" s="204">
        <f t="shared" si="126"/>
        <v>14458.77</v>
      </c>
      <c r="M384" s="168"/>
      <c r="N384" s="230"/>
      <c r="O384" s="312">
        <f t="shared" si="127"/>
        <v>14458.77</v>
      </c>
      <c r="P384" s="209"/>
      <c r="Q384" s="208">
        <f t="shared" si="128"/>
        <v>14458.77</v>
      </c>
    </row>
    <row r="385" spans="1:17" ht="12.75">
      <c r="A385" s="17" t="s">
        <v>344</v>
      </c>
      <c r="B385" s="95"/>
      <c r="C385" s="72"/>
      <c r="D385" s="139"/>
      <c r="E385" s="82"/>
      <c r="F385" s="202"/>
      <c r="G385" s="203"/>
      <c r="H385" s="179"/>
      <c r="I385" s="204">
        <f t="shared" si="125"/>
        <v>0</v>
      </c>
      <c r="J385" s="203">
        <f>119.54</f>
        <v>119.54</v>
      </c>
      <c r="K385" s="179"/>
      <c r="L385" s="204">
        <f t="shared" si="126"/>
        <v>119.54</v>
      </c>
      <c r="M385" s="168"/>
      <c r="N385" s="230"/>
      <c r="O385" s="312">
        <f t="shared" si="127"/>
        <v>119.54</v>
      </c>
      <c r="P385" s="209">
        <f>210.39</f>
        <v>210.39</v>
      </c>
      <c r="Q385" s="208">
        <f t="shared" si="128"/>
        <v>329.93</v>
      </c>
    </row>
    <row r="386" spans="1:17" ht="12.75" hidden="1">
      <c r="A386" s="17" t="s">
        <v>266</v>
      </c>
      <c r="B386" s="95"/>
      <c r="C386" s="72"/>
      <c r="D386" s="139"/>
      <c r="E386" s="82"/>
      <c r="F386" s="202">
        <f t="shared" si="124"/>
        <v>0</v>
      </c>
      <c r="G386" s="203"/>
      <c r="H386" s="179"/>
      <c r="I386" s="204">
        <f t="shared" si="125"/>
        <v>0</v>
      </c>
      <c r="J386" s="203"/>
      <c r="K386" s="179"/>
      <c r="L386" s="204">
        <f t="shared" si="126"/>
        <v>0</v>
      </c>
      <c r="M386" s="168"/>
      <c r="N386" s="230"/>
      <c r="O386" s="312">
        <f t="shared" si="127"/>
        <v>0</v>
      </c>
      <c r="P386" s="209"/>
      <c r="Q386" s="208">
        <f t="shared" si="128"/>
        <v>0</v>
      </c>
    </row>
    <row r="387" spans="1:17" ht="12.75">
      <c r="A387" s="17" t="s">
        <v>267</v>
      </c>
      <c r="B387" s="95">
        <v>91628</v>
      </c>
      <c r="C387" s="72"/>
      <c r="D387" s="139"/>
      <c r="E387" s="82"/>
      <c r="F387" s="202">
        <f t="shared" si="124"/>
        <v>0</v>
      </c>
      <c r="G387" s="203">
        <f>7665+177763</f>
        <v>185428</v>
      </c>
      <c r="H387" s="179"/>
      <c r="I387" s="204">
        <f t="shared" si="125"/>
        <v>185428</v>
      </c>
      <c r="J387" s="203"/>
      <c r="K387" s="179"/>
      <c r="L387" s="204">
        <f t="shared" si="126"/>
        <v>185428</v>
      </c>
      <c r="M387" s="168"/>
      <c r="N387" s="230"/>
      <c r="O387" s="312">
        <f t="shared" si="127"/>
        <v>185428</v>
      </c>
      <c r="P387" s="209">
        <f>-41921.5</f>
        <v>-41921.5</v>
      </c>
      <c r="Q387" s="208">
        <f t="shared" si="128"/>
        <v>143506.5</v>
      </c>
    </row>
    <row r="388" spans="1:17" ht="12.75">
      <c r="A388" s="17" t="s">
        <v>289</v>
      </c>
      <c r="B388" s="95">
        <v>91628</v>
      </c>
      <c r="C388" s="72"/>
      <c r="D388" s="139"/>
      <c r="E388" s="82"/>
      <c r="F388" s="202">
        <f t="shared" si="124"/>
        <v>0</v>
      </c>
      <c r="G388" s="203">
        <f>29678.61+258127</f>
        <v>287805.61</v>
      </c>
      <c r="H388" s="179"/>
      <c r="I388" s="204">
        <f t="shared" si="125"/>
        <v>287805.61</v>
      </c>
      <c r="J388" s="203"/>
      <c r="K388" s="179"/>
      <c r="L388" s="204">
        <f t="shared" si="126"/>
        <v>287805.61</v>
      </c>
      <c r="M388" s="168"/>
      <c r="N388" s="230"/>
      <c r="O388" s="312">
        <f t="shared" si="127"/>
        <v>287805.61</v>
      </c>
      <c r="P388" s="209"/>
      <c r="Q388" s="208">
        <f t="shared" si="128"/>
        <v>287805.61</v>
      </c>
    </row>
    <row r="389" spans="1:17" ht="12.75">
      <c r="A389" s="17" t="s">
        <v>184</v>
      </c>
      <c r="B389" s="55"/>
      <c r="C389" s="72"/>
      <c r="D389" s="139"/>
      <c r="E389" s="82"/>
      <c r="F389" s="202">
        <f t="shared" si="124"/>
        <v>0</v>
      </c>
      <c r="G389" s="203"/>
      <c r="H389" s="179"/>
      <c r="I389" s="204">
        <f t="shared" si="125"/>
        <v>0</v>
      </c>
      <c r="J389" s="203"/>
      <c r="K389" s="179"/>
      <c r="L389" s="204">
        <f t="shared" si="126"/>
        <v>0</v>
      </c>
      <c r="M389" s="168">
        <f>540.89</f>
        <v>540.89</v>
      </c>
      <c r="N389" s="230"/>
      <c r="O389" s="312">
        <f t="shared" si="127"/>
        <v>540.89</v>
      </c>
      <c r="P389" s="209"/>
      <c r="Q389" s="208">
        <f t="shared" si="128"/>
        <v>540.89</v>
      </c>
    </row>
    <row r="390" spans="1:17" ht="12.75">
      <c r="A390" s="17" t="s">
        <v>157</v>
      </c>
      <c r="B390" s="55"/>
      <c r="C390" s="72">
        <f>SUM(C391:C404)</f>
        <v>345063.16000000003</v>
      </c>
      <c r="D390" s="133">
        <f>SUM(D391:D404)</f>
        <v>1138008.0999999999</v>
      </c>
      <c r="E390" s="71">
        <f aca="true" t="shared" si="129" ref="E390:Q390">SUM(E391:E404)</f>
        <v>29687.05</v>
      </c>
      <c r="F390" s="202">
        <f t="shared" si="129"/>
        <v>1512758.31</v>
      </c>
      <c r="G390" s="203">
        <f t="shared" si="129"/>
        <v>111944.82999999999</v>
      </c>
      <c r="H390" s="179">
        <f t="shared" si="129"/>
        <v>4008.790000000001</v>
      </c>
      <c r="I390" s="204">
        <f t="shared" si="129"/>
        <v>1628711.9299999997</v>
      </c>
      <c r="J390" s="203">
        <f t="shared" si="129"/>
        <v>28507.28000000001</v>
      </c>
      <c r="K390" s="179">
        <f t="shared" si="129"/>
        <v>8459.41</v>
      </c>
      <c r="L390" s="204">
        <f t="shared" si="129"/>
        <v>1665678.6199999999</v>
      </c>
      <c r="M390" s="154">
        <f t="shared" si="129"/>
        <v>145781.88000000003</v>
      </c>
      <c r="N390" s="230">
        <f t="shared" si="129"/>
        <v>13937.86</v>
      </c>
      <c r="O390" s="312">
        <f t="shared" si="129"/>
        <v>1825398.3599999999</v>
      </c>
      <c r="P390" s="203">
        <f t="shared" si="129"/>
        <v>120868.14000000003</v>
      </c>
      <c r="Q390" s="144">
        <f t="shared" si="129"/>
        <v>1946266.5000000002</v>
      </c>
    </row>
    <row r="391" spans="1:17" ht="12.75">
      <c r="A391" s="13" t="s">
        <v>198</v>
      </c>
      <c r="B391" s="55"/>
      <c r="C391" s="116">
        <v>1500</v>
      </c>
      <c r="D391" s="139"/>
      <c r="E391" s="71"/>
      <c r="F391" s="202">
        <f>C391+D391+E391</f>
        <v>1500</v>
      </c>
      <c r="G391" s="203"/>
      <c r="H391" s="179"/>
      <c r="I391" s="204">
        <f aca="true" t="shared" si="130" ref="I391:I404">F391+G391+H391</f>
        <v>1500</v>
      </c>
      <c r="J391" s="203"/>
      <c r="K391" s="179"/>
      <c r="L391" s="204">
        <f aca="true" t="shared" si="131" ref="L391:L404">I391+J391+K391</f>
        <v>1500</v>
      </c>
      <c r="M391" s="168"/>
      <c r="N391" s="230"/>
      <c r="O391" s="312">
        <f aca="true" t="shared" si="132" ref="O391:O404">L391+M391+N391</f>
        <v>1500</v>
      </c>
      <c r="P391" s="209"/>
      <c r="Q391" s="208">
        <f t="shared" si="128"/>
        <v>1500</v>
      </c>
    </row>
    <row r="392" spans="1:17" ht="12.75">
      <c r="A392" s="13" t="s">
        <v>165</v>
      </c>
      <c r="B392" s="55"/>
      <c r="C392" s="116">
        <f>8534</f>
        <v>8534</v>
      </c>
      <c r="D392" s="139">
        <f>122032.84-2533.61-8000+2040.02</f>
        <v>113539.25</v>
      </c>
      <c r="E392" s="71"/>
      <c r="F392" s="202">
        <f>C392+D392+E392</f>
        <v>122073.25</v>
      </c>
      <c r="G392" s="203">
        <f>-1500-2000</f>
        <v>-3500</v>
      </c>
      <c r="H392" s="179"/>
      <c r="I392" s="204">
        <f t="shared" si="130"/>
        <v>118573.25</v>
      </c>
      <c r="J392" s="203">
        <f>780.74+13272.67+1000</f>
        <v>15053.41</v>
      </c>
      <c r="K392" s="179"/>
      <c r="L392" s="204">
        <f t="shared" si="131"/>
        <v>133626.66</v>
      </c>
      <c r="M392" s="168">
        <f>-7000-14450</f>
        <v>-21450</v>
      </c>
      <c r="N392" s="230"/>
      <c r="O392" s="312">
        <f t="shared" si="132"/>
        <v>112176.66</v>
      </c>
      <c r="P392" s="209">
        <f>-83.51</f>
        <v>-83.51</v>
      </c>
      <c r="Q392" s="208">
        <f t="shared" si="128"/>
        <v>112093.15000000001</v>
      </c>
    </row>
    <row r="393" spans="1:17" ht="12.75">
      <c r="A393" s="13" t="s">
        <v>281</v>
      </c>
      <c r="B393" s="55"/>
      <c r="C393" s="116">
        <v>604</v>
      </c>
      <c r="D393" s="139">
        <f>4625</f>
        <v>4625</v>
      </c>
      <c r="E393" s="71"/>
      <c r="F393" s="202">
        <f>C393+D393+E393</f>
        <v>5229</v>
      </c>
      <c r="G393" s="203"/>
      <c r="H393" s="179"/>
      <c r="I393" s="204">
        <f t="shared" si="130"/>
        <v>5229</v>
      </c>
      <c r="J393" s="203"/>
      <c r="K393" s="179"/>
      <c r="L393" s="204">
        <f t="shared" si="131"/>
        <v>5229</v>
      </c>
      <c r="M393" s="168"/>
      <c r="N393" s="230"/>
      <c r="O393" s="312">
        <f t="shared" si="132"/>
        <v>5229</v>
      </c>
      <c r="P393" s="209"/>
      <c r="Q393" s="208">
        <f t="shared" si="128"/>
        <v>5229</v>
      </c>
    </row>
    <row r="394" spans="1:17" ht="12.75" hidden="1">
      <c r="A394" s="13" t="s">
        <v>319</v>
      </c>
      <c r="B394" s="55"/>
      <c r="C394" s="116"/>
      <c r="D394" s="139">
        <f>6000-6000</f>
        <v>0</v>
      </c>
      <c r="E394" s="71"/>
      <c r="F394" s="202">
        <f>C394+D394+E394</f>
        <v>0</v>
      </c>
      <c r="G394" s="203"/>
      <c r="H394" s="179"/>
      <c r="I394" s="204">
        <f t="shared" si="130"/>
        <v>0</v>
      </c>
      <c r="J394" s="203"/>
      <c r="K394" s="179"/>
      <c r="L394" s="204">
        <f t="shared" si="131"/>
        <v>0</v>
      </c>
      <c r="M394" s="168"/>
      <c r="N394" s="230"/>
      <c r="O394" s="312">
        <f t="shared" si="132"/>
        <v>0</v>
      </c>
      <c r="P394" s="209"/>
      <c r="Q394" s="208">
        <f t="shared" si="128"/>
        <v>0</v>
      </c>
    </row>
    <row r="395" spans="1:17" ht="12.75" hidden="1">
      <c r="A395" s="13" t="s">
        <v>246</v>
      </c>
      <c r="B395" s="55"/>
      <c r="C395" s="116">
        <v>19500</v>
      </c>
      <c r="D395" s="139">
        <f>-19500</f>
        <v>-19500</v>
      </c>
      <c r="E395" s="71"/>
      <c r="F395" s="202">
        <f t="shared" si="124"/>
        <v>0</v>
      </c>
      <c r="G395" s="203"/>
      <c r="H395" s="179"/>
      <c r="I395" s="204">
        <f t="shared" si="130"/>
        <v>0</v>
      </c>
      <c r="J395" s="203"/>
      <c r="K395" s="179"/>
      <c r="L395" s="204">
        <f t="shared" si="131"/>
        <v>0</v>
      </c>
      <c r="M395" s="168"/>
      <c r="N395" s="230"/>
      <c r="O395" s="312">
        <f t="shared" si="132"/>
        <v>0</v>
      </c>
      <c r="P395" s="209"/>
      <c r="Q395" s="208">
        <f t="shared" si="128"/>
        <v>0</v>
      </c>
    </row>
    <row r="396" spans="1:17" ht="12.75">
      <c r="A396" s="13" t="s">
        <v>210</v>
      </c>
      <c r="B396" s="55"/>
      <c r="C396" s="116">
        <v>157557</v>
      </c>
      <c r="D396" s="139">
        <f>251025.19+10000</f>
        <v>261025.19</v>
      </c>
      <c r="E396" s="71"/>
      <c r="F396" s="202">
        <f t="shared" si="124"/>
        <v>418582.19</v>
      </c>
      <c r="G396" s="203">
        <f>10000</f>
        <v>10000</v>
      </c>
      <c r="H396" s="179"/>
      <c r="I396" s="204">
        <f t="shared" si="130"/>
        <v>428582.19</v>
      </c>
      <c r="J396" s="203">
        <f>2000-10000+10000</f>
        <v>2000</v>
      </c>
      <c r="K396" s="179"/>
      <c r="L396" s="204">
        <f t="shared" si="131"/>
        <v>430582.19</v>
      </c>
      <c r="M396" s="168">
        <f>187111.26</f>
        <v>187111.26</v>
      </c>
      <c r="N396" s="230"/>
      <c r="O396" s="312">
        <f t="shared" si="132"/>
        <v>617693.45</v>
      </c>
      <c r="P396" s="209">
        <f>111437.34</f>
        <v>111437.34</v>
      </c>
      <c r="Q396" s="208">
        <f t="shared" si="128"/>
        <v>729130.7899999999</v>
      </c>
    </row>
    <row r="397" spans="1:17" ht="13.5" thickBot="1">
      <c r="A397" s="330" t="s">
        <v>164</v>
      </c>
      <c r="B397" s="331"/>
      <c r="C397" s="343">
        <v>2000</v>
      </c>
      <c r="D397" s="344">
        <f>13468.07+1500.93+45.98+89.14+520.53+299.15+664.17+5561.39+5332.24</f>
        <v>27481.6</v>
      </c>
      <c r="E397" s="334">
        <f>11123.26</f>
        <v>11123.26</v>
      </c>
      <c r="F397" s="335">
        <f t="shared" si="124"/>
        <v>40604.86</v>
      </c>
      <c r="G397" s="336">
        <f>4859.85+9475.15+9.68+1681.41+3023.35-1361.71</f>
        <v>17687.73</v>
      </c>
      <c r="H397" s="337">
        <f>38.92+8569.87</f>
        <v>8608.79</v>
      </c>
      <c r="I397" s="338">
        <f t="shared" si="130"/>
        <v>66901.38</v>
      </c>
      <c r="J397" s="336">
        <f>500.59+48.04+41.14+564.41+749.74+1742.27+1288.08+3100.16+977.33+2389.63+2872.22+3460.12+1675.85+530.54+3254.72+4796.58</f>
        <v>27991.42</v>
      </c>
      <c r="K397" s="337">
        <f>18969.93+11493.48</f>
        <v>30463.41</v>
      </c>
      <c r="L397" s="338">
        <f t="shared" si="131"/>
        <v>125356.21</v>
      </c>
      <c r="M397" s="345">
        <f>646.46+2645.05+12.1+7051.07+3532.23+3740.57-2381.39+3266.36+1308.18+3577.1</f>
        <v>23397.73</v>
      </c>
      <c r="N397" s="340">
        <f>13500.74+437.12</f>
        <v>13937.86</v>
      </c>
      <c r="O397" s="341">
        <f t="shared" si="132"/>
        <v>162691.8</v>
      </c>
      <c r="P397" s="280">
        <f>3381.14+1180.29+3062.57+5763.14+6.42+10454.74+2418.25+18.15+1041.87+862.72+3265.47+41.14+2191.65</f>
        <v>33687.55</v>
      </c>
      <c r="Q397" s="284">
        <f t="shared" si="128"/>
        <v>196379.34999999998</v>
      </c>
    </row>
    <row r="398" spans="1:17" ht="12.75">
      <c r="A398" s="13" t="s">
        <v>167</v>
      </c>
      <c r="B398" s="55"/>
      <c r="C398" s="116">
        <v>5800</v>
      </c>
      <c r="D398" s="139">
        <f>97153.65</f>
        <v>97153.65</v>
      </c>
      <c r="E398" s="71"/>
      <c r="F398" s="202">
        <f t="shared" si="124"/>
        <v>102953.65</v>
      </c>
      <c r="G398" s="203">
        <f>1710.16+650</f>
        <v>2360.16</v>
      </c>
      <c r="H398" s="179">
        <f>-4600</f>
        <v>-4600</v>
      </c>
      <c r="I398" s="204">
        <f t="shared" si="130"/>
        <v>100713.81</v>
      </c>
      <c r="J398" s="203">
        <f>3727.9+1200</f>
        <v>4927.9</v>
      </c>
      <c r="K398" s="179"/>
      <c r="L398" s="204">
        <f t="shared" si="131"/>
        <v>105641.70999999999</v>
      </c>
      <c r="M398" s="168">
        <f>-25000</f>
        <v>-25000</v>
      </c>
      <c r="N398" s="230"/>
      <c r="O398" s="312">
        <f t="shared" si="132"/>
        <v>80641.70999999999</v>
      </c>
      <c r="P398" s="209"/>
      <c r="Q398" s="208">
        <f t="shared" si="128"/>
        <v>80641.70999999999</v>
      </c>
    </row>
    <row r="399" spans="1:17" ht="12.75">
      <c r="A399" s="13" t="s">
        <v>171</v>
      </c>
      <c r="B399" s="55"/>
      <c r="C399" s="116">
        <v>3000</v>
      </c>
      <c r="D399" s="139">
        <f>7125.32+2216.61+1687.72+4327.31+372.53</f>
        <v>15729.49</v>
      </c>
      <c r="E399" s="71">
        <f>21009.77</f>
        <v>21009.77</v>
      </c>
      <c r="F399" s="202">
        <f t="shared" si="124"/>
        <v>39739.259999999995</v>
      </c>
      <c r="G399" s="203">
        <f>2144.21+165.71-3457.7-650</f>
        <v>-1797.7799999999997</v>
      </c>
      <c r="H399" s="179"/>
      <c r="I399" s="204">
        <f t="shared" si="130"/>
        <v>37941.479999999996</v>
      </c>
      <c r="J399" s="203">
        <f>2314.74+736.66</f>
        <v>3051.3999999999996</v>
      </c>
      <c r="K399" s="179"/>
      <c r="L399" s="204">
        <f t="shared" si="131"/>
        <v>40992.88</v>
      </c>
      <c r="M399" s="168">
        <f>3338.26</f>
        <v>3338.26</v>
      </c>
      <c r="N399" s="230"/>
      <c r="O399" s="312">
        <f t="shared" si="132"/>
        <v>44331.14</v>
      </c>
      <c r="P399" s="209">
        <f>46.02+5765.17</f>
        <v>5811.1900000000005</v>
      </c>
      <c r="Q399" s="208">
        <f t="shared" si="128"/>
        <v>50142.33</v>
      </c>
    </row>
    <row r="400" spans="1:17" ht="12.75">
      <c r="A400" s="13" t="s">
        <v>170</v>
      </c>
      <c r="B400" s="55"/>
      <c r="C400" s="116">
        <v>39500</v>
      </c>
      <c r="D400" s="133">
        <f>3855.98+200835.35+7.08+882.32+6438.34+912.12+2407.87+40000</f>
        <v>255339.06</v>
      </c>
      <c r="E400" s="71"/>
      <c r="F400" s="202">
        <f t="shared" si="124"/>
        <v>294839.06</v>
      </c>
      <c r="G400" s="203">
        <f>2276.42+297.17+1382.39+610.36+2752.23+6302.11+7035.71+6519.68+1289.33</f>
        <v>28465.4</v>
      </c>
      <c r="H400" s="179"/>
      <c r="I400" s="204">
        <f t="shared" si="130"/>
        <v>323304.46</v>
      </c>
      <c r="J400" s="203">
        <f>1998.53+3285.61+1792.29-4030.83-3000+764.74</f>
        <v>810.3400000000004</v>
      </c>
      <c r="K400" s="179"/>
      <c r="L400" s="204">
        <f t="shared" si="131"/>
        <v>324114.80000000005</v>
      </c>
      <c r="M400" s="168">
        <f>4119.39+1402.51+25000+2584.35+1516.54</f>
        <v>34622.79</v>
      </c>
      <c r="N400" s="230"/>
      <c r="O400" s="312">
        <f t="shared" si="132"/>
        <v>358737.59</v>
      </c>
      <c r="P400" s="209">
        <f>58647.01+4571.18+801.06+509.66+1682.39+4845.98+449.21</f>
        <v>71506.49</v>
      </c>
      <c r="Q400" s="208">
        <f t="shared" si="128"/>
        <v>430244.08</v>
      </c>
    </row>
    <row r="401" spans="1:17" ht="12.75" hidden="1">
      <c r="A401" s="13" t="s">
        <v>287</v>
      </c>
      <c r="B401" s="55"/>
      <c r="C401" s="116"/>
      <c r="D401" s="133"/>
      <c r="E401" s="71"/>
      <c r="F401" s="202">
        <f t="shared" si="124"/>
        <v>0</v>
      </c>
      <c r="G401" s="203"/>
      <c r="H401" s="179"/>
      <c r="I401" s="204">
        <f t="shared" si="130"/>
        <v>0</v>
      </c>
      <c r="J401" s="203"/>
      <c r="K401" s="179"/>
      <c r="L401" s="204">
        <f t="shared" si="131"/>
        <v>0</v>
      </c>
      <c r="M401" s="168"/>
      <c r="N401" s="230"/>
      <c r="O401" s="312">
        <f t="shared" si="132"/>
        <v>0</v>
      </c>
      <c r="P401" s="209"/>
      <c r="Q401" s="208">
        <f t="shared" si="128"/>
        <v>0</v>
      </c>
    </row>
    <row r="402" spans="1:17" ht="12.75">
      <c r="A402" s="13" t="s">
        <v>254</v>
      </c>
      <c r="B402" s="55">
        <v>2088</v>
      </c>
      <c r="C402" s="116"/>
      <c r="D402" s="133">
        <f>150947.12+21889.3+15539.92</f>
        <v>188376.34</v>
      </c>
      <c r="E402" s="71"/>
      <c r="F402" s="202">
        <f t="shared" si="124"/>
        <v>188376.34</v>
      </c>
      <c r="G402" s="203">
        <f>7249.16</f>
        <v>7249.16</v>
      </c>
      <c r="H402" s="179"/>
      <c r="I402" s="204">
        <f t="shared" si="130"/>
        <v>195625.5</v>
      </c>
      <c r="J402" s="203"/>
      <c r="K402" s="179"/>
      <c r="L402" s="204">
        <f t="shared" si="131"/>
        <v>195625.5</v>
      </c>
      <c r="M402" s="168">
        <f>93272.86-187111.26</f>
        <v>-93838.40000000001</v>
      </c>
      <c r="N402" s="230"/>
      <c r="O402" s="312">
        <f t="shared" si="132"/>
        <v>101787.09999999999</v>
      </c>
      <c r="P402" s="209">
        <f>60983.55-111437.34</f>
        <v>-50453.78999999999</v>
      </c>
      <c r="Q402" s="208">
        <f t="shared" si="128"/>
        <v>51333.31</v>
      </c>
    </row>
    <row r="403" spans="1:17" ht="12.75">
      <c r="A403" s="17" t="s">
        <v>220</v>
      </c>
      <c r="B403" s="55">
        <v>2077</v>
      </c>
      <c r="C403" s="116">
        <f>97068.16+10000</f>
        <v>107068.16</v>
      </c>
      <c r="D403" s="133">
        <f>121377.45+5000-302.5-2202.72-1474.08-45.98-57.31-487.76-172.52-664.17-1624.63-4327.31-2761.29-3333.97+25500+19600-364.33-57</f>
        <v>153601.88000000003</v>
      </c>
      <c r="E403" s="71"/>
      <c r="F403" s="202">
        <f t="shared" si="124"/>
        <v>260670.04000000004</v>
      </c>
      <c r="G403" s="203">
        <f>-2143.38-6183.38-9.68-1008.85-165.71-1814.01-800-700+3457.7</f>
        <v>-9367.310000000001</v>
      </c>
      <c r="H403" s="179"/>
      <c r="I403" s="204">
        <f t="shared" si="130"/>
        <v>251302.73000000004</v>
      </c>
      <c r="J403" s="203">
        <f>-300.35-28.82-24.68-92-322.83-449.85-1045.36-772.85-2294.41-1461.34-586.4-1433.78-1723.33-1863.46-1005.51-318.32-1952.83-2519.99-736.66-1200-1000</f>
        <v>-21132.77</v>
      </c>
      <c r="K403" s="179"/>
      <c r="L403" s="204">
        <f t="shared" si="131"/>
        <v>230169.96000000005</v>
      </c>
      <c r="M403" s="168">
        <f>-187.85-3.39-3338.26-637.17-2392.24-12.1-4779.59-1824.33-3731.28-1959.82-1288.09-30-2679.65-3170.32+562.42</f>
        <v>-25471.670000000002</v>
      </c>
      <c r="N403" s="230"/>
      <c r="O403" s="312">
        <f t="shared" si="132"/>
        <v>204698.29000000004</v>
      </c>
      <c r="P403" s="209">
        <f>-46.02-3371.85-980.36-3042.49-3457.88+3900-6.42-7815.35-1450.95-18.15-525.24-853.43-1646.23-21.05-1970.58</f>
        <v>-21306</v>
      </c>
      <c r="Q403" s="208">
        <f t="shared" si="128"/>
        <v>183392.29000000004</v>
      </c>
    </row>
    <row r="404" spans="1:18" ht="12.75">
      <c r="A404" s="23" t="s">
        <v>255</v>
      </c>
      <c r="B404" s="58">
        <v>2099</v>
      </c>
      <c r="C404" s="115"/>
      <c r="D404" s="138">
        <f>116031.47+1530+16.41+13.64-13.89-26.85-31.83-7.08-32.77-126.63-63.09-5000-882.32-2800.1-493.57+11732.78-1998.27+10557.37-19600-10500-15000-8.2-912.12-2407.87+659.56-40000</f>
        <v>40636.63999999997</v>
      </c>
      <c r="E404" s="79">
        <f>-11155.93-21009.77+11155.93+21009.77-2445.98</f>
        <v>-2445.98</v>
      </c>
      <c r="F404" s="257">
        <f t="shared" si="124"/>
        <v>38190.65999999997</v>
      </c>
      <c r="G404" s="224">
        <f>1556.23+4257.22+2057.75-5066.14-0.83-3291.77-2276.42-297.17-1382.39-672.56+381.38-610.36+21.2+30925.71+2767.29+5056.24-1209.34+1891.4-2752.23+1805.25+5222.21+5406.13-1289.33-1000-652+20000</f>
        <v>60847.46999999999</v>
      </c>
      <c r="H404" s="182">
        <f>-99.55-8591.65+99.55+8591.65</f>
        <v>0</v>
      </c>
      <c r="I404" s="237">
        <f t="shared" si="130"/>
        <v>99038.12999999995</v>
      </c>
      <c r="J404" s="224">
        <f>4000+67.75+1127.35-200.24-19.22-16.46-4692.45-521.32-241.58-299.89-696.91-1998.53-515.23-3285.61-20.33-1638.82-390.93-1792.29-955.85-1148.89+5475.79+100.15+7152.84+1960.27+1875.78+814.93+20299.6-1596.66-670.34-212.22-1301.89-2276.59+4030.83-31600+3161.87+2595.41-764.74</f>
        <v>-4194.419999999999</v>
      </c>
      <c r="K404" s="182">
        <f>-22004-11529.78+11529.78</f>
        <v>-22004</v>
      </c>
      <c r="L404" s="237">
        <f t="shared" si="131"/>
        <v>72839.70999999995</v>
      </c>
      <c r="M404" s="197">
        <f>57.57+13368.72-1064.5-19.18-9.29-252.81-2271.48-1707.9-4119.39-9.29+1041.65+22004+8000+354.87+2381.39-2500-1306.54-2584.35-20.09-170-406.78+800+1357.86+5147.45+25000</f>
        <v>63071.909999999996</v>
      </c>
      <c r="N404" s="297">
        <f>-13553.37+13553.37</f>
        <v>0</v>
      </c>
      <c r="O404" s="317">
        <f t="shared" si="132"/>
        <v>135911.61999999994</v>
      </c>
      <c r="P404" s="276">
        <f>1352.99+4000+2389.68+4205.65+3285.61+22.27-9.29-199.93-20.08-2305.26-801.06-509.66-1682.39-4845.98-2639.39-967.3-516.63-9.29-449.21+1527.85-34500-5765.17-1619.24-20.09-221.07+226.74+1050+3504.31+5784.81</f>
        <v>-29731.129999999994</v>
      </c>
      <c r="Q404" s="282">
        <f t="shared" si="128"/>
        <v>106180.48999999995</v>
      </c>
      <c r="R404" s="38"/>
    </row>
    <row r="405" spans="1:17" ht="12.75">
      <c r="A405" s="10" t="s">
        <v>89</v>
      </c>
      <c r="B405" s="59"/>
      <c r="C405" s="69">
        <f aca="true" t="shared" si="133" ref="C405:Q405">C406+C440</f>
        <v>334783.56</v>
      </c>
      <c r="D405" s="132">
        <f t="shared" si="133"/>
        <v>351191.82</v>
      </c>
      <c r="E405" s="70">
        <f t="shared" si="133"/>
        <v>0</v>
      </c>
      <c r="F405" s="92">
        <f t="shared" si="133"/>
        <v>685975.3800000001</v>
      </c>
      <c r="G405" s="219">
        <f t="shared" si="133"/>
        <v>861576.0499999999</v>
      </c>
      <c r="H405" s="178">
        <f t="shared" si="133"/>
        <v>0</v>
      </c>
      <c r="I405" s="205">
        <f t="shared" si="133"/>
        <v>1547551.43</v>
      </c>
      <c r="J405" s="219">
        <f t="shared" si="133"/>
        <v>51326.88</v>
      </c>
      <c r="K405" s="178">
        <f t="shared" si="133"/>
        <v>0</v>
      </c>
      <c r="L405" s="205">
        <f t="shared" si="133"/>
        <v>1598878.31</v>
      </c>
      <c r="M405" s="150">
        <f t="shared" si="133"/>
        <v>214100.31</v>
      </c>
      <c r="N405" s="229">
        <f t="shared" si="133"/>
        <v>0</v>
      </c>
      <c r="O405" s="311">
        <f t="shared" si="133"/>
        <v>1812978.62</v>
      </c>
      <c r="P405" s="219">
        <f t="shared" si="133"/>
        <v>93467.28</v>
      </c>
      <c r="Q405" s="143">
        <f t="shared" si="133"/>
        <v>1906445.9000000001</v>
      </c>
    </row>
    <row r="406" spans="1:17" ht="12.75">
      <c r="A406" s="19" t="s">
        <v>49</v>
      </c>
      <c r="B406" s="59"/>
      <c r="C406" s="77">
        <f aca="true" t="shared" si="134" ref="C406:Q406">SUM(C408:C439)</f>
        <v>334783.56</v>
      </c>
      <c r="D406" s="136">
        <f t="shared" si="134"/>
        <v>351191.82</v>
      </c>
      <c r="E406" s="78">
        <f t="shared" si="134"/>
        <v>0</v>
      </c>
      <c r="F406" s="201">
        <f t="shared" si="134"/>
        <v>685975.3800000001</v>
      </c>
      <c r="G406" s="222">
        <f t="shared" si="134"/>
        <v>861576.0499999999</v>
      </c>
      <c r="H406" s="183">
        <f t="shared" si="134"/>
        <v>0</v>
      </c>
      <c r="I406" s="235">
        <f t="shared" si="134"/>
        <v>1547551.43</v>
      </c>
      <c r="J406" s="222">
        <f t="shared" si="134"/>
        <v>51326.88</v>
      </c>
      <c r="K406" s="183">
        <f t="shared" si="134"/>
        <v>0</v>
      </c>
      <c r="L406" s="235">
        <f t="shared" si="134"/>
        <v>1598878.31</v>
      </c>
      <c r="M406" s="151">
        <f t="shared" si="134"/>
        <v>213278.28</v>
      </c>
      <c r="N406" s="295">
        <f t="shared" si="134"/>
        <v>0</v>
      </c>
      <c r="O406" s="315">
        <f t="shared" si="134"/>
        <v>1812156.59</v>
      </c>
      <c r="P406" s="222">
        <f t="shared" si="134"/>
        <v>93467.28</v>
      </c>
      <c r="Q406" s="148">
        <f t="shared" si="134"/>
        <v>1905623.87</v>
      </c>
    </row>
    <row r="407" spans="1:17" ht="12.75">
      <c r="A407" s="15" t="s">
        <v>26</v>
      </c>
      <c r="B407" s="55"/>
      <c r="C407" s="72"/>
      <c r="D407" s="133"/>
      <c r="E407" s="71"/>
      <c r="F407" s="202"/>
      <c r="G407" s="203"/>
      <c r="H407" s="179"/>
      <c r="I407" s="204"/>
      <c r="J407" s="203"/>
      <c r="K407" s="179"/>
      <c r="L407" s="204"/>
      <c r="M407" s="154"/>
      <c r="N407" s="230"/>
      <c r="O407" s="312"/>
      <c r="P407" s="209"/>
      <c r="Q407" s="208"/>
    </row>
    <row r="408" spans="1:17" ht="12.75">
      <c r="A408" s="110" t="s">
        <v>90</v>
      </c>
      <c r="B408" s="61"/>
      <c r="C408" s="72">
        <v>253700</v>
      </c>
      <c r="D408" s="133">
        <f>38016+27.2</f>
        <v>38043.2</v>
      </c>
      <c r="E408" s="71"/>
      <c r="F408" s="202">
        <f aca="true" t="shared" si="135" ref="F408:F439">C408+D408+E408</f>
        <v>291743.2</v>
      </c>
      <c r="G408" s="203">
        <f>30000</f>
        <v>30000</v>
      </c>
      <c r="H408" s="179"/>
      <c r="I408" s="204">
        <f>F408+G408+H408</f>
        <v>321743.2</v>
      </c>
      <c r="J408" s="203">
        <f>3357</f>
        <v>3357</v>
      </c>
      <c r="K408" s="179"/>
      <c r="L408" s="204">
        <f>I408+J408+K408</f>
        <v>325100.2</v>
      </c>
      <c r="M408" s="154">
        <f>-28746.54</f>
        <v>-28746.54</v>
      </c>
      <c r="N408" s="230">
        <f>-10965.75</f>
        <v>-10965.75</v>
      </c>
      <c r="O408" s="312">
        <f>L408+M408+N408</f>
        <v>285387.91000000003</v>
      </c>
      <c r="P408" s="209">
        <f>-4300</f>
        <v>-4300</v>
      </c>
      <c r="Q408" s="208">
        <f>O408+P408</f>
        <v>281087.91000000003</v>
      </c>
    </row>
    <row r="409" spans="1:17" ht="12.75" hidden="1">
      <c r="A409" s="56" t="s">
        <v>189</v>
      </c>
      <c r="B409" s="61"/>
      <c r="C409" s="72"/>
      <c r="D409" s="133"/>
      <c r="E409" s="71"/>
      <c r="F409" s="202">
        <f t="shared" si="135"/>
        <v>0</v>
      </c>
      <c r="G409" s="203"/>
      <c r="H409" s="179"/>
      <c r="I409" s="204">
        <f aca="true" t="shared" si="136" ref="I409:I439">F409+G409+H409</f>
        <v>0</v>
      </c>
      <c r="J409" s="203"/>
      <c r="K409" s="179"/>
      <c r="L409" s="204">
        <f aca="true" t="shared" si="137" ref="L409:L431">I409+J409+K409</f>
        <v>0</v>
      </c>
      <c r="M409" s="154"/>
      <c r="N409" s="230"/>
      <c r="O409" s="312">
        <f aca="true" t="shared" si="138" ref="O409:O431">L409+M409+N409</f>
        <v>0</v>
      </c>
      <c r="P409" s="209"/>
      <c r="Q409" s="208">
        <f aca="true" t="shared" si="139" ref="Q409:Q431">O409+P409</f>
        <v>0</v>
      </c>
    </row>
    <row r="410" spans="1:17" ht="12.75" hidden="1">
      <c r="A410" s="13" t="s">
        <v>134</v>
      </c>
      <c r="B410" s="55"/>
      <c r="C410" s="72"/>
      <c r="D410" s="133"/>
      <c r="E410" s="71"/>
      <c r="F410" s="202">
        <f t="shared" si="135"/>
        <v>0</v>
      </c>
      <c r="G410" s="203"/>
      <c r="H410" s="179"/>
      <c r="I410" s="204">
        <f t="shared" si="136"/>
        <v>0</v>
      </c>
      <c r="J410" s="203"/>
      <c r="K410" s="179"/>
      <c r="L410" s="204">
        <f t="shared" si="137"/>
        <v>0</v>
      </c>
      <c r="M410" s="154"/>
      <c r="N410" s="230"/>
      <c r="O410" s="312">
        <f t="shared" si="138"/>
        <v>0</v>
      </c>
      <c r="P410" s="209"/>
      <c r="Q410" s="208">
        <f t="shared" si="139"/>
        <v>0</v>
      </c>
    </row>
    <row r="411" spans="1:17" ht="12.75">
      <c r="A411" s="13" t="s">
        <v>150</v>
      </c>
      <c r="B411" s="55"/>
      <c r="C411" s="72">
        <v>70000</v>
      </c>
      <c r="D411" s="133"/>
      <c r="E411" s="71"/>
      <c r="F411" s="202">
        <f t="shared" si="135"/>
        <v>70000</v>
      </c>
      <c r="G411" s="203"/>
      <c r="H411" s="179"/>
      <c r="I411" s="204">
        <f t="shared" si="136"/>
        <v>70000</v>
      </c>
      <c r="J411" s="203">
        <f>300.77+40.27</f>
        <v>341.03999999999996</v>
      </c>
      <c r="K411" s="179"/>
      <c r="L411" s="204">
        <f t="shared" si="137"/>
        <v>70341.04</v>
      </c>
      <c r="M411" s="154">
        <f>-822.03+23000</f>
        <v>22177.97</v>
      </c>
      <c r="N411" s="230">
        <f>5000+10965.75</f>
        <v>15965.75</v>
      </c>
      <c r="O411" s="312">
        <f t="shared" si="138"/>
        <v>108484.76</v>
      </c>
      <c r="P411" s="209"/>
      <c r="Q411" s="208">
        <f t="shared" si="139"/>
        <v>108484.76</v>
      </c>
    </row>
    <row r="412" spans="1:17" ht="12.75">
      <c r="A412" s="13" t="s">
        <v>51</v>
      </c>
      <c r="B412" s="55"/>
      <c r="C412" s="72">
        <v>10593.56</v>
      </c>
      <c r="D412" s="133"/>
      <c r="E412" s="71"/>
      <c r="F412" s="202">
        <f t="shared" si="135"/>
        <v>10593.56</v>
      </c>
      <c r="G412" s="203">
        <f>134</f>
        <v>134</v>
      </c>
      <c r="H412" s="179"/>
      <c r="I412" s="204">
        <f t="shared" si="136"/>
        <v>10727.56</v>
      </c>
      <c r="J412" s="203"/>
      <c r="K412" s="179"/>
      <c r="L412" s="204">
        <f t="shared" si="137"/>
        <v>10727.56</v>
      </c>
      <c r="M412" s="154">
        <f>5746.54</f>
        <v>5746.54</v>
      </c>
      <c r="N412" s="230">
        <f>-5000</f>
        <v>-5000</v>
      </c>
      <c r="O412" s="312">
        <f t="shared" si="138"/>
        <v>11474.099999999999</v>
      </c>
      <c r="P412" s="209">
        <f>4300</f>
        <v>4300</v>
      </c>
      <c r="Q412" s="208">
        <f t="shared" si="139"/>
        <v>15774.099999999999</v>
      </c>
    </row>
    <row r="413" spans="1:17" ht="12.75" hidden="1">
      <c r="A413" s="13" t="s">
        <v>64</v>
      </c>
      <c r="B413" s="55"/>
      <c r="C413" s="72"/>
      <c r="D413" s="133"/>
      <c r="E413" s="71"/>
      <c r="F413" s="202">
        <f t="shared" si="135"/>
        <v>0</v>
      </c>
      <c r="G413" s="203"/>
      <c r="H413" s="179"/>
      <c r="I413" s="204">
        <f t="shared" si="136"/>
        <v>0</v>
      </c>
      <c r="J413" s="203"/>
      <c r="K413" s="179"/>
      <c r="L413" s="204">
        <f t="shared" si="137"/>
        <v>0</v>
      </c>
      <c r="M413" s="154"/>
      <c r="N413" s="230"/>
      <c r="O413" s="312">
        <f t="shared" si="138"/>
        <v>0</v>
      </c>
      <c r="P413" s="209"/>
      <c r="Q413" s="208">
        <f t="shared" si="139"/>
        <v>0</v>
      </c>
    </row>
    <row r="414" spans="1:17" ht="12.75" hidden="1">
      <c r="A414" s="13" t="s">
        <v>242</v>
      </c>
      <c r="B414" s="55">
        <v>13013</v>
      </c>
      <c r="C414" s="72"/>
      <c r="D414" s="133"/>
      <c r="E414" s="71"/>
      <c r="F414" s="202">
        <f t="shared" si="135"/>
        <v>0</v>
      </c>
      <c r="G414" s="203"/>
      <c r="H414" s="179"/>
      <c r="I414" s="204">
        <f t="shared" si="136"/>
        <v>0</v>
      </c>
      <c r="J414" s="203"/>
      <c r="K414" s="179"/>
      <c r="L414" s="204">
        <f t="shared" si="137"/>
        <v>0</v>
      </c>
      <c r="M414" s="154"/>
      <c r="N414" s="230"/>
      <c r="O414" s="312">
        <f t="shared" si="138"/>
        <v>0</v>
      </c>
      <c r="P414" s="209"/>
      <c r="Q414" s="208">
        <f t="shared" si="139"/>
        <v>0</v>
      </c>
    </row>
    <row r="415" spans="1:17" ht="12.75">
      <c r="A415" s="56" t="s">
        <v>311</v>
      </c>
      <c r="B415" s="55">
        <v>2178</v>
      </c>
      <c r="C415" s="72"/>
      <c r="D415" s="133">
        <f>908.07</f>
        <v>908.07</v>
      </c>
      <c r="E415" s="71"/>
      <c r="F415" s="202">
        <f t="shared" si="135"/>
        <v>908.07</v>
      </c>
      <c r="G415" s="203"/>
      <c r="H415" s="179"/>
      <c r="I415" s="204">
        <f t="shared" si="136"/>
        <v>908.07</v>
      </c>
      <c r="J415" s="203"/>
      <c r="K415" s="179"/>
      <c r="L415" s="204">
        <f t="shared" si="137"/>
        <v>908.07</v>
      </c>
      <c r="M415" s="154">
        <f>54.45</f>
        <v>54.45</v>
      </c>
      <c r="N415" s="230"/>
      <c r="O415" s="312">
        <f t="shared" si="138"/>
        <v>962.5200000000001</v>
      </c>
      <c r="P415" s="209"/>
      <c r="Q415" s="208">
        <f t="shared" si="139"/>
        <v>962.5200000000001</v>
      </c>
    </row>
    <row r="416" spans="1:17" ht="12.75">
      <c r="A416" s="56" t="s">
        <v>338</v>
      </c>
      <c r="B416" s="55">
        <v>2178</v>
      </c>
      <c r="C416" s="72"/>
      <c r="D416" s="133"/>
      <c r="E416" s="71"/>
      <c r="F416" s="202">
        <f t="shared" si="135"/>
        <v>0</v>
      </c>
      <c r="G416" s="203">
        <f>1391.46</f>
        <v>1391.46</v>
      </c>
      <c r="H416" s="179"/>
      <c r="I416" s="204">
        <f t="shared" si="136"/>
        <v>1391.46</v>
      </c>
      <c r="J416" s="203"/>
      <c r="K416" s="179"/>
      <c r="L416" s="204">
        <f t="shared" si="137"/>
        <v>1391.46</v>
      </c>
      <c r="M416" s="154"/>
      <c r="N416" s="230"/>
      <c r="O416" s="312">
        <f t="shared" si="138"/>
        <v>1391.46</v>
      </c>
      <c r="P416" s="209"/>
      <c r="Q416" s="208">
        <f t="shared" si="139"/>
        <v>1391.46</v>
      </c>
    </row>
    <row r="417" spans="1:17" ht="12.75">
      <c r="A417" s="13" t="s">
        <v>312</v>
      </c>
      <c r="B417" s="55">
        <v>2073</v>
      </c>
      <c r="C417" s="72"/>
      <c r="D417" s="133">
        <f>1390.57</f>
        <v>1390.57</v>
      </c>
      <c r="E417" s="71"/>
      <c r="F417" s="202">
        <f t="shared" si="135"/>
        <v>1390.57</v>
      </c>
      <c r="G417" s="203"/>
      <c r="H417" s="179"/>
      <c r="I417" s="204">
        <f t="shared" si="136"/>
        <v>1390.57</v>
      </c>
      <c r="J417" s="203"/>
      <c r="K417" s="179"/>
      <c r="L417" s="204">
        <f t="shared" si="137"/>
        <v>1390.57</v>
      </c>
      <c r="M417" s="154">
        <f>-704.95</f>
        <v>-704.95</v>
      </c>
      <c r="N417" s="230"/>
      <c r="O417" s="312">
        <f t="shared" si="138"/>
        <v>685.6199999999999</v>
      </c>
      <c r="P417" s="209"/>
      <c r="Q417" s="208">
        <f t="shared" si="139"/>
        <v>685.6199999999999</v>
      </c>
    </row>
    <row r="418" spans="1:17" ht="12.75" hidden="1">
      <c r="A418" s="13" t="s">
        <v>298</v>
      </c>
      <c r="B418" s="55"/>
      <c r="C418" s="72"/>
      <c r="D418" s="133">
        <f>29773.34</f>
        <v>29773.34</v>
      </c>
      <c r="E418" s="71"/>
      <c r="F418" s="202">
        <f t="shared" si="135"/>
        <v>29773.34</v>
      </c>
      <c r="G418" s="203">
        <f>-29773.34</f>
        <v>-29773.34</v>
      </c>
      <c r="H418" s="179"/>
      <c r="I418" s="204">
        <f t="shared" si="136"/>
        <v>0</v>
      </c>
      <c r="J418" s="203"/>
      <c r="K418" s="179"/>
      <c r="L418" s="204">
        <f t="shared" si="137"/>
        <v>0</v>
      </c>
      <c r="M418" s="154"/>
      <c r="N418" s="230"/>
      <c r="O418" s="312">
        <f t="shared" si="138"/>
        <v>0</v>
      </c>
      <c r="P418" s="209"/>
      <c r="Q418" s="208">
        <f t="shared" si="139"/>
        <v>0</v>
      </c>
    </row>
    <row r="419" spans="1:17" ht="12.75">
      <c r="A419" s="13" t="s">
        <v>313</v>
      </c>
      <c r="B419" s="55">
        <v>1230</v>
      </c>
      <c r="C419" s="72"/>
      <c r="D419" s="133">
        <f>11294.79</f>
        <v>11294.79</v>
      </c>
      <c r="E419" s="71"/>
      <c r="F419" s="202">
        <f t="shared" si="135"/>
        <v>11294.79</v>
      </c>
      <c r="G419" s="203"/>
      <c r="H419" s="179"/>
      <c r="I419" s="204">
        <f t="shared" si="136"/>
        <v>11294.79</v>
      </c>
      <c r="J419" s="203"/>
      <c r="K419" s="179"/>
      <c r="L419" s="204">
        <f t="shared" si="137"/>
        <v>11294.79</v>
      </c>
      <c r="M419" s="154"/>
      <c r="N419" s="230"/>
      <c r="O419" s="312">
        <f t="shared" si="138"/>
        <v>11294.79</v>
      </c>
      <c r="P419" s="209"/>
      <c r="Q419" s="208">
        <f t="shared" si="139"/>
        <v>11294.79</v>
      </c>
    </row>
    <row r="420" spans="1:17" ht="12.75">
      <c r="A420" s="13" t="s">
        <v>336</v>
      </c>
      <c r="B420" s="55">
        <v>1230</v>
      </c>
      <c r="C420" s="72"/>
      <c r="D420" s="133"/>
      <c r="E420" s="71"/>
      <c r="F420" s="202">
        <f t="shared" si="135"/>
        <v>0</v>
      </c>
      <c r="G420" s="203">
        <f>17341.72</f>
        <v>17341.72</v>
      </c>
      <c r="H420" s="179"/>
      <c r="I420" s="204">
        <f t="shared" si="136"/>
        <v>17341.72</v>
      </c>
      <c r="J420" s="203"/>
      <c r="K420" s="179"/>
      <c r="L420" s="204">
        <f t="shared" si="137"/>
        <v>17341.72</v>
      </c>
      <c r="M420" s="154"/>
      <c r="N420" s="230"/>
      <c r="O420" s="312">
        <f t="shared" si="138"/>
        <v>17341.72</v>
      </c>
      <c r="P420" s="209"/>
      <c r="Q420" s="208">
        <f t="shared" si="139"/>
        <v>17341.72</v>
      </c>
    </row>
    <row r="421" spans="1:17" ht="12.75">
      <c r="A421" s="13" t="s">
        <v>370</v>
      </c>
      <c r="B421" s="55"/>
      <c r="C421" s="72"/>
      <c r="D421" s="133"/>
      <c r="E421" s="71"/>
      <c r="F421" s="202"/>
      <c r="G421" s="203"/>
      <c r="H421" s="179"/>
      <c r="I421" s="204"/>
      <c r="J421" s="203"/>
      <c r="K421" s="179"/>
      <c r="L421" s="204">
        <f t="shared" si="137"/>
        <v>0</v>
      </c>
      <c r="M421" s="154">
        <f>91100.15</f>
        <v>91100.15</v>
      </c>
      <c r="N421" s="230"/>
      <c r="O421" s="312">
        <f t="shared" si="138"/>
        <v>91100.15</v>
      </c>
      <c r="P421" s="209"/>
      <c r="Q421" s="208">
        <f t="shared" si="139"/>
        <v>91100.15</v>
      </c>
    </row>
    <row r="422" spans="1:17" ht="12.75">
      <c r="A422" s="13" t="s">
        <v>314</v>
      </c>
      <c r="B422" s="55">
        <v>2080</v>
      </c>
      <c r="C422" s="72"/>
      <c r="D422" s="133">
        <f>4929.64</f>
        <v>4929.64</v>
      </c>
      <c r="E422" s="71"/>
      <c r="F422" s="202">
        <f t="shared" si="135"/>
        <v>4929.64</v>
      </c>
      <c r="G422" s="203"/>
      <c r="H422" s="179"/>
      <c r="I422" s="204">
        <f t="shared" si="136"/>
        <v>4929.64</v>
      </c>
      <c r="J422" s="203"/>
      <c r="K422" s="179"/>
      <c r="L422" s="204">
        <f t="shared" si="137"/>
        <v>4929.64</v>
      </c>
      <c r="M422" s="154"/>
      <c r="N422" s="230"/>
      <c r="O422" s="312">
        <f t="shared" si="138"/>
        <v>4929.64</v>
      </c>
      <c r="P422" s="275">
        <f>-306.83</f>
        <v>-306.83</v>
      </c>
      <c r="Q422" s="208">
        <f t="shared" si="139"/>
        <v>4622.81</v>
      </c>
    </row>
    <row r="423" spans="1:17" ht="12.75">
      <c r="A423" s="13" t="s">
        <v>321</v>
      </c>
      <c r="B423" s="55">
        <v>2080</v>
      </c>
      <c r="C423" s="72"/>
      <c r="D423" s="133">
        <f>1449.15</f>
        <v>1449.15</v>
      </c>
      <c r="E423" s="71"/>
      <c r="F423" s="202">
        <f t="shared" si="135"/>
        <v>1449.15</v>
      </c>
      <c r="G423" s="203"/>
      <c r="H423" s="179"/>
      <c r="I423" s="204">
        <f t="shared" si="136"/>
        <v>1449.15</v>
      </c>
      <c r="J423" s="203"/>
      <c r="K423" s="179"/>
      <c r="L423" s="204">
        <f t="shared" si="137"/>
        <v>1449.15</v>
      </c>
      <c r="M423" s="154"/>
      <c r="N423" s="230"/>
      <c r="O423" s="312">
        <f t="shared" si="138"/>
        <v>1449.15</v>
      </c>
      <c r="P423" s="209"/>
      <c r="Q423" s="208">
        <f t="shared" si="139"/>
        <v>1449.15</v>
      </c>
    </row>
    <row r="424" spans="1:17" ht="12.75">
      <c r="A424" s="13" t="s">
        <v>315</v>
      </c>
      <c r="B424" s="55">
        <v>1233</v>
      </c>
      <c r="C424" s="72"/>
      <c r="D424" s="133">
        <f>7214.55</f>
        <v>7214.55</v>
      </c>
      <c r="E424" s="71"/>
      <c r="F424" s="202">
        <f t="shared" si="135"/>
        <v>7214.55</v>
      </c>
      <c r="G424" s="203"/>
      <c r="H424" s="179"/>
      <c r="I424" s="204">
        <f t="shared" si="136"/>
        <v>7214.55</v>
      </c>
      <c r="J424" s="203"/>
      <c r="K424" s="179"/>
      <c r="L424" s="204">
        <f t="shared" si="137"/>
        <v>7214.55</v>
      </c>
      <c r="M424" s="154">
        <f>-3327.98</f>
        <v>-3327.98</v>
      </c>
      <c r="N424" s="230"/>
      <c r="O424" s="312">
        <f t="shared" si="138"/>
        <v>3886.57</v>
      </c>
      <c r="P424" s="209">
        <f>-2347.46</f>
        <v>-2347.46</v>
      </c>
      <c r="Q424" s="208">
        <f t="shared" si="139"/>
        <v>1539.1100000000001</v>
      </c>
    </row>
    <row r="425" spans="1:17" ht="12.75">
      <c r="A425" s="13" t="s">
        <v>358</v>
      </c>
      <c r="B425" s="55">
        <v>1233</v>
      </c>
      <c r="C425" s="72"/>
      <c r="D425" s="133"/>
      <c r="E425" s="71"/>
      <c r="F425" s="202"/>
      <c r="G425" s="203"/>
      <c r="H425" s="179"/>
      <c r="I425" s="204"/>
      <c r="J425" s="203"/>
      <c r="K425" s="179"/>
      <c r="L425" s="204">
        <f t="shared" si="137"/>
        <v>0</v>
      </c>
      <c r="M425" s="154">
        <f>1798.67</f>
        <v>1798.67</v>
      </c>
      <c r="N425" s="230"/>
      <c r="O425" s="312">
        <f t="shared" si="138"/>
        <v>1798.67</v>
      </c>
      <c r="P425" s="209"/>
      <c r="Q425" s="208">
        <f t="shared" si="139"/>
        <v>1798.67</v>
      </c>
    </row>
    <row r="426" spans="1:17" ht="12.75">
      <c r="A426" s="22" t="s">
        <v>374</v>
      </c>
      <c r="B426" s="55"/>
      <c r="C426" s="72"/>
      <c r="D426" s="133"/>
      <c r="E426" s="71"/>
      <c r="F426" s="202"/>
      <c r="G426" s="203"/>
      <c r="H426" s="179"/>
      <c r="I426" s="204"/>
      <c r="J426" s="203"/>
      <c r="K426" s="179"/>
      <c r="L426" s="204">
        <f t="shared" si="137"/>
        <v>0</v>
      </c>
      <c r="M426" s="154"/>
      <c r="N426" s="230"/>
      <c r="O426" s="312">
        <f t="shared" si="138"/>
        <v>0</v>
      </c>
      <c r="P426" s="209">
        <f>2695.94</f>
        <v>2695.94</v>
      </c>
      <c r="Q426" s="208">
        <f t="shared" si="139"/>
        <v>2695.94</v>
      </c>
    </row>
    <row r="427" spans="1:17" ht="12.75">
      <c r="A427" s="13" t="s">
        <v>375</v>
      </c>
      <c r="B427" s="55"/>
      <c r="C427" s="72"/>
      <c r="D427" s="133"/>
      <c r="E427" s="71"/>
      <c r="F427" s="202"/>
      <c r="G427" s="203"/>
      <c r="H427" s="179"/>
      <c r="I427" s="204"/>
      <c r="J427" s="203"/>
      <c r="K427" s="179"/>
      <c r="L427" s="204">
        <f t="shared" si="137"/>
        <v>0</v>
      </c>
      <c r="M427" s="154"/>
      <c r="N427" s="230"/>
      <c r="O427" s="312">
        <f t="shared" si="138"/>
        <v>0</v>
      </c>
      <c r="P427" s="209">
        <f>1628.32</f>
        <v>1628.32</v>
      </c>
      <c r="Q427" s="208">
        <f t="shared" si="139"/>
        <v>1628.32</v>
      </c>
    </row>
    <row r="428" spans="1:17" ht="12.75">
      <c r="A428" s="13" t="s">
        <v>376</v>
      </c>
      <c r="B428" s="55"/>
      <c r="C428" s="72"/>
      <c r="D428" s="133"/>
      <c r="E428" s="71"/>
      <c r="F428" s="202"/>
      <c r="G428" s="203"/>
      <c r="H428" s="179"/>
      <c r="I428" s="204"/>
      <c r="J428" s="203"/>
      <c r="K428" s="179"/>
      <c r="L428" s="204">
        <f t="shared" si="137"/>
        <v>0</v>
      </c>
      <c r="M428" s="154"/>
      <c r="N428" s="230"/>
      <c r="O428" s="312">
        <f t="shared" si="138"/>
        <v>0</v>
      </c>
      <c r="P428" s="209">
        <f>14334.99</f>
        <v>14334.99</v>
      </c>
      <c r="Q428" s="208">
        <f t="shared" si="139"/>
        <v>14334.99</v>
      </c>
    </row>
    <row r="429" spans="1:17" ht="12.75">
      <c r="A429" s="13" t="s">
        <v>377</v>
      </c>
      <c r="B429" s="55"/>
      <c r="C429" s="72"/>
      <c r="D429" s="133"/>
      <c r="E429" s="71"/>
      <c r="F429" s="202"/>
      <c r="G429" s="203"/>
      <c r="H429" s="179"/>
      <c r="I429" s="204"/>
      <c r="J429" s="203"/>
      <c r="K429" s="179"/>
      <c r="L429" s="204">
        <f t="shared" si="137"/>
        <v>0</v>
      </c>
      <c r="M429" s="154"/>
      <c r="N429" s="230"/>
      <c r="O429" s="312">
        <f t="shared" si="138"/>
        <v>0</v>
      </c>
      <c r="P429" s="209">
        <f>13270</f>
        <v>13270</v>
      </c>
      <c r="Q429" s="208">
        <f t="shared" si="139"/>
        <v>13270</v>
      </c>
    </row>
    <row r="430" spans="1:17" ht="12.75">
      <c r="A430" s="13" t="s">
        <v>378</v>
      </c>
      <c r="B430" s="55"/>
      <c r="C430" s="72"/>
      <c r="D430" s="133"/>
      <c r="E430" s="71"/>
      <c r="F430" s="202"/>
      <c r="G430" s="203"/>
      <c r="H430" s="179"/>
      <c r="I430" s="204"/>
      <c r="J430" s="203"/>
      <c r="K430" s="179"/>
      <c r="L430" s="204">
        <f t="shared" si="137"/>
        <v>0</v>
      </c>
      <c r="M430" s="154"/>
      <c r="N430" s="230"/>
      <c r="O430" s="312">
        <f t="shared" si="138"/>
        <v>0</v>
      </c>
      <c r="P430" s="209">
        <f>9050.52</f>
        <v>9050.52</v>
      </c>
      <c r="Q430" s="208">
        <f t="shared" si="139"/>
        <v>9050.52</v>
      </c>
    </row>
    <row r="431" spans="1:17" ht="12.75">
      <c r="A431" s="22" t="s">
        <v>185</v>
      </c>
      <c r="B431" s="55">
        <v>13305</v>
      </c>
      <c r="C431" s="72"/>
      <c r="D431" s="133">
        <f>206235.5</f>
        <v>206235.5</v>
      </c>
      <c r="E431" s="71"/>
      <c r="F431" s="202">
        <f t="shared" si="135"/>
        <v>206235.5</v>
      </c>
      <c r="G431" s="203">
        <f>103117.75+744849</f>
        <v>847966.75</v>
      </c>
      <c r="H431" s="179"/>
      <c r="I431" s="204">
        <f t="shared" si="136"/>
        <v>1054202.25</v>
      </c>
      <c r="J431" s="203"/>
      <c r="K431" s="179"/>
      <c r="L431" s="204">
        <f t="shared" si="137"/>
        <v>1054202.25</v>
      </c>
      <c r="M431" s="154">
        <f>155064</f>
        <v>155064</v>
      </c>
      <c r="N431" s="230"/>
      <c r="O431" s="312">
        <f t="shared" si="138"/>
        <v>1209266.25</v>
      </c>
      <c r="P431" s="209"/>
      <c r="Q431" s="208">
        <f t="shared" si="139"/>
        <v>1209266.25</v>
      </c>
    </row>
    <row r="432" spans="1:17" ht="12.75">
      <c r="A432" s="13" t="s">
        <v>91</v>
      </c>
      <c r="B432" s="55">
        <v>13307</v>
      </c>
      <c r="C432" s="72"/>
      <c r="D432" s="133">
        <f>3000</f>
        <v>3000</v>
      </c>
      <c r="E432" s="71"/>
      <c r="F432" s="202">
        <f t="shared" si="135"/>
        <v>3000</v>
      </c>
      <c r="G432" s="203">
        <f>7000</f>
        <v>7000</v>
      </c>
      <c r="H432" s="179"/>
      <c r="I432" s="204">
        <f t="shared" si="136"/>
        <v>10000</v>
      </c>
      <c r="J432" s="203">
        <f>2000</f>
        <v>2000</v>
      </c>
      <c r="K432" s="179"/>
      <c r="L432" s="204">
        <f aca="true" t="shared" si="140" ref="L432:L439">I432+J432+K432</f>
        <v>12000</v>
      </c>
      <c r="M432" s="154"/>
      <c r="N432" s="230"/>
      <c r="O432" s="312">
        <f aca="true" t="shared" si="141" ref="O432:O439">L432+M432+N432</f>
        <v>12000</v>
      </c>
      <c r="P432" s="209">
        <f>500</f>
        <v>500</v>
      </c>
      <c r="Q432" s="208">
        <f aca="true" t="shared" si="142" ref="Q432:Q439">O432+P432</f>
        <v>12500</v>
      </c>
    </row>
    <row r="433" spans="1:17" ht="12.75" hidden="1">
      <c r="A433" s="13" t="s">
        <v>133</v>
      </c>
      <c r="B433" s="55">
        <v>14032</v>
      </c>
      <c r="C433" s="72"/>
      <c r="D433" s="133"/>
      <c r="E433" s="71"/>
      <c r="F433" s="202">
        <f t="shared" si="135"/>
        <v>0</v>
      </c>
      <c r="G433" s="203"/>
      <c r="H433" s="179"/>
      <c r="I433" s="204">
        <f t="shared" si="136"/>
        <v>0</v>
      </c>
      <c r="J433" s="203"/>
      <c r="K433" s="179"/>
      <c r="L433" s="204">
        <f t="shared" si="140"/>
        <v>0</v>
      </c>
      <c r="M433" s="154"/>
      <c r="N433" s="230"/>
      <c r="O433" s="312">
        <f t="shared" si="141"/>
        <v>0</v>
      </c>
      <c r="P433" s="209"/>
      <c r="Q433" s="208">
        <f t="shared" si="142"/>
        <v>0</v>
      </c>
    </row>
    <row r="434" spans="1:17" ht="12.75" hidden="1">
      <c r="A434" s="56" t="s">
        <v>316</v>
      </c>
      <c r="B434" s="55">
        <v>13351</v>
      </c>
      <c r="C434" s="72"/>
      <c r="D434" s="133"/>
      <c r="E434" s="71"/>
      <c r="F434" s="202">
        <f t="shared" si="135"/>
        <v>0</v>
      </c>
      <c r="G434" s="203"/>
      <c r="H434" s="179"/>
      <c r="I434" s="204">
        <f t="shared" si="136"/>
        <v>0</v>
      </c>
      <c r="J434" s="203"/>
      <c r="K434" s="179"/>
      <c r="L434" s="204">
        <f t="shared" si="140"/>
        <v>0</v>
      </c>
      <c r="M434" s="154"/>
      <c r="N434" s="230"/>
      <c r="O434" s="312">
        <f t="shared" si="141"/>
        <v>0</v>
      </c>
      <c r="P434" s="209"/>
      <c r="Q434" s="208">
        <f t="shared" si="142"/>
        <v>0</v>
      </c>
    </row>
    <row r="435" spans="1:17" ht="12.75" hidden="1">
      <c r="A435" s="33" t="s">
        <v>290</v>
      </c>
      <c r="B435" s="55">
        <v>13351</v>
      </c>
      <c r="C435" s="72"/>
      <c r="D435" s="133"/>
      <c r="E435" s="71"/>
      <c r="F435" s="202">
        <f t="shared" si="135"/>
        <v>0</v>
      </c>
      <c r="G435" s="203"/>
      <c r="H435" s="179"/>
      <c r="I435" s="204">
        <f t="shared" si="136"/>
        <v>0</v>
      </c>
      <c r="J435" s="203"/>
      <c r="K435" s="179"/>
      <c r="L435" s="204">
        <f t="shared" si="140"/>
        <v>0</v>
      </c>
      <c r="M435" s="154"/>
      <c r="N435" s="230"/>
      <c r="O435" s="312">
        <f t="shared" si="141"/>
        <v>0</v>
      </c>
      <c r="P435" s="209"/>
      <c r="Q435" s="208">
        <f t="shared" si="142"/>
        <v>0</v>
      </c>
    </row>
    <row r="436" spans="1:17" ht="12.75">
      <c r="A436" s="17" t="s">
        <v>380</v>
      </c>
      <c r="B436" s="55">
        <v>35030</v>
      </c>
      <c r="C436" s="72"/>
      <c r="D436" s="133"/>
      <c r="E436" s="71"/>
      <c r="F436" s="202"/>
      <c r="G436" s="203"/>
      <c r="H436" s="179"/>
      <c r="I436" s="204"/>
      <c r="J436" s="203"/>
      <c r="K436" s="179"/>
      <c r="L436" s="204">
        <f t="shared" si="140"/>
        <v>0</v>
      </c>
      <c r="M436" s="154"/>
      <c r="N436" s="230"/>
      <c r="O436" s="312">
        <f t="shared" si="141"/>
        <v>0</v>
      </c>
      <c r="P436" s="209">
        <f>22672.2</f>
        <v>22672.2</v>
      </c>
      <c r="Q436" s="208">
        <f t="shared" si="142"/>
        <v>22672.2</v>
      </c>
    </row>
    <row r="437" spans="1:17" ht="12.75">
      <c r="A437" s="56" t="s">
        <v>140</v>
      </c>
      <c r="B437" s="55">
        <v>4359</v>
      </c>
      <c r="C437" s="72"/>
      <c r="D437" s="133"/>
      <c r="E437" s="71"/>
      <c r="F437" s="202">
        <f t="shared" si="135"/>
        <v>0</v>
      </c>
      <c r="G437" s="203">
        <f>603+492</f>
        <v>1095</v>
      </c>
      <c r="H437" s="179"/>
      <c r="I437" s="204">
        <f t="shared" si="136"/>
        <v>1095</v>
      </c>
      <c r="J437" s="203"/>
      <c r="K437" s="179"/>
      <c r="L437" s="204">
        <f t="shared" si="140"/>
        <v>1095</v>
      </c>
      <c r="M437" s="154"/>
      <c r="N437" s="230"/>
      <c r="O437" s="312">
        <f t="shared" si="141"/>
        <v>1095</v>
      </c>
      <c r="P437" s="209"/>
      <c r="Q437" s="208">
        <f t="shared" si="142"/>
        <v>1095</v>
      </c>
    </row>
    <row r="438" spans="1:17" ht="12.75" hidden="1">
      <c r="A438" s="56" t="s">
        <v>276</v>
      </c>
      <c r="B438" s="55"/>
      <c r="C438" s="72"/>
      <c r="D438" s="133"/>
      <c r="E438" s="71"/>
      <c r="F438" s="202">
        <f t="shared" si="135"/>
        <v>0</v>
      </c>
      <c r="G438" s="203"/>
      <c r="H438" s="179"/>
      <c r="I438" s="204">
        <f t="shared" si="136"/>
        <v>0</v>
      </c>
      <c r="J438" s="203"/>
      <c r="K438" s="179"/>
      <c r="L438" s="204">
        <f t="shared" si="140"/>
        <v>0</v>
      </c>
      <c r="M438" s="154"/>
      <c r="N438" s="230"/>
      <c r="O438" s="312">
        <f t="shared" si="141"/>
        <v>0</v>
      </c>
      <c r="P438" s="209"/>
      <c r="Q438" s="208">
        <f t="shared" si="142"/>
        <v>0</v>
      </c>
    </row>
    <row r="439" spans="1:17" ht="12.75">
      <c r="A439" s="13" t="s">
        <v>75</v>
      </c>
      <c r="B439" s="55"/>
      <c r="C439" s="72">
        <v>490</v>
      </c>
      <c r="D439" s="133">
        <f>3035+1003.99+352.05+2429.62+674.71+8957.64+5000+10500+15000</f>
        <v>46953.009999999995</v>
      </c>
      <c r="E439" s="71"/>
      <c r="F439" s="202">
        <f t="shared" si="135"/>
        <v>47443.009999999995</v>
      </c>
      <c r="G439" s="203">
        <f>5846.49+52.35+200.96+122.58+42.8+33.11+122.17-20000</f>
        <v>-13579.54</v>
      </c>
      <c r="H439" s="179"/>
      <c r="I439" s="204">
        <f t="shared" si="136"/>
        <v>33863.469999999994</v>
      </c>
      <c r="J439" s="203">
        <f>57.48+171.36+13800+31600</f>
        <v>45628.84</v>
      </c>
      <c r="K439" s="179"/>
      <c r="L439" s="204">
        <f t="shared" si="140"/>
        <v>79492.31</v>
      </c>
      <c r="M439" s="154">
        <f>-4672.02-354.87-114.54+843.54-586.14-25000</f>
        <v>-29884.03</v>
      </c>
      <c r="N439" s="230"/>
      <c r="O439" s="312">
        <f t="shared" si="141"/>
        <v>49608.28</v>
      </c>
      <c r="P439" s="209">
        <f>-3900+1062.77+306.83+34500</f>
        <v>31969.6</v>
      </c>
      <c r="Q439" s="208">
        <f t="shared" si="142"/>
        <v>81577.88</v>
      </c>
    </row>
    <row r="440" spans="1:17" ht="12.75">
      <c r="A440" s="19" t="s">
        <v>53</v>
      </c>
      <c r="B440" s="59"/>
      <c r="C440" s="77">
        <f>SUM(C442:C444)</f>
        <v>0</v>
      </c>
      <c r="D440" s="136">
        <f aca="true" t="shared" si="143" ref="D440:Q440">SUM(D442:D444)</f>
        <v>0</v>
      </c>
      <c r="E440" s="78">
        <f t="shared" si="143"/>
        <v>0</v>
      </c>
      <c r="F440" s="201">
        <f t="shared" si="143"/>
        <v>0</v>
      </c>
      <c r="G440" s="222">
        <f t="shared" si="143"/>
        <v>0</v>
      </c>
      <c r="H440" s="183">
        <f t="shared" si="143"/>
        <v>0</v>
      </c>
      <c r="I440" s="235">
        <f t="shared" si="143"/>
        <v>0</v>
      </c>
      <c r="J440" s="222">
        <f t="shared" si="143"/>
        <v>0</v>
      </c>
      <c r="K440" s="183">
        <f t="shared" si="143"/>
        <v>0</v>
      </c>
      <c r="L440" s="235">
        <f t="shared" si="143"/>
        <v>0</v>
      </c>
      <c r="M440" s="151">
        <f t="shared" si="143"/>
        <v>822.03</v>
      </c>
      <c r="N440" s="295">
        <f t="shared" si="143"/>
        <v>0</v>
      </c>
      <c r="O440" s="315">
        <f t="shared" si="143"/>
        <v>822.03</v>
      </c>
      <c r="P440" s="222">
        <f t="shared" si="143"/>
        <v>0</v>
      </c>
      <c r="Q440" s="148">
        <f t="shared" si="143"/>
        <v>822.03</v>
      </c>
    </row>
    <row r="441" spans="1:17" ht="12.75">
      <c r="A441" s="15" t="s">
        <v>26</v>
      </c>
      <c r="B441" s="55"/>
      <c r="C441" s="72"/>
      <c r="D441" s="133"/>
      <c r="E441" s="71"/>
      <c r="F441" s="202"/>
      <c r="G441" s="203"/>
      <c r="H441" s="179"/>
      <c r="I441" s="204"/>
      <c r="J441" s="203"/>
      <c r="K441" s="179"/>
      <c r="L441" s="204"/>
      <c r="M441" s="154"/>
      <c r="N441" s="230"/>
      <c r="O441" s="312"/>
      <c r="P441" s="209"/>
      <c r="Q441" s="208"/>
    </row>
    <row r="442" spans="1:17" ht="12.75" hidden="1">
      <c r="A442" s="13" t="s">
        <v>83</v>
      </c>
      <c r="B442" s="55"/>
      <c r="C442" s="72"/>
      <c r="D442" s="133"/>
      <c r="E442" s="71"/>
      <c r="F442" s="202">
        <f>C442+D442+E442</f>
        <v>0</v>
      </c>
      <c r="G442" s="203"/>
      <c r="H442" s="179"/>
      <c r="I442" s="204">
        <f>F442+G442+H442</f>
        <v>0</v>
      </c>
      <c r="J442" s="203"/>
      <c r="K442" s="179"/>
      <c r="L442" s="204">
        <f>I442+J442+K442</f>
        <v>0</v>
      </c>
      <c r="M442" s="154"/>
      <c r="N442" s="230"/>
      <c r="O442" s="312">
        <f>L442+M442+N442</f>
        <v>0</v>
      </c>
      <c r="P442" s="209"/>
      <c r="Q442" s="208">
        <f>O442+P442</f>
        <v>0</v>
      </c>
    </row>
    <row r="443" spans="1:17" ht="12.75" hidden="1">
      <c r="A443" s="13" t="s">
        <v>54</v>
      </c>
      <c r="B443" s="55"/>
      <c r="C443" s="72"/>
      <c r="D443" s="133"/>
      <c r="E443" s="71"/>
      <c r="F443" s="202">
        <f>C443+D443+E443</f>
        <v>0</v>
      </c>
      <c r="G443" s="203"/>
      <c r="H443" s="179"/>
      <c r="I443" s="204"/>
      <c r="J443" s="203"/>
      <c r="K443" s="179"/>
      <c r="L443" s="204">
        <f>I443+J443+K443</f>
        <v>0</v>
      </c>
      <c r="M443" s="154"/>
      <c r="N443" s="230"/>
      <c r="O443" s="312">
        <f>L443+M443+N443</f>
        <v>0</v>
      </c>
      <c r="P443" s="209"/>
      <c r="Q443" s="208">
        <f>O443+P443</f>
        <v>0</v>
      </c>
    </row>
    <row r="444" spans="1:17" ht="12.75">
      <c r="A444" s="16" t="s">
        <v>75</v>
      </c>
      <c r="B444" s="58"/>
      <c r="C444" s="115"/>
      <c r="D444" s="138"/>
      <c r="E444" s="79"/>
      <c r="F444" s="257">
        <f>C444+D444+E444</f>
        <v>0</v>
      </c>
      <c r="G444" s="224"/>
      <c r="H444" s="182"/>
      <c r="I444" s="237">
        <f>F444+G444+H444</f>
        <v>0</v>
      </c>
      <c r="J444" s="224"/>
      <c r="K444" s="182"/>
      <c r="L444" s="237">
        <f>I444+J444+K444</f>
        <v>0</v>
      </c>
      <c r="M444" s="153">
        <f>822.03</f>
        <v>822.03</v>
      </c>
      <c r="N444" s="297"/>
      <c r="O444" s="317">
        <f>L444+M444+N444</f>
        <v>822.03</v>
      </c>
      <c r="P444" s="276"/>
      <c r="Q444" s="282">
        <f>O444+P444</f>
        <v>822.03</v>
      </c>
    </row>
    <row r="445" spans="1:17" ht="12.75">
      <c r="A445" s="14" t="s">
        <v>286</v>
      </c>
      <c r="B445" s="59"/>
      <c r="C445" s="69">
        <f aca="true" t="shared" si="144" ref="C445:Q445">C446+C458</f>
        <v>7532.35</v>
      </c>
      <c r="D445" s="132">
        <f t="shared" si="144"/>
        <v>2706.3</v>
      </c>
      <c r="E445" s="70">
        <f t="shared" si="144"/>
        <v>4945.98</v>
      </c>
      <c r="F445" s="92">
        <f t="shared" si="144"/>
        <v>15184.630000000001</v>
      </c>
      <c r="G445" s="219">
        <f t="shared" si="144"/>
        <v>3351.96</v>
      </c>
      <c r="H445" s="178">
        <f t="shared" si="144"/>
        <v>0</v>
      </c>
      <c r="I445" s="205">
        <f t="shared" si="144"/>
        <v>18536.59</v>
      </c>
      <c r="J445" s="219">
        <f>J446+J458</f>
        <v>1011.46</v>
      </c>
      <c r="K445" s="178">
        <f>K446+K458</f>
        <v>0</v>
      </c>
      <c r="L445" s="205">
        <f>L446+L458</f>
        <v>19548.05</v>
      </c>
      <c r="M445" s="150">
        <f t="shared" si="144"/>
        <v>12541.65</v>
      </c>
      <c r="N445" s="229">
        <f t="shared" si="144"/>
        <v>5650</v>
      </c>
      <c r="O445" s="311">
        <f t="shared" si="144"/>
        <v>37739.700000000004</v>
      </c>
      <c r="P445" s="219">
        <f t="shared" si="144"/>
        <v>-316.8199999999997</v>
      </c>
      <c r="Q445" s="143">
        <f t="shared" si="144"/>
        <v>37422.880000000005</v>
      </c>
    </row>
    <row r="446" spans="1:17" ht="12.75">
      <c r="A446" s="19" t="s">
        <v>49</v>
      </c>
      <c r="B446" s="59"/>
      <c r="C446" s="77">
        <f aca="true" t="shared" si="145" ref="C446:Q446">SUM(C448:C457)</f>
        <v>7532.35</v>
      </c>
      <c r="D446" s="136">
        <f t="shared" si="145"/>
        <v>2706.3</v>
      </c>
      <c r="E446" s="78">
        <f t="shared" si="145"/>
        <v>4945.98</v>
      </c>
      <c r="F446" s="201">
        <f t="shared" si="145"/>
        <v>15184.630000000001</v>
      </c>
      <c r="G446" s="222">
        <f t="shared" si="145"/>
        <v>3351.96</v>
      </c>
      <c r="H446" s="183">
        <f t="shared" si="145"/>
        <v>0</v>
      </c>
      <c r="I446" s="235">
        <f t="shared" si="145"/>
        <v>18536.59</v>
      </c>
      <c r="J446" s="222">
        <f>SUM(J448:J457)</f>
        <v>1011.46</v>
      </c>
      <c r="K446" s="183">
        <f>SUM(K448:K457)</f>
        <v>0</v>
      </c>
      <c r="L446" s="235">
        <f>SUM(L448:L457)</f>
        <v>19548.05</v>
      </c>
      <c r="M446" s="151">
        <f t="shared" si="145"/>
        <v>11041.65</v>
      </c>
      <c r="N446" s="295">
        <f t="shared" si="145"/>
        <v>4200</v>
      </c>
      <c r="O446" s="315">
        <f t="shared" si="145"/>
        <v>34789.700000000004</v>
      </c>
      <c r="P446" s="222">
        <f t="shared" si="145"/>
        <v>-7016.82</v>
      </c>
      <c r="Q446" s="148">
        <f t="shared" si="145"/>
        <v>27772.88</v>
      </c>
    </row>
    <row r="447" spans="1:17" ht="12.75">
      <c r="A447" s="15" t="s">
        <v>26</v>
      </c>
      <c r="B447" s="55"/>
      <c r="C447" s="72"/>
      <c r="D447" s="133"/>
      <c r="E447" s="71"/>
      <c r="F447" s="92"/>
      <c r="G447" s="203"/>
      <c r="H447" s="179"/>
      <c r="I447" s="205"/>
      <c r="J447" s="203"/>
      <c r="K447" s="179"/>
      <c r="L447" s="205"/>
      <c r="M447" s="154"/>
      <c r="N447" s="230"/>
      <c r="O447" s="311"/>
      <c r="P447" s="209"/>
      <c r="Q447" s="208"/>
    </row>
    <row r="448" spans="1:17" ht="12.75">
      <c r="A448" s="13" t="s">
        <v>51</v>
      </c>
      <c r="B448" s="55"/>
      <c r="C448" s="72">
        <v>7532.35</v>
      </c>
      <c r="D448" s="133">
        <f>2306.3</f>
        <v>2306.3</v>
      </c>
      <c r="E448" s="71"/>
      <c r="F448" s="202">
        <f aca="true" t="shared" si="146" ref="F448:F457">C448+D448+E448</f>
        <v>9838.650000000001</v>
      </c>
      <c r="G448" s="203">
        <f>35.57+2000</f>
        <v>2035.57</v>
      </c>
      <c r="H448" s="179"/>
      <c r="I448" s="204">
        <f aca="true" t="shared" si="147" ref="I448:I457">F448+G448+H448</f>
        <v>11874.220000000001</v>
      </c>
      <c r="J448" s="203">
        <f>389.5</f>
        <v>389.5</v>
      </c>
      <c r="K448" s="179"/>
      <c r="L448" s="204">
        <f>I448+J448+K448</f>
        <v>12263.720000000001</v>
      </c>
      <c r="M448" s="154">
        <f>10000</f>
        <v>10000</v>
      </c>
      <c r="N448" s="230"/>
      <c r="O448" s="312">
        <f>L448+M448+N448</f>
        <v>22263.72</v>
      </c>
      <c r="P448" s="209"/>
      <c r="Q448" s="208">
        <f>O448+P448</f>
        <v>22263.72</v>
      </c>
    </row>
    <row r="449" spans="1:17" ht="12.75">
      <c r="A449" s="50" t="s">
        <v>323</v>
      </c>
      <c r="B449" s="55"/>
      <c r="C449" s="72"/>
      <c r="D449" s="133"/>
      <c r="E449" s="71">
        <f>2500</f>
        <v>2500</v>
      </c>
      <c r="F449" s="202">
        <f t="shared" si="146"/>
        <v>2500</v>
      </c>
      <c r="G449" s="203"/>
      <c r="H449" s="179"/>
      <c r="I449" s="204">
        <f t="shared" si="147"/>
        <v>2500</v>
      </c>
      <c r="J449" s="203"/>
      <c r="K449" s="179"/>
      <c r="L449" s="204">
        <f aca="true" t="shared" si="148" ref="L449:L457">I449+J449+K449</f>
        <v>2500</v>
      </c>
      <c r="M449" s="154"/>
      <c r="N449" s="230">
        <f>4200</f>
        <v>4200</v>
      </c>
      <c r="O449" s="312">
        <f aca="true" t="shared" si="149" ref="O449:O457">L449+M449+N449</f>
        <v>6700</v>
      </c>
      <c r="P449" s="209">
        <f>-6700</f>
        <v>-6700</v>
      </c>
      <c r="Q449" s="208">
        <f aca="true" t="shared" si="150" ref="Q449:Q457">O449+P449</f>
        <v>0</v>
      </c>
    </row>
    <row r="450" spans="1:17" ht="12.75">
      <c r="A450" s="13" t="s">
        <v>75</v>
      </c>
      <c r="B450" s="55"/>
      <c r="C450" s="72"/>
      <c r="D450" s="270">
        <f>400</f>
        <v>400</v>
      </c>
      <c r="E450" s="71">
        <f>2445.98</f>
        <v>2445.98</v>
      </c>
      <c r="F450" s="202">
        <f t="shared" si="146"/>
        <v>2845.98</v>
      </c>
      <c r="G450" s="203"/>
      <c r="H450" s="179"/>
      <c r="I450" s="204">
        <f t="shared" si="147"/>
        <v>2845.98</v>
      </c>
      <c r="J450" s="203"/>
      <c r="K450" s="179"/>
      <c r="L450" s="204">
        <f t="shared" si="148"/>
        <v>2845.98</v>
      </c>
      <c r="M450" s="154"/>
      <c r="N450" s="230"/>
      <c r="O450" s="312">
        <f t="shared" si="149"/>
        <v>2845.98</v>
      </c>
      <c r="P450" s="209"/>
      <c r="Q450" s="208">
        <f t="shared" si="150"/>
        <v>2845.98</v>
      </c>
    </row>
    <row r="451" spans="1:17" ht="12.75" hidden="1">
      <c r="A451" s="13" t="s">
        <v>64</v>
      </c>
      <c r="B451" s="55"/>
      <c r="C451" s="72"/>
      <c r="D451" s="133"/>
      <c r="E451" s="71"/>
      <c r="F451" s="202">
        <f t="shared" si="146"/>
        <v>0</v>
      </c>
      <c r="G451" s="203"/>
      <c r="H451" s="179"/>
      <c r="I451" s="204">
        <f t="shared" si="147"/>
        <v>0</v>
      </c>
      <c r="J451" s="210"/>
      <c r="K451" s="179"/>
      <c r="L451" s="204">
        <f t="shared" si="148"/>
        <v>0</v>
      </c>
      <c r="M451" s="154"/>
      <c r="N451" s="230"/>
      <c r="O451" s="312">
        <f t="shared" si="149"/>
        <v>0</v>
      </c>
      <c r="P451" s="209"/>
      <c r="Q451" s="208">
        <f t="shared" si="150"/>
        <v>0</v>
      </c>
    </row>
    <row r="452" spans="1:17" ht="12.75" hidden="1">
      <c r="A452" s="13" t="s">
        <v>146</v>
      </c>
      <c r="B452" s="55"/>
      <c r="C452" s="72"/>
      <c r="D452" s="133"/>
      <c r="E452" s="71"/>
      <c r="F452" s="202">
        <f t="shared" si="146"/>
        <v>0</v>
      </c>
      <c r="G452" s="203"/>
      <c r="H452" s="179"/>
      <c r="I452" s="204">
        <f t="shared" si="147"/>
        <v>0</v>
      </c>
      <c r="J452" s="210"/>
      <c r="K452" s="179"/>
      <c r="L452" s="204">
        <f t="shared" si="148"/>
        <v>0</v>
      </c>
      <c r="M452" s="154"/>
      <c r="N452" s="230"/>
      <c r="O452" s="312">
        <f t="shared" si="149"/>
        <v>0</v>
      </c>
      <c r="P452" s="209"/>
      <c r="Q452" s="208">
        <f t="shared" si="150"/>
        <v>0</v>
      </c>
    </row>
    <row r="453" spans="1:17" ht="12.75">
      <c r="A453" s="22" t="s">
        <v>343</v>
      </c>
      <c r="B453" s="55" t="s">
        <v>353</v>
      </c>
      <c r="C453" s="72"/>
      <c r="D453" s="133"/>
      <c r="E453" s="71"/>
      <c r="F453" s="202">
        <f t="shared" si="146"/>
        <v>0</v>
      </c>
      <c r="G453" s="203"/>
      <c r="H453" s="179"/>
      <c r="I453" s="204">
        <f t="shared" si="147"/>
        <v>0</v>
      </c>
      <c r="J453" s="210">
        <f>621.96</f>
        <v>621.96</v>
      </c>
      <c r="K453" s="179"/>
      <c r="L453" s="204">
        <f t="shared" si="148"/>
        <v>621.96</v>
      </c>
      <c r="M453" s="154"/>
      <c r="N453" s="230"/>
      <c r="O453" s="312">
        <f t="shared" si="149"/>
        <v>621.96</v>
      </c>
      <c r="P453" s="209">
        <f>-316.82</f>
        <v>-316.82</v>
      </c>
      <c r="Q453" s="208">
        <f t="shared" si="150"/>
        <v>305.14000000000004</v>
      </c>
    </row>
    <row r="454" spans="1:17" ht="12.75" hidden="1">
      <c r="A454" s="13" t="s">
        <v>233</v>
      </c>
      <c r="B454" s="55">
        <v>98035</v>
      </c>
      <c r="C454" s="72"/>
      <c r="D454" s="133"/>
      <c r="E454" s="71"/>
      <c r="F454" s="202">
        <f t="shared" si="146"/>
        <v>0</v>
      </c>
      <c r="G454" s="203"/>
      <c r="H454" s="179"/>
      <c r="I454" s="204">
        <f t="shared" si="147"/>
        <v>0</v>
      </c>
      <c r="J454" s="210"/>
      <c r="K454" s="179"/>
      <c r="L454" s="204">
        <f t="shared" si="148"/>
        <v>0</v>
      </c>
      <c r="M454" s="154"/>
      <c r="N454" s="230"/>
      <c r="O454" s="312">
        <f t="shared" si="149"/>
        <v>0</v>
      </c>
      <c r="P454" s="209"/>
      <c r="Q454" s="208">
        <f t="shared" si="150"/>
        <v>0</v>
      </c>
    </row>
    <row r="455" spans="1:17" ht="12.75">
      <c r="A455" s="13" t="s">
        <v>333</v>
      </c>
      <c r="B455" s="206" t="s">
        <v>213</v>
      </c>
      <c r="C455" s="72"/>
      <c r="D455" s="133"/>
      <c r="E455" s="71"/>
      <c r="F455" s="202">
        <f t="shared" si="146"/>
        <v>0</v>
      </c>
      <c r="G455" s="203">
        <f>1316.39</f>
        <v>1316.39</v>
      </c>
      <c r="H455" s="179"/>
      <c r="I455" s="204">
        <f t="shared" si="147"/>
        <v>1316.39</v>
      </c>
      <c r="J455" s="210"/>
      <c r="K455" s="179"/>
      <c r="L455" s="204">
        <f t="shared" si="148"/>
        <v>1316.39</v>
      </c>
      <c r="M455" s="154"/>
      <c r="N455" s="230"/>
      <c r="O455" s="312">
        <f t="shared" si="149"/>
        <v>1316.39</v>
      </c>
      <c r="P455" s="209"/>
      <c r="Q455" s="208">
        <f t="shared" si="150"/>
        <v>1316.39</v>
      </c>
    </row>
    <row r="456" spans="1:17" ht="12.75">
      <c r="A456" s="13" t="s">
        <v>354</v>
      </c>
      <c r="B456" s="206"/>
      <c r="C456" s="72"/>
      <c r="D456" s="133"/>
      <c r="E456" s="71"/>
      <c r="F456" s="202"/>
      <c r="G456" s="203"/>
      <c r="H456" s="179"/>
      <c r="I456" s="204"/>
      <c r="J456" s="210"/>
      <c r="K456" s="179"/>
      <c r="L456" s="204">
        <f t="shared" si="148"/>
        <v>0</v>
      </c>
      <c r="M456" s="154">
        <f>1041.65</f>
        <v>1041.65</v>
      </c>
      <c r="N456" s="230"/>
      <c r="O456" s="312">
        <f t="shared" si="149"/>
        <v>1041.65</v>
      </c>
      <c r="P456" s="209"/>
      <c r="Q456" s="208">
        <f t="shared" si="150"/>
        <v>1041.65</v>
      </c>
    </row>
    <row r="457" spans="1:17" ht="12.75" hidden="1">
      <c r="A457" s="13" t="s">
        <v>212</v>
      </c>
      <c r="B457" s="55">
        <v>33064</v>
      </c>
      <c r="C457" s="72"/>
      <c r="D457" s="133"/>
      <c r="E457" s="71"/>
      <c r="F457" s="202">
        <f t="shared" si="146"/>
        <v>0</v>
      </c>
      <c r="G457" s="203"/>
      <c r="H457" s="179"/>
      <c r="I457" s="204">
        <f t="shared" si="147"/>
        <v>0</v>
      </c>
      <c r="J457" s="210"/>
      <c r="K457" s="179"/>
      <c r="L457" s="204">
        <f t="shared" si="148"/>
        <v>0</v>
      </c>
      <c r="M457" s="154"/>
      <c r="N457" s="230"/>
      <c r="O457" s="312">
        <f t="shared" si="149"/>
        <v>0</v>
      </c>
      <c r="P457" s="209"/>
      <c r="Q457" s="208">
        <f t="shared" si="150"/>
        <v>0</v>
      </c>
    </row>
    <row r="458" spans="1:17" ht="12.75">
      <c r="A458" s="19" t="s">
        <v>53</v>
      </c>
      <c r="B458" s="59"/>
      <c r="C458" s="77">
        <f aca="true" t="shared" si="151" ref="C458:Q458">SUM(C460:C465)</f>
        <v>0</v>
      </c>
      <c r="D458" s="136">
        <f t="shared" si="151"/>
        <v>0</v>
      </c>
      <c r="E458" s="78">
        <f t="shared" si="151"/>
        <v>0</v>
      </c>
      <c r="F458" s="201">
        <f t="shared" si="151"/>
        <v>0</v>
      </c>
      <c r="G458" s="222">
        <f t="shared" si="151"/>
        <v>0</v>
      </c>
      <c r="H458" s="183">
        <f t="shared" si="151"/>
        <v>0</v>
      </c>
      <c r="I458" s="235">
        <f t="shared" si="151"/>
        <v>0</v>
      </c>
      <c r="J458" s="222">
        <f t="shared" si="151"/>
        <v>0</v>
      </c>
      <c r="K458" s="183">
        <f t="shared" si="151"/>
        <v>0</v>
      </c>
      <c r="L458" s="235">
        <f t="shared" si="151"/>
        <v>0</v>
      </c>
      <c r="M458" s="151">
        <f t="shared" si="151"/>
        <v>1500</v>
      </c>
      <c r="N458" s="295">
        <f t="shared" si="151"/>
        <v>1450</v>
      </c>
      <c r="O458" s="315">
        <f t="shared" si="151"/>
        <v>2950</v>
      </c>
      <c r="P458" s="222">
        <f t="shared" si="151"/>
        <v>6700</v>
      </c>
      <c r="Q458" s="148">
        <f t="shared" si="151"/>
        <v>9650</v>
      </c>
    </row>
    <row r="459" spans="1:17" ht="12.75">
      <c r="A459" s="15" t="s">
        <v>26</v>
      </c>
      <c r="B459" s="55"/>
      <c r="C459" s="72"/>
      <c r="D459" s="133"/>
      <c r="E459" s="71"/>
      <c r="F459" s="202"/>
      <c r="G459" s="203"/>
      <c r="H459" s="179"/>
      <c r="I459" s="204"/>
      <c r="J459" s="203"/>
      <c r="K459" s="179"/>
      <c r="L459" s="204"/>
      <c r="M459" s="154"/>
      <c r="N459" s="230"/>
      <c r="O459" s="312"/>
      <c r="P459" s="209"/>
      <c r="Q459" s="208"/>
    </row>
    <row r="460" spans="1:17" ht="12.75" hidden="1">
      <c r="A460" s="17" t="s">
        <v>67</v>
      </c>
      <c r="B460" s="55"/>
      <c r="C460" s="72"/>
      <c r="D460" s="133"/>
      <c r="E460" s="71"/>
      <c r="F460" s="202">
        <f aca="true" t="shared" si="152" ref="F460:F465">C460+D460+E460</f>
        <v>0</v>
      </c>
      <c r="G460" s="203"/>
      <c r="H460" s="179"/>
      <c r="I460" s="204">
        <f aca="true" t="shared" si="153" ref="I460:I465">F460+G460+H460</f>
        <v>0</v>
      </c>
      <c r="J460" s="203"/>
      <c r="K460" s="179"/>
      <c r="L460" s="204">
        <f aca="true" t="shared" si="154" ref="L460:L465">I460+J460+K460</f>
        <v>0</v>
      </c>
      <c r="M460" s="154"/>
      <c r="N460" s="230"/>
      <c r="O460" s="312">
        <f aca="true" t="shared" si="155" ref="O460:O465">L460+M460+N460</f>
        <v>0</v>
      </c>
      <c r="P460" s="209"/>
      <c r="Q460" s="208">
        <f aca="true" t="shared" si="156" ref="Q460:Q465">O460+P460</f>
        <v>0</v>
      </c>
    </row>
    <row r="461" spans="1:17" ht="12.75">
      <c r="A461" s="50" t="s">
        <v>323</v>
      </c>
      <c r="B461" s="55"/>
      <c r="C461" s="72"/>
      <c r="D461" s="133"/>
      <c r="E461" s="71"/>
      <c r="F461" s="202">
        <f t="shared" si="152"/>
        <v>0</v>
      </c>
      <c r="G461" s="203"/>
      <c r="H461" s="179"/>
      <c r="I461" s="204">
        <f t="shared" si="153"/>
        <v>0</v>
      </c>
      <c r="J461" s="203"/>
      <c r="K461" s="179"/>
      <c r="L461" s="204">
        <f t="shared" si="154"/>
        <v>0</v>
      </c>
      <c r="M461" s="154"/>
      <c r="N461" s="230"/>
      <c r="O461" s="312">
        <f t="shared" si="155"/>
        <v>0</v>
      </c>
      <c r="P461" s="209">
        <f>6700</f>
        <v>6700</v>
      </c>
      <c r="Q461" s="208">
        <f t="shared" si="156"/>
        <v>6700</v>
      </c>
    </row>
    <row r="462" spans="1:17" ht="12.75" hidden="1">
      <c r="A462" s="17" t="s">
        <v>168</v>
      </c>
      <c r="B462" s="55"/>
      <c r="C462" s="72"/>
      <c r="D462" s="133"/>
      <c r="E462" s="71"/>
      <c r="F462" s="202">
        <f t="shared" si="152"/>
        <v>0</v>
      </c>
      <c r="G462" s="203"/>
      <c r="H462" s="179"/>
      <c r="I462" s="204">
        <f t="shared" si="153"/>
        <v>0</v>
      </c>
      <c r="J462" s="203"/>
      <c r="K462" s="179"/>
      <c r="L462" s="204">
        <f t="shared" si="154"/>
        <v>0</v>
      </c>
      <c r="M462" s="154"/>
      <c r="N462" s="230"/>
      <c r="O462" s="312">
        <f t="shared" si="155"/>
        <v>0</v>
      </c>
      <c r="P462" s="209"/>
      <c r="Q462" s="208">
        <f t="shared" si="156"/>
        <v>0</v>
      </c>
    </row>
    <row r="463" spans="1:17" ht="12.75">
      <c r="A463" s="16" t="s">
        <v>54</v>
      </c>
      <c r="B463" s="58"/>
      <c r="C463" s="115"/>
      <c r="D463" s="138"/>
      <c r="E463" s="79"/>
      <c r="F463" s="257">
        <f t="shared" si="152"/>
        <v>0</v>
      </c>
      <c r="G463" s="224"/>
      <c r="H463" s="182"/>
      <c r="I463" s="237">
        <f t="shared" si="153"/>
        <v>0</v>
      </c>
      <c r="J463" s="224"/>
      <c r="K463" s="182"/>
      <c r="L463" s="237">
        <f t="shared" si="154"/>
        <v>0</v>
      </c>
      <c r="M463" s="153">
        <f>1500</f>
        <v>1500</v>
      </c>
      <c r="N463" s="297">
        <f>1450</f>
        <v>1450</v>
      </c>
      <c r="O463" s="317">
        <f t="shared" si="155"/>
        <v>2950</v>
      </c>
      <c r="P463" s="276"/>
      <c r="Q463" s="282">
        <f t="shared" si="156"/>
        <v>2950</v>
      </c>
    </row>
    <row r="464" spans="1:17" ht="12.75" hidden="1">
      <c r="A464" s="13" t="s">
        <v>75</v>
      </c>
      <c r="B464" s="55"/>
      <c r="C464" s="72"/>
      <c r="D464" s="133"/>
      <c r="E464" s="71"/>
      <c r="F464" s="259">
        <f t="shared" si="152"/>
        <v>0</v>
      </c>
      <c r="G464" s="203"/>
      <c r="H464" s="179"/>
      <c r="I464" s="204">
        <f t="shared" si="153"/>
        <v>0</v>
      </c>
      <c r="J464" s="203"/>
      <c r="K464" s="179"/>
      <c r="L464" s="204">
        <f t="shared" si="154"/>
        <v>0</v>
      </c>
      <c r="M464" s="154"/>
      <c r="N464" s="230"/>
      <c r="O464" s="312">
        <f t="shared" si="155"/>
        <v>0</v>
      </c>
      <c r="P464" s="209"/>
      <c r="Q464" s="208">
        <f t="shared" si="156"/>
        <v>0</v>
      </c>
    </row>
    <row r="465" spans="1:17" ht="12.75" hidden="1">
      <c r="A465" s="108" t="s">
        <v>169</v>
      </c>
      <c r="B465" s="58"/>
      <c r="C465" s="115"/>
      <c r="D465" s="138"/>
      <c r="E465" s="79"/>
      <c r="F465" s="257">
        <f t="shared" si="152"/>
        <v>0</v>
      </c>
      <c r="G465" s="224"/>
      <c r="H465" s="182"/>
      <c r="I465" s="237">
        <f t="shared" si="153"/>
        <v>0</v>
      </c>
      <c r="J465" s="224"/>
      <c r="K465" s="182"/>
      <c r="L465" s="237">
        <f t="shared" si="154"/>
        <v>0</v>
      </c>
      <c r="M465" s="153"/>
      <c r="N465" s="297"/>
      <c r="O465" s="317">
        <f t="shared" si="155"/>
        <v>0</v>
      </c>
      <c r="P465" s="276"/>
      <c r="Q465" s="282">
        <f t="shared" si="156"/>
        <v>0</v>
      </c>
    </row>
    <row r="466" spans="1:17" ht="12.75">
      <c r="A466" s="10" t="s">
        <v>92</v>
      </c>
      <c r="B466" s="59"/>
      <c r="C466" s="69">
        <f>C467+C470</f>
        <v>3238.8</v>
      </c>
      <c r="D466" s="132">
        <f aca="true" t="shared" si="157" ref="D466:Q466">D467+D470</f>
        <v>0</v>
      </c>
      <c r="E466" s="70">
        <f t="shared" si="157"/>
        <v>0</v>
      </c>
      <c r="F466" s="92">
        <f t="shared" si="157"/>
        <v>3238.8</v>
      </c>
      <c r="G466" s="219">
        <f t="shared" si="157"/>
        <v>0</v>
      </c>
      <c r="H466" s="178">
        <f t="shared" si="157"/>
        <v>0</v>
      </c>
      <c r="I466" s="205">
        <f t="shared" si="157"/>
        <v>3238.8</v>
      </c>
      <c r="J466" s="219">
        <f>J467+J470</f>
        <v>38.65</v>
      </c>
      <c r="K466" s="178">
        <f>K467+K470</f>
        <v>0</v>
      </c>
      <c r="L466" s="205">
        <f>L467+L470</f>
        <v>3277.4500000000003</v>
      </c>
      <c r="M466" s="150">
        <f t="shared" si="157"/>
        <v>0</v>
      </c>
      <c r="N466" s="229">
        <f t="shared" si="157"/>
        <v>0</v>
      </c>
      <c r="O466" s="311">
        <f t="shared" si="157"/>
        <v>3277.4500000000003</v>
      </c>
      <c r="P466" s="219">
        <f t="shared" si="157"/>
        <v>0</v>
      </c>
      <c r="Q466" s="143">
        <f t="shared" si="157"/>
        <v>3277.4500000000003</v>
      </c>
    </row>
    <row r="467" spans="1:17" ht="12.75">
      <c r="A467" s="19" t="s">
        <v>49</v>
      </c>
      <c r="B467" s="59"/>
      <c r="C467" s="77">
        <f>SUM(C469:C469)</f>
        <v>3238.8</v>
      </c>
      <c r="D467" s="136">
        <f aca="true" t="shared" si="158" ref="D467:Q467">SUM(D469:D469)</f>
        <v>0</v>
      </c>
      <c r="E467" s="78">
        <f t="shared" si="158"/>
        <v>0</v>
      </c>
      <c r="F467" s="201">
        <f t="shared" si="158"/>
        <v>3238.8</v>
      </c>
      <c r="G467" s="222">
        <f t="shared" si="158"/>
        <v>0</v>
      </c>
      <c r="H467" s="183">
        <f t="shared" si="158"/>
        <v>0</v>
      </c>
      <c r="I467" s="235">
        <f t="shared" si="158"/>
        <v>3238.8</v>
      </c>
      <c r="J467" s="222">
        <f>SUM(J469:J469)</f>
        <v>38.65</v>
      </c>
      <c r="K467" s="183">
        <f>SUM(K469:K469)</f>
        <v>0</v>
      </c>
      <c r="L467" s="235">
        <f>SUM(L469:L469)</f>
        <v>3277.4500000000003</v>
      </c>
      <c r="M467" s="151">
        <f t="shared" si="158"/>
        <v>0</v>
      </c>
      <c r="N467" s="295">
        <f t="shared" si="158"/>
        <v>0</v>
      </c>
      <c r="O467" s="315">
        <f t="shared" si="158"/>
        <v>3277.4500000000003</v>
      </c>
      <c r="P467" s="222">
        <f t="shared" si="158"/>
        <v>0</v>
      </c>
      <c r="Q467" s="148">
        <f t="shared" si="158"/>
        <v>3277.4500000000003</v>
      </c>
    </row>
    <row r="468" spans="1:17" ht="12.75">
      <c r="A468" s="15" t="s">
        <v>26</v>
      </c>
      <c r="B468" s="55"/>
      <c r="C468" s="72"/>
      <c r="D468" s="133"/>
      <c r="E468" s="71"/>
      <c r="F468" s="92"/>
      <c r="G468" s="203"/>
      <c r="H468" s="179"/>
      <c r="I468" s="205"/>
      <c r="J468" s="203"/>
      <c r="K468" s="179"/>
      <c r="L468" s="205"/>
      <c r="M468" s="154"/>
      <c r="N468" s="230"/>
      <c r="O468" s="311"/>
      <c r="P468" s="209"/>
      <c r="Q468" s="208"/>
    </row>
    <row r="469" spans="1:17" ht="12.75">
      <c r="A469" s="16" t="s">
        <v>51</v>
      </c>
      <c r="B469" s="58"/>
      <c r="C469" s="128">
        <v>3238.8</v>
      </c>
      <c r="D469" s="138"/>
      <c r="E469" s="79"/>
      <c r="F469" s="257">
        <f>C469+D469+E469</f>
        <v>3238.8</v>
      </c>
      <c r="G469" s="224"/>
      <c r="H469" s="182"/>
      <c r="I469" s="237">
        <f>F469+G469+H469</f>
        <v>3238.8</v>
      </c>
      <c r="J469" s="224">
        <f>38.65</f>
        <v>38.65</v>
      </c>
      <c r="K469" s="182"/>
      <c r="L469" s="237">
        <f>I469+J469+K469</f>
        <v>3277.4500000000003</v>
      </c>
      <c r="M469" s="153"/>
      <c r="N469" s="297"/>
      <c r="O469" s="317">
        <f>L469+M469+N469</f>
        <v>3277.4500000000003</v>
      </c>
      <c r="P469" s="276"/>
      <c r="Q469" s="282">
        <f>O469+P469</f>
        <v>3277.4500000000003</v>
      </c>
    </row>
    <row r="470" spans="1:17" ht="12.75" hidden="1">
      <c r="A470" s="19" t="s">
        <v>53</v>
      </c>
      <c r="B470" s="59"/>
      <c r="C470" s="77">
        <f aca="true" t="shared" si="159" ref="C470:Q470">SUM(C472:C472)</f>
        <v>0</v>
      </c>
      <c r="D470" s="136">
        <f t="shared" si="159"/>
        <v>0</v>
      </c>
      <c r="E470" s="78">
        <f t="shared" si="159"/>
        <v>0</v>
      </c>
      <c r="F470" s="201">
        <f t="shared" si="159"/>
        <v>0</v>
      </c>
      <c r="G470" s="222">
        <f t="shared" si="159"/>
        <v>0</v>
      </c>
      <c r="H470" s="183">
        <f t="shared" si="159"/>
        <v>0</v>
      </c>
      <c r="I470" s="235">
        <f t="shared" si="159"/>
        <v>0</v>
      </c>
      <c r="J470" s="222">
        <f t="shared" si="159"/>
        <v>0</v>
      </c>
      <c r="K470" s="183">
        <f t="shared" si="159"/>
        <v>0</v>
      </c>
      <c r="L470" s="235">
        <f t="shared" si="159"/>
        <v>0</v>
      </c>
      <c r="M470" s="151">
        <f t="shared" si="159"/>
        <v>0</v>
      </c>
      <c r="N470" s="295">
        <f t="shared" si="159"/>
        <v>0</v>
      </c>
      <c r="O470" s="315">
        <f t="shared" si="159"/>
        <v>0</v>
      </c>
      <c r="P470" s="222">
        <f t="shared" si="159"/>
        <v>0</v>
      </c>
      <c r="Q470" s="148">
        <f t="shared" si="159"/>
        <v>0</v>
      </c>
    </row>
    <row r="471" spans="1:17" ht="12.75" hidden="1">
      <c r="A471" s="15" t="s">
        <v>26</v>
      </c>
      <c r="B471" s="55"/>
      <c r="C471" s="72"/>
      <c r="D471" s="133"/>
      <c r="E471" s="71"/>
      <c r="F471" s="202"/>
      <c r="G471" s="203"/>
      <c r="H471" s="179"/>
      <c r="I471" s="204"/>
      <c r="J471" s="203"/>
      <c r="K471" s="179"/>
      <c r="L471" s="204"/>
      <c r="M471" s="154"/>
      <c r="N471" s="230"/>
      <c r="O471" s="312"/>
      <c r="P471" s="209"/>
      <c r="Q471" s="208"/>
    </row>
    <row r="472" spans="1:17" ht="12.75" hidden="1">
      <c r="A472" s="16" t="s">
        <v>54</v>
      </c>
      <c r="B472" s="58"/>
      <c r="C472" s="115"/>
      <c r="D472" s="138"/>
      <c r="E472" s="79"/>
      <c r="F472" s="257">
        <f>C472+D472+E472</f>
        <v>0</v>
      </c>
      <c r="G472" s="224"/>
      <c r="H472" s="182"/>
      <c r="I472" s="237">
        <f>F472+G472+H472</f>
        <v>0</v>
      </c>
      <c r="J472" s="224"/>
      <c r="K472" s="182"/>
      <c r="L472" s="237">
        <f>I472+J472+K472</f>
        <v>0</v>
      </c>
      <c r="M472" s="153"/>
      <c r="N472" s="297"/>
      <c r="O472" s="317">
        <f>L472+M472+N472</f>
        <v>0</v>
      </c>
      <c r="P472" s="276"/>
      <c r="Q472" s="282">
        <f>O472+P472</f>
        <v>0</v>
      </c>
    </row>
    <row r="473" spans="1:17" ht="12.75">
      <c r="A473" s="10" t="s">
        <v>93</v>
      </c>
      <c r="B473" s="59"/>
      <c r="C473" s="69">
        <f aca="true" t="shared" si="160" ref="C473:Q473">C474</f>
        <v>86090.05</v>
      </c>
      <c r="D473" s="132">
        <f t="shared" si="160"/>
        <v>45916.51</v>
      </c>
      <c r="E473" s="70">
        <f t="shared" si="160"/>
        <v>-27500</v>
      </c>
      <c r="F473" s="92">
        <f t="shared" si="160"/>
        <v>104506.56000000001</v>
      </c>
      <c r="G473" s="219">
        <f t="shared" si="160"/>
        <v>7568.209999999999</v>
      </c>
      <c r="H473" s="178">
        <f t="shared" si="160"/>
        <v>54418.48</v>
      </c>
      <c r="I473" s="205">
        <f t="shared" si="160"/>
        <v>166493.25</v>
      </c>
      <c r="J473" s="219">
        <f t="shared" si="160"/>
        <v>12536.340000000002</v>
      </c>
      <c r="K473" s="178">
        <f t="shared" si="160"/>
        <v>0</v>
      </c>
      <c r="L473" s="205">
        <f t="shared" si="160"/>
        <v>179029.59000000003</v>
      </c>
      <c r="M473" s="150">
        <f t="shared" si="160"/>
        <v>27571.98</v>
      </c>
      <c r="N473" s="229">
        <f t="shared" si="160"/>
        <v>45820</v>
      </c>
      <c r="O473" s="311">
        <f t="shared" si="160"/>
        <v>252421.57000000004</v>
      </c>
      <c r="P473" s="219">
        <f t="shared" si="160"/>
        <v>46479.9</v>
      </c>
      <c r="Q473" s="143">
        <f t="shared" si="160"/>
        <v>298901.47000000003</v>
      </c>
    </row>
    <row r="474" spans="1:17" ht="12.75">
      <c r="A474" s="19" t="s">
        <v>49</v>
      </c>
      <c r="B474" s="59"/>
      <c r="C474" s="77">
        <f>SUM(C476:C479)</f>
        <v>86090.05</v>
      </c>
      <c r="D474" s="136">
        <f aca="true" t="shared" si="161" ref="D474:Q474">SUM(D476:D479)</f>
        <v>45916.51</v>
      </c>
      <c r="E474" s="78">
        <f t="shared" si="161"/>
        <v>-27500</v>
      </c>
      <c r="F474" s="201">
        <f t="shared" si="161"/>
        <v>104506.56000000001</v>
      </c>
      <c r="G474" s="222">
        <f t="shared" si="161"/>
        <v>7568.209999999999</v>
      </c>
      <c r="H474" s="183">
        <f t="shared" si="161"/>
        <v>54418.48</v>
      </c>
      <c r="I474" s="235">
        <f t="shared" si="161"/>
        <v>166493.25</v>
      </c>
      <c r="J474" s="222">
        <f>SUM(J476:J479)</f>
        <v>12536.340000000002</v>
      </c>
      <c r="K474" s="183">
        <f>SUM(K476:K479)</f>
        <v>0</v>
      </c>
      <c r="L474" s="235">
        <f>SUM(L476:L479)</f>
        <v>179029.59000000003</v>
      </c>
      <c r="M474" s="151">
        <f t="shared" si="161"/>
        <v>27571.98</v>
      </c>
      <c r="N474" s="295">
        <f t="shared" si="161"/>
        <v>45820</v>
      </c>
      <c r="O474" s="315">
        <f t="shared" si="161"/>
        <v>252421.57000000004</v>
      </c>
      <c r="P474" s="222">
        <f t="shared" si="161"/>
        <v>46479.9</v>
      </c>
      <c r="Q474" s="148">
        <f t="shared" si="161"/>
        <v>298901.47000000003</v>
      </c>
    </row>
    <row r="475" spans="1:17" ht="12.75">
      <c r="A475" s="15" t="s">
        <v>26</v>
      </c>
      <c r="B475" s="55"/>
      <c r="C475" s="69"/>
      <c r="D475" s="132"/>
      <c r="E475" s="70"/>
      <c r="F475" s="92"/>
      <c r="G475" s="219"/>
      <c r="H475" s="178"/>
      <c r="I475" s="205"/>
      <c r="J475" s="219"/>
      <c r="K475" s="178"/>
      <c r="L475" s="205"/>
      <c r="M475" s="150"/>
      <c r="N475" s="229"/>
      <c r="O475" s="311"/>
      <c r="P475" s="209"/>
      <c r="Q475" s="208"/>
    </row>
    <row r="476" spans="1:17" ht="12.75">
      <c r="A476" s="56" t="s">
        <v>176</v>
      </c>
      <c r="B476" s="55"/>
      <c r="C476" s="72">
        <v>50590.05</v>
      </c>
      <c r="D476" s="133">
        <f>1463.86+602.55</f>
        <v>2066.41</v>
      </c>
      <c r="E476" s="82">
        <f>-25000-2500</f>
        <v>-27500</v>
      </c>
      <c r="F476" s="202">
        <f>C476+D476+E476</f>
        <v>25156.460000000006</v>
      </c>
      <c r="G476" s="203">
        <f>20349.31+1916.76-20000+2000+1435.13+1083.24-906.59-134</f>
        <v>5743.849999999999</v>
      </c>
      <c r="H476" s="179">
        <f>54418.48</f>
        <v>54418.48</v>
      </c>
      <c r="I476" s="204">
        <f>F476+G476+H476</f>
        <v>85318.79000000001</v>
      </c>
      <c r="J476" s="210">
        <f>10625.02+764.95-38.65+712.19</f>
        <v>12063.510000000002</v>
      </c>
      <c r="K476" s="179"/>
      <c r="L476" s="204">
        <f>I476+J476+K476</f>
        <v>97382.30000000002</v>
      </c>
      <c r="M476" s="154">
        <f>27673.74+4.55+54.82-161.13</f>
        <v>27571.98</v>
      </c>
      <c r="N476" s="230">
        <f>32760+13060</f>
        <v>45820</v>
      </c>
      <c r="O476" s="312">
        <f>L476+M476+N476</f>
        <v>170774.28000000003</v>
      </c>
      <c r="P476" s="209">
        <f>46649.9-200</f>
        <v>46449.9</v>
      </c>
      <c r="Q476" s="208">
        <f>O476+P476</f>
        <v>217224.18000000002</v>
      </c>
    </row>
    <row r="477" spans="1:17" ht="12.75">
      <c r="A477" s="56" t="s">
        <v>94</v>
      </c>
      <c r="B477" s="55"/>
      <c r="C477" s="72"/>
      <c r="D477" s="139">
        <f>32523.22</f>
        <v>32523.22</v>
      </c>
      <c r="E477" s="71"/>
      <c r="F477" s="202">
        <f>C477+D477+E477</f>
        <v>32523.22</v>
      </c>
      <c r="G477" s="203"/>
      <c r="H477" s="179"/>
      <c r="I477" s="204">
        <f>F477+G477+H477</f>
        <v>32523.22</v>
      </c>
      <c r="J477" s="203"/>
      <c r="K477" s="179"/>
      <c r="L477" s="204">
        <f>I477+J477+K477</f>
        <v>32523.22</v>
      </c>
      <c r="M477" s="154"/>
      <c r="N477" s="230"/>
      <c r="O477" s="312">
        <f>L477+M477+N477</f>
        <v>32523.22</v>
      </c>
      <c r="P477" s="209"/>
      <c r="Q477" s="208">
        <f>O477+P477</f>
        <v>32523.22</v>
      </c>
    </row>
    <row r="478" spans="1:17" ht="12.75">
      <c r="A478" s="56" t="s">
        <v>95</v>
      </c>
      <c r="B478" s="55"/>
      <c r="C478" s="72"/>
      <c r="D478" s="133">
        <f>11326.88</f>
        <v>11326.88</v>
      </c>
      <c r="E478" s="71"/>
      <c r="F478" s="202">
        <f>C478+D478+E478</f>
        <v>11326.88</v>
      </c>
      <c r="G478" s="203">
        <f>1824.36</f>
        <v>1824.36</v>
      </c>
      <c r="H478" s="179"/>
      <c r="I478" s="204">
        <f>F478+G478+H478</f>
        <v>13151.24</v>
      </c>
      <c r="J478" s="203">
        <f>472.83</f>
        <v>472.83</v>
      </c>
      <c r="K478" s="179"/>
      <c r="L478" s="204">
        <f>I478+J478+K478</f>
        <v>13624.07</v>
      </c>
      <c r="M478" s="154"/>
      <c r="N478" s="230"/>
      <c r="O478" s="312">
        <f>L478+M478+N478</f>
        <v>13624.07</v>
      </c>
      <c r="P478" s="209">
        <f>30</f>
        <v>30</v>
      </c>
      <c r="Q478" s="208">
        <f>O478+P478</f>
        <v>13654.07</v>
      </c>
    </row>
    <row r="479" spans="1:17" ht="12.75">
      <c r="A479" s="16" t="s">
        <v>51</v>
      </c>
      <c r="B479" s="58"/>
      <c r="C479" s="115">
        <v>35500</v>
      </c>
      <c r="D479" s="138"/>
      <c r="E479" s="79"/>
      <c r="F479" s="257">
        <f>C479+D479+E479</f>
        <v>35500</v>
      </c>
      <c r="G479" s="224"/>
      <c r="H479" s="182"/>
      <c r="I479" s="237">
        <f>F479+G479+H479</f>
        <v>35500</v>
      </c>
      <c r="J479" s="224"/>
      <c r="K479" s="182"/>
      <c r="L479" s="237">
        <f>I479+J479+K479</f>
        <v>35500</v>
      </c>
      <c r="M479" s="153"/>
      <c r="N479" s="297"/>
      <c r="O479" s="317">
        <f>L479+M479+N479</f>
        <v>35500</v>
      </c>
      <c r="P479" s="276"/>
      <c r="Q479" s="282">
        <f>O479+P479</f>
        <v>35500</v>
      </c>
    </row>
    <row r="480" spans="1:17" ht="12.75">
      <c r="A480" s="10" t="s">
        <v>154</v>
      </c>
      <c r="B480" s="59"/>
      <c r="C480" s="69">
        <f aca="true" t="shared" si="162" ref="C480:Q480">C481+C494</f>
        <v>90002</v>
      </c>
      <c r="D480" s="132">
        <f t="shared" si="162"/>
        <v>91222.9</v>
      </c>
      <c r="E480" s="70">
        <f t="shared" si="162"/>
        <v>30195.6</v>
      </c>
      <c r="F480" s="92">
        <f t="shared" si="162"/>
        <v>211420.5</v>
      </c>
      <c r="G480" s="219">
        <f t="shared" si="162"/>
        <v>22831.56</v>
      </c>
      <c r="H480" s="178">
        <f t="shared" si="162"/>
        <v>26510.17</v>
      </c>
      <c r="I480" s="205">
        <f t="shared" si="162"/>
        <v>260762.23</v>
      </c>
      <c r="J480" s="219">
        <f>J481+J494</f>
        <v>29992.12</v>
      </c>
      <c r="K480" s="178">
        <f>K481+K494</f>
        <v>30380</v>
      </c>
      <c r="L480" s="205">
        <f>L481+L494</f>
        <v>321134.35</v>
      </c>
      <c r="M480" s="150">
        <f t="shared" si="162"/>
        <v>4520.46</v>
      </c>
      <c r="N480" s="229">
        <f t="shared" si="162"/>
        <v>9920</v>
      </c>
      <c r="O480" s="311">
        <f t="shared" si="162"/>
        <v>335574.81</v>
      </c>
      <c r="P480" s="219">
        <f t="shared" si="162"/>
        <v>3118.93</v>
      </c>
      <c r="Q480" s="143">
        <f t="shared" si="162"/>
        <v>338693.74</v>
      </c>
    </row>
    <row r="481" spans="1:17" ht="12.75">
      <c r="A481" s="19" t="s">
        <v>49</v>
      </c>
      <c r="B481" s="59"/>
      <c r="C481" s="77">
        <f>SUM(C483:C493)</f>
        <v>58152</v>
      </c>
      <c r="D481" s="136">
        <f>SUM(D483:D493)</f>
        <v>28207.97</v>
      </c>
      <c r="E481" s="78">
        <f>SUM(E482:E493)</f>
        <v>14094.5</v>
      </c>
      <c r="F481" s="201">
        <f>SUM(F483:F493)</f>
        <v>100454.47</v>
      </c>
      <c r="G481" s="222">
        <f aca="true" t="shared" si="163" ref="G481:Q481">SUM(G482:G493)</f>
        <v>-3860.19</v>
      </c>
      <c r="H481" s="183">
        <f t="shared" si="163"/>
        <v>8020.17</v>
      </c>
      <c r="I481" s="235">
        <f t="shared" si="163"/>
        <v>104614.45000000001</v>
      </c>
      <c r="J481" s="222">
        <f>SUM(J482:J493)</f>
        <v>4994.12</v>
      </c>
      <c r="K481" s="183">
        <f>SUM(K482:K493)</f>
        <v>6940</v>
      </c>
      <c r="L481" s="235">
        <f>SUM(L482:L493)</f>
        <v>116548.57</v>
      </c>
      <c r="M481" s="151">
        <f t="shared" si="163"/>
        <v>2020.46</v>
      </c>
      <c r="N481" s="295">
        <f t="shared" si="163"/>
        <v>920</v>
      </c>
      <c r="O481" s="315">
        <f t="shared" si="163"/>
        <v>119489.03</v>
      </c>
      <c r="P481" s="222">
        <f t="shared" si="163"/>
        <v>2.14</v>
      </c>
      <c r="Q481" s="148">
        <f t="shared" si="163"/>
        <v>119491.17000000001</v>
      </c>
    </row>
    <row r="482" spans="1:17" ht="12.75">
      <c r="A482" s="15" t="s">
        <v>26</v>
      </c>
      <c r="B482" s="55"/>
      <c r="C482" s="72"/>
      <c r="D482" s="133"/>
      <c r="E482" s="71"/>
      <c r="F482" s="202"/>
      <c r="G482" s="203"/>
      <c r="H482" s="179"/>
      <c r="I482" s="204"/>
      <c r="J482" s="203"/>
      <c r="K482" s="179"/>
      <c r="L482" s="204"/>
      <c r="M482" s="154"/>
      <c r="N482" s="230"/>
      <c r="O482" s="312"/>
      <c r="P482" s="209"/>
      <c r="Q482" s="208"/>
    </row>
    <row r="483" spans="1:17" ht="12.75">
      <c r="A483" s="13" t="s">
        <v>229</v>
      </c>
      <c r="B483" s="55">
        <v>1202</v>
      </c>
      <c r="C483" s="72">
        <v>2950</v>
      </c>
      <c r="D483" s="133">
        <f>218.55+1000</f>
        <v>1218.55</v>
      </c>
      <c r="E483" s="71">
        <f>-743.5</f>
        <v>-743.5</v>
      </c>
      <c r="F483" s="202">
        <f aca="true" t="shared" si="164" ref="F483:F493">C483+D483+E483</f>
        <v>3425.05</v>
      </c>
      <c r="G483" s="203"/>
      <c r="H483" s="179"/>
      <c r="I483" s="204">
        <f>F483+G483+H483</f>
        <v>3425.05</v>
      </c>
      <c r="J483" s="203"/>
      <c r="K483" s="179"/>
      <c r="L483" s="204">
        <f>I483+J483+K483</f>
        <v>3425.05</v>
      </c>
      <c r="M483" s="154">
        <f>4.94</f>
        <v>4.94</v>
      </c>
      <c r="N483" s="230"/>
      <c r="O483" s="312">
        <f>L483+M483+N483</f>
        <v>3429.9900000000002</v>
      </c>
      <c r="P483" s="209">
        <f>2.61</f>
        <v>2.61</v>
      </c>
      <c r="Q483" s="208">
        <f>O483+P483</f>
        <v>3432.6000000000004</v>
      </c>
    </row>
    <row r="484" spans="1:17" ht="12.75">
      <c r="A484" s="13" t="s">
        <v>172</v>
      </c>
      <c r="B484" s="55">
        <v>1207</v>
      </c>
      <c r="C484" s="72">
        <v>11550</v>
      </c>
      <c r="D484" s="133">
        <f>40.84-1550</f>
        <v>-1509.16</v>
      </c>
      <c r="E484" s="71">
        <f>4.7</f>
        <v>4.7</v>
      </c>
      <c r="F484" s="202">
        <f t="shared" si="164"/>
        <v>10045.54</v>
      </c>
      <c r="G484" s="203"/>
      <c r="H484" s="179"/>
      <c r="I484" s="204">
        <f aca="true" t="shared" si="165" ref="I484:I493">F484+G484+H484</f>
        <v>10045.54</v>
      </c>
      <c r="J484" s="203"/>
      <c r="K484" s="179"/>
      <c r="L484" s="204">
        <f aca="true" t="shared" si="166" ref="L484:L493">I484+J484+K484</f>
        <v>10045.54</v>
      </c>
      <c r="M484" s="154"/>
      <c r="N484" s="230"/>
      <c r="O484" s="312">
        <f aca="true" t="shared" si="167" ref="O484:O493">L484+M484+N484</f>
        <v>10045.54</v>
      </c>
      <c r="P484" s="209"/>
      <c r="Q484" s="208">
        <f aca="true" t="shared" si="168" ref="Q484:Q493">O484+P484</f>
        <v>10045.54</v>
      </c>
    </row>
    <row r="485" spans="1:17" ht="12.75">
      <c r="A485" s="17" t="s">
        <v>293</v>
      </c>
      <c r="B485" s="55">
        <v>1209</v>
      </c>
      <c r="C485" s="72">
        <v>1730</v>
      </c>
      <c r="D485" s="133">
        <f>288.46+53</f>
        <v>341.46</v>
      </c>
      <c r="E485" s="71"/>
      <c r="F485" s="202">
        <f t="shared" si="164"/>
        <v>2071.46</v>
      </c>
      <c r="G485" s="203">
        <f>44</f>
        <v>44</v>
      </c>
      <c r="H485" s="179"/>
      <c r="I485" s="204">
        <f t="shared" si="165"/>
        <v>2115.46</v>
      </c>
      <c r="J485" s="203"/>
      <c r="K485" s="179"/>
      <c r="L485" s="204">
        <f t="shared" si="166"/>
        <v>2115.46</v>
      </c>
      <c r="M485" s="154"/>
      <c r="N485" s="230"/>
      <c r="O485" s="312">
        <f t="shared" si="167"/>
        <v>2115.46</v>
      </c>
      <c r="P485" s="209"/>
      <c r="Q485" s="208">
        <f t="shared" si="168"/>
        <v>2115.46</v>
      </c>
    </row>
    <row r="486" spans="1:17" ht="12.75">
      <c r="A486" s="13" t="s">
        <v>173</v>
      </c>
      <c r="B486" s="55">
        <v>1211</v>
      </c>
      <c r="C486" s="72">
        <v>2320</v>
      </c>
      <c r="D486" s="139">
        <f>225.63</f>
        <v>225.63</v>
      </c>
      <c r="E486" s="82"/>
      <c r="F486" s="202">
        <f t="shared" si="164"/>
        <v>2545.63</v>
      </c>
      <c r="G486" s="203"/>
      <c r="H486" s="179"/>
      <c r="I486" s="204">
        <f t="shared" si="165"/>
        <v>2545.63</v>
      </c>
      <c r="J486" s="203">
        <f>54.12</f>
        <v>54.12</v>
      </c>
      <c r="K486" s="179"/>
      <c r="L486" s="204">
        <f t="shared" si="166"/>
        <v>2599.75</v>
      </c>
      <c r="M486" s="154"/>
      <c r="N486" s="230"/>
      <c r="O486" s="312">
        <f t="shared" si="167"/>
        <v>2599.75</v>
      </c>
      <c r="P486" s="209"/>
      <c r="Q486" s="208">
        <f t="shared" si="168"/>
        <v>2599.75</v>
      </c>
    </row>
    <row r="487" spans="1:17" ht="12.75">
      <c r="A487" s="13" t="s">
        <v>216</v>
      </c>
      <c r="B487" s="55">
        <v>1214</v>
      </c>
      <c r="C487" s="72">
        <v>1400</v>
      </c>
      <c r="D487" s="139">
        <f>221.34+300</f>
        <v>521.34</v>
      </c>
      <c r="E487" s="71"/>
      <c r="F487" s="202">
        <f t="shared" si="164"/>
        <v>1921.3400000000001</v>
      </c>
      <c r="G487" s="203"/>
      <c r="H487" s="179"/>
      <c r="I487" s="204">
        <f t="shared" si="165"/>
        <v>1921.3400000000001</v>
      </c>
      <c r="J487" s="203"/>
      <c r="K487" s="179"/>
      <c r="L487" s="204">
        <f t="shared" si="166"/>
        <v>1921.3400000000001</v>
      </c>
      <c r="M487" s="154">
        <f>5.52</f>
        <v>5.52</v>
      </c>
      <c r="N487" s="230"/>
      <c r="O487" s="312">
        <f t="shared" si="167"/>
        <v>1926.8600000000001</v>
      </c>
      <c r="P487" s="209">
        <f>-2.26</f>
        <v>-2.26</v>
      </c>
      <c r="Q487" s="208">
        <f t="shared" si="168"/>
        <v>1924.6000000000001</v>
      </c>
    </row>
    <row r="488" spans="1:17" ht="12.75">
      <c r="A488" s="13" t="s">
        <v>217</v>
      </c>
      <c r="B488" s="55">
        <v>1213</v>
      </c>
      <c r="C488" s="72">
        <v>750</v>
      </c>
      <c r="D488" s="139">
        <f>35.68+250+1.66</f>
        <v>287.34000000000003</v>
      </c>
      <c r="E488" s="71"/>
      <c r="F488" s="202">
        <f t="shared" si="164"/>
        <v>1037.3400000000001</v>
      </c>
      <c r="G488" s="203"/>
      <c r="H488" s="179"/>
      <c r="I488" s="204">
        <f t="shared" si="165"/>
        <v>1037.3400000000001</v>
      </c>
      <c r="J488" s="203"/>
      <c r="K488" s="179"/>
      <c r="L488" s="204">
        <f t="shared" si="166"/>
        <v>1037.3400000000001</v>
      </c>
      <c r="M488" s="154"/>
      <c r="N488" s="230"/>
      <c r="O488" s="312">
        <f t="shared" si="167"/>
        <v>1037.3400000000001</v>
      </c>
      <c r="P488" s="209"/>
      <c r="Q488" s="208">
        <f t="shared" si="168"/>
        <v>1037.3400000000001</v>
      </c>
    </row>
    <row r="489" spans="1:17" ht="12.75">
      <c r="A489" s="13" t="s">
        <v>247</v>
      </c>
      <c r="B489" s="55">
        <v>1216</v>
      </c>
      <c r="C489" s="72">
        <v>19300</v>
      </c>
      <c r="D489" s="133">
        <f>1785.64+340+18.23</f>
        <v>2143.8700000000003</v>
      </c>
      <c r="E489" s="71">
        <f>-536</f>
        <v>-536</v>
      </c>
      <c r="F489" s="202">
        <f t="shared" si="164"/>
        <v>20907.87</v>
      </c>
      <c r="G489" s="203">
        <f>0.05</f>
        <v>0.05</v>
      </c>
      <c r="H489" s="179"/>
      <c r="I489" s="204">
        <f t="shared" si="165"/>
        <v>20907.92</v>
      </c>
      <c r="J489" s="203">
        <f>68</f>
        <v>68</v>
      </c>
      <c r="K489" s="179"/>
      <c r="L489" s="204">
        <f t="shared" si="166"/>
        <v>20975.92</v>
      </c>
      <c r="M489" s="154">
        <f>1050+400+60</f>
        <v>1510</v>
      </c>
      <c r="N489" s="230"/>
      <c r="O489" s="312">
        <f t="shared" si="167"/>
        <v>22485.92</v>
      </c>
      <c r="P489" s="209"/>
      <c r="Q489" s="208">
        <f t="shared" si="168"/>
        <v>22485.92</v>
      </c>
    </row>
    <row r="490" spans="1:17" ht="12.75">
      <c r="A490" s="13" t="s">
        <v>174</v>
      </c>
      <c r="B490" s="55">
        <v>1239</v>
      </c>
      <c r="C490" s="72">
        <v>6600</v>
      </c>
      <c r="D490" s="133">
        <f>700+7204.72</f>
        <v>7904.72</v>
      </c>
      <c r="E490" s="71"/>
      <c r="F490" s="202">
        <f t="shared" si="164"/>
        <v>14504.720000000001</v>
      </c>
      <c r="G490" s="203">
        <f>-1083.24</f>
        <v>-1083.24</v>
      </c>
      <c r="H490" s="179"/>
      <c r="I490" s="204">
        <f t="shared" si="165"/>
        <v>13421.480000000001</v>
      </c>
      <c r="J490" s="203">
        <f>872+4000</f>
        <v>4872</v>
      </c>
      <c r="K490" s="179"/>
      <c r="L490" s="204">
        <f t="shared" si="166"/>
        <v>18293.480000000003</v>
      </c>
      <c r="M490" s="154"/>
      <c r="N490" s="230"/>
      <c r="O490" s="312">
        <f t="shared" si="167"/>
        <v>18293.480000000003</v>
      </c>
      <c r="P490" s="209">
        <f>1.79</f>
        <v>1.79</v>
      </c>
      <c r="Q490" s="208">
        <f t="shared" si="168"/>
        <v>18295.270000000004</v>
      </c>
    </row>
    <row r="491" spans="1:17" ht="12.75">
      <c r="A491" s="13" t="s">
        <v>190</v>
      </c>
      <c r="B491" s="55">
        <v>1300</v>
      </c>
      <c r="C491" s="72">
        <v>6750</v>
      </c>
      <c r="D491" s="133">
        <f>5570+8267.14-1943-300</f>
        <v>11594.14</v>
      </c>
      <c r="E491" s="71">
        <f>-250+3230+10750+1644</f>
        <v>15374</v>
      </c>
      <c r="F491" s="202">
        <f t="shared" si="164"/>
        <v>33718.14</v>
      </c>
      <c r="G491" s="203"/>
      <c r="H491" s="179">
        <f>1000+2444+4742.84-840+300+1333.33</f>
        <v>8980.17</v>
      </c>
      <c r="I491" s="204">
        <f t="shared" si="165"/>
        <v>42698.31</v>
      </c>
      <c r="J491" s="203"/>
      <c r="K491" s="179">
        <f>90+1500+5350</f>
        <v>6940</v>
      </c>
      <c r="L491" s="204">
        <f t="shared" si="166"/>
        <v>49638.31</v>
      </c>
      <c r="M491" s="154">
        <f>500</f>
        <v>500</v>
      </c>
      <c r="N491" s="230">
        <f>920</f>
        <v>920</v>
      </c>
      <c r="O491" s="312">
        <f t="shared" si="167"/>
        <v>51058.31</v>
      </c>
      <c r="P491" s="209"/>
      <c r="Q491" s="208">
        <f t="shared" si="168"/>
        <v>51058.31</v>
      </c>
    </row>
    <row r="492" spans="1:17" ht="12.75">
      <c r="A492" s="13" t="s">
        <v>175</v>
      </c>
      <c r="B492" s="55">
        <v>1110</v>
      </c>
      <c r="C492" s="72">
        <v>4800</v>
      </c>
      <c r="D492" s="133">
        <f>313.31+5000</f>
        <v>5313.31</v>
      </c>
      <c r="E492" s="71"/>
      <c r="F492" s="202">
        <f t="shared" si="164"/>
        <v>10113.310000000001</v>
      </c>
      <c r="G492" s="203">
        <f>-2821</f>
        <v>-2821</v>
      </c>
      <c r="H492" s="179">
        <f>-960</f>
        <v>-960</v>
      </c>
      <c r="I492" s="204">
        <f t="shared" si="165"/>
        <v>6332.310000000001</v>
      </c>
      <c r="J492" s="203"/>
      <c r="K492" s="179"/>
      <c r="L492" s="204">
        <f t="shared" si="166"/>
        <v>6332.310000000001</v>
      </c>
      <c r="M492" s="154"/>
      <c r="N492" s="230"/>
      <c r="O492" s="312">
        <f t="shared" si="167"/>
        <v>6332.310000000001</v>
      </c>
      <c r="P492" s="209"/>
      <c r="Q492" s="208">
        <f t="shared" si="168"/>
        <v>6332.310000000001</v>
      </c>
    </row>
    <row r="493" spans="1:17" ht="13.5" thickBot="1">
      <c r="A493" s="330" t="s">
        <v>284</v>
      </c>
      <c r="B493" s="331"/>
      <c r="C493" s="332">
        <v>2</v>
      </c>
      <c r="D493" s="333">
        <f>166.77</f>
        <v>166.77</v>
      </c>
      <c r="E493" s="334">
        <f>-4.7</f>
        <v>-4.7</v>
      </c>
      <c r="F493" s="335">
        <f t="shared" si="164"/>
        <v>164.07000000000002</v>
      </c>
      <c r="G493" s="336"/>
      <c r="H493" s="337"/>
      <c r="I493" s="338">
        <f t="shared" si="165"/>
        <v>164.07000000000002</v>
      </c>
      <c r="J493" s="336"/>
      <c r="K493" s="337"/>
      <c r="L493" s="338">
        <f t="shared" si="166"/>
        <v>164.07000000000002</v>
      </c>
      <c r="M493" s="339"/>
      <c r="N493" s="340"/>
      <c r="O493" s="341">
        <f t="shared" si="167"/>
        <v>164.07000000000002</v>
      </c>
      <c r="P493" s="280"/>
      <c r="Q493" s="284">
        <f t="shared" si="168"/>
        <v>164.07000000000002</v>
      </c>
    </row>
    <row r="494" spans="1:17" ht="12.75">
      <c r="A494" s="19" t="s">
        <v>53</v>
      </c>
      <c r="B494" s="59"/>
      <c r="C494" s="77">
        <f>SUM(C496:C503)</f>
        <v>31850</v>
      </c>
      <c r="D494" s="136">
        <f aca="true" t="shared" si="169" ref="D494:Q494">SUM(D496:D503)</f>
        <v>63014.93</v>
      </c>
      <c r="E494" s="78">
        <f t="shared" si="169"/>
        <v>16101.1</v>
      </c>
      <c r="F494" s="201">
        <f t="shared" si="169"/>
        <v>110966.03</v>
      </c>
      <c r="G494" s="222">
        <f t="shared" si="169"/>
        <v>26691.75</v>
      </c>
      <c r="H494" s="183">
        <f t="shared" si="169"/>
        <v>18490</v>
      </c>
      <c r="I494" s="235">
        <f t="shared" si="169"/>
        <v>156147.78</v>
      </c>
      <c r="J494" s="222">
        <f t="shared" si="169"/>
        <v>24998</v>
      </c>
      <c r="K494" s="183">
        <f t="shared" si="169"/>
        <v>23440</v>
      </c>
      <c r="L494" s="235">
        <f t="shared" si="169"/>
        <v>204585.78</v>
      </c>
      <c r="M494" s="151">
        <f t="shared" si="169"/>
        <v>2500</v>
      </c>
      <c r="N494" s="295">
        <f t="shared" si="169"/>
        <v>9000</v>
      </c>
      <c r="O494" s="315">
        <f t="shared" si="169"/>
        <v>216085.78</v>
      </c>
      <c r="P494" s="222">
        <f t="shared" si="169"/>
        <v>3116.79</v>
      </c>
      <c r="Q494" s="148">
        <f t="shared" si="169"/>
        <v>219202.57</v>
      </c>
    </row>
    <row r="495" spans="1:17" ht="12.75">
      <c r="A495" s="15" t="s">
        <v>26</v>
      </c>
      <c r="B495" s="55"/>
      <c r="C495" s="72"/>
      <c r="D495" s="133"/>
      <c r="E495" s="71"/>
      <c r="F495" s="202"/>
      <c r="G495" s="203"/>
      <c r="H495" s="179"/>
      <c r="I495" s="204"/>
      <c r="J495" s="203"/>
      <c r="K495" s="179"/>
      <c r="L495" s="204"/>
      <c r="M495" s="154"/>
      <c r="N495" s="230"/>
      <c r="O495" s="312"/>
      <c r="P495" s="209"/>
      <c r="Q495" s="208"/>
    </row>
    <row r="496" spans="1:17" ht="12.75">
      <c r="A496" s="17" t="s">
        <v>256</v>
      </c>
      <c r="B496" s="55">
        <v>1207</v>
      </c>
      <c r="C496" s="72"/>
      <c r="D496" s="133">
        <f>1200+200+1550+2030</f>
        <v>4980</v>
      </c>
      <c r="E496" s="71"/>
      <c r="F496" s="202">
        <f aca="true" t="shared" si="170" ref="F496:F503">C496+D496+E496</f>
        <v>4980</v>
      </c>
      <c r="G496" s="203"/>
      <c r="H496" s="179"/>
      <c r="I496" s="204">
        <f aca="true" t="shared" si="171" ref="I496:I503">F496+G496+H496</f>
        <v>4980</v>
      </c>
      <c r="J496" s="203">
        <f>870-690</f>
        <v>180</v>
      </c>
      <c r="K496" s="179"/>
      <c r="L496" s="204">
        <f aca="true" t="shared" si="172" ref="L496:L503">I496+J496+K496</f>
        <v>5160</v>
      </c>
      <c r="M496" s="154"/>
      <c r="N496" s="230"/>
      <c r="O496" s="312">
        <f aca="true" t="shared" si="173" ref="O496:O503">L496+M496+N496</f>
        <v>5160</v>
      </c>
      <c r="P496" s="209"/>
      <c r="Q496" s="208">
        <f aca="true" t="shared" si="174" ref="Q496:Q503">O496+P496</f>
        <v>5160</v>
      </c>
    </row>
    <row r="497" spans="1:17" ht="12.75" hidden="1">
      <c r="A497" s="13" t="s">
        <v>320</v>
      </c>
      <c r="B497" s="55">
        <v>1214</v>
      </c>
      <c r="C497" s="72"/>
      <c r="D497" s="133"/>
      <c r="E497" s="71"/>
      <c r="F497" s="202">
        <f t="shared" si="170"/>
        <v>0</v>
      </c>
      <c r="G497" s="203"/>
      <c r="H497" s="179"/>
      <c r="I497" s="204">
        <f t="shared" si="171"/>
        <v>0</v>
      </c>
      <c r="J497" s="203"/>
      <c r="K497" s="179"/>
      <c r="L497" s="204">
        <f t="shared" si="172"/>
        <v>0</v>
      </c>
      <c r="M497" s="154"/>
      <c r="N497" s="230"/>
      <c r="O497" s="312">
        <f t="shared" si="173"/>
        <v>0</v>
      </c>
      <c r="P497" s="209"/>
      <c r="Q497" s="208">
        <f t="shared" si="174"/>
        <v>0</v>
      </c>
    </row>
    <row r="498" spans="1:17" ht="12.75">
      <c r="A498" s="17" t="s">
        <v>294</v>
      </c>
      <c r="B498" s="55">
        <v>1209</v>
      </c>
      <c r="C498" s="72"/>
      <c r="D498" s="133">
        <f>547</f>
        <v>547</v>
      </c>
      <c r="E498" s="71"/>
      <c r="F498" s="202">
        <f t="shared" si="170"/>
        <v>547</v>
      </c>
      <c r="G498" s="203"/>
      <c r="H498" s="179"/>
      <c r="I498" s="204">
        <f t="shared" si="171"/>
        <v>547</v>
      </c>
      <c r="J498" s="203"/>
      <c r="K498" s="179"/>
      <c r="L498" s="204">
        <f t="shared" si="172"/>
        <v>547</v>
      </c>
      <c r="M498" s="154"/>
      <c r="N498" s="230"/>
      <c r="O498" s="312">
        <f t="shared" si="173"/>
        <v>547</v>
      </c>
      <c r="P498" s="209"/>
      <c r="Q498" s="208">
        <f t="shared" si="174"/>
        <v>547</v>
      </c>
    </row>
    <row r="499" spans="1:17" ht="12.75">
      <c r="A499" s="13" t="s">
        <v>257</v>
      </c>
      <c r="B499" s="55">
        <v>1202</v>
      </c>
      <c r="C499" s="72"/>
      <c r="D499" s="133"/>
      <c r="E499" s="71">
        <f>743.5</f>
        <v>743.5</v>
      </c>
      <c r="F499" s="202">
        <f t="shared" si="170"/>
        <v>743.5</v>
      </c>
      <c r="G499" s="203"/>
      <c r="H499" s="179"/>
      <c r="I499" s="204">
        <f t="shared" si="171"/>
        <v>743.5</v>
      </c>
      <c r="J499" s="203"/>
      <c r="K499" s="179"/>
      <c r="L499" s="204">
        <f t="shared" si="172"/>
        <v>743.5</v>
      </c>
      <c r="M499" s="154"/>
      <c r="N499" s="230"/>
      <c r="O499" s="312">
        <f t="shared" si="173"/>
        <v>743.5</v>
      </c>
      <c r="P499" s="209"/>
      <c r="Q499" s="208">
        <f t="shared" si="174"/>
        <v>743.5</v>
      </c>
    </row>
    <row r="500" spans="1:17" ht="12.75">
      <c r="A500" s="13" t="s">
        <v>272</v>
      </c>
      <c r="B500" s="55">
        <v>1216</v>
      </c>
      <c r="C500" s="72"/>
      <c r="D500" s="133"/>
      <c r="E500" s="71">
        <f>536</f>
        <v>536</v>
      </c>
      <c r="F500" s="202">
        <f t="shared" si="170"/>
        <v>536</v>
      </c>
      <c r="G500" s="203"/>
      <c r="H500" s="179"/>
      <c r="I500" s="204">
        <f t="shared" si="171"/>
        <v>536</v>
      </c>
      <c r="J500" s="203"/>
      <c r="K500" s="179"/>
      <c r="L500" s="204">
        <f t="shared" si="172"/>
        <v>536</v>
      </c>
      <c r="M500" s="154"/>
      <c r="N500" s="230"/>
      <c r="O500" s="312">
        <f t="shared" si="173"/>
        <v>536</v>
      </c>
      <c r="P500" s="209"/>
      <c r="Q500" s="208">
        <f t="shared" si="174"/>
        <v>536</v>
      </c>
    </row>
    <row r="501" spans="1:17" ht="12.75">
      <c r="A501" s="13" t="s">
        <v>277</v>
      </c>
      <c r="B501" s="55">
        <v>1239</v>
      </c>
      <c r="C501" s="72">
        <v>19850</v>
      </c>
      <c r="D501" s="133">
        <f>1000+3000+5000+13500+2000</f>
        <v>24500</v>
      </c>
      <c r="E501" s="71"/>
      <c r="F501" s="202">
        <f t="shared" si="170"/>
        <v>44350</v>
      </c>
      <c r="G501" s="203">
        <f>0.75</f>
        <v>0.75</v>
      </c>
      <c r="H501" s="179"/>
      <c r="I501" s="204">
        <f t="shared" si="171"/>
        <v>44350.75</v>
      </c>
      <c r="J501" s="203">
        <f>-872</f>
        <v>-872</v>
      </c>
      <c r="K501" s="179"/>
      <c r="L501" s="204">
        <f t="shared" si="172"/>
        <v>43478.75</v>
      </c>
      <c r="M501" s="154">
        <f>3000</f>
        <v>3000</v>
      </c>
      <c r="N501" s="230"/>
      <c r="O501" s="312">
        <f t="shared" si="173"/>
        <v>46478.75</v>
      </c>
      <c r="P501" s="209">
        <f>3000</f>
        <v>3000</v>
      </c>
      <c r="Q501" s="208">
        <f t="shared" si="174"/>
        <v>49478.75</v>
      </c>
    </row>
    <row r="502" spans="1:17" ht="12.75">
      <c r="A502" s="17" t="s">
        <v>258</v>
      </c>
      <c r="B502" s="55">
        <v>1300</v>
      </c>
      <c r="C502" s="72"/>
      <c r="D502" s="133">
        <f>13134.93+5800-5747+1600+1200+5000+2000</f>
        <v>22987.93</v>
      </c>
      <c r="E502" s="71">
        <f>250+1571.6+12500+500</f>
        <v>14821.6</v>
      </c>
      <c r="F502" s="202">
        <f t="shared" si="170"/>
        <v>37809.53</v>
      </c>
      <c r="G502" s="203">
        <f>25000-2000</f>
        <v>23000</v>
      </c>
      <c r="H502" s="179">
        <f>10350+840+840+4000+1500</f>
        <v>17530</v>
      </c>
      <c r="I502" s="204">
        <f t="shared" si="171"/>
        <v>78339.53</v>
      </c>
      <c r="J502" s="203">
        <f>25000+690</f>
        <v>25690</v>
      </c>
      <c r="K502" s="179">
        <f>13910+7200+2330</f>
        <v>23440</v>
      </c>
      <c r="L502" s="204">
        <f t="shared" si="172"/>
        <v>127469.53</v>
      </c>
      <c r="M502" s="154">
        <f>-500</f>
        <v>-500</v>
      </c>
      <c r="N502" s="230">
        <f>2000+7000</f>
        <v>9000</v>
      </c>
      <c r="O502" s="312">
        <f t="shared" si="173"/>
        <v>135969.53</v>
      </c>
      <c r="P502" s="209"/>
      <c r="Q502" s="208">
        <f t="shared" si="174"/>
        <v>135969.53</v>
      </c>
    </row>
    <row r="503" spans="1:17" ht="12.75">
      <c r="A503" s="16" t="s">
        <v>271</v>
      </c>
      <c r="B503" s="58">
        <v>1110</v>
      </c>
      <c r="C503" s="292">
        <v>12000</v>
      </c>
      <c r="D503" s="138">
        <f>10000</f>
        <v>10000</v>
      </c>
      <c r="E503" s="79"/>
      <c r="F503" s="257">
        <f t="shared" si="170"/>
        <v>22000</v>
      </c>
      <c r="G503" s="224">
        <f>2821+870</f>
        <v>3691</v>
      </c>
      <c r="H503" s="182">
        <f>960</f>
        <v>960</v>
      </c>
      <c r="I503" s="237">
        <f t="shared" si="171"/>
        <v>26651</v>
      </c>
      <c r="J503" s="224"/>
      <c r="K503" s="182"/>
      <c r="L503" s="237">
        <f t="shared" si="172"/>
        <v>26651</v>
      </c>
      <c r="M503" s="153"/>
      <c r="N503" s="297"/>
      <c r="O503" s="317">
        <f t="shared" si="173"/>
        <v>26651</v>
      </c>
      <c r="P503" s="276">
        <f>116.79</f>
        <v>116.79</v>
      </c>
      <c r="Q503" s="282">
        <f t="shared" si="174"/>
        <v>26767.79</v>
      </c>
    </row>
    <row r="504" spans="1:17" ht="12.75">
      <c r="A504" s="10" t="s">
        <v>132</v>
      </c>
      <c r="B504" s="59"/>
      <c r="C504" s="69">
        <f aca="true" t="shared" si="175" ref="C504:Q504">C505</f>
        <v>1</v>
      </c>
      <c r="D504" s="132">
        <f t="shared" si="175"/>
        <v>2380.11</v>
      </c>
      <c r="E504" s="70">
        <f t="shared" si="175"/>
        <v>0</v>
      </c>
      <c r="F504" s="92">
        <f t="shared" si="175"/>
        <v>2381.11</v>
      </c>
      <c r="G504" s="219">
        <f t="shared" si="175"/>
        <v>0</v>
      </c>
      <c r="H504" s="178">
        <f t="shared" si="175"/>
        <v>0</v>
      </c>
      <c r="I504" s="205">
        <f t="shared" si="175"/>
        <v>2381.11</v>
      </c>
      <c r="J504" s="219">
        <f t="shared" si="175"/>
        <v>0</v>
      </c>
      <c r="K504" s="178">
        <f t="shared" si="175"/>
        <v>0</v>
      </c>
      <c r="L504" s="205">
        <f t="shared" si="175"/>
        <v>2381.11</v>
      </c>
      <c r="M504" s="150">
        <f t="shared" si="175"/>
        <v>0</v>
      </c>
      <c r="N504" s="229">
        <f t="shared" si="175"/>
        <v>0</v>
      </c>
      <c r="O504" s="311">
        <f t="shared" si="175"/>
        <v>2381.11</v>
      </c>
      <c r="P504" s="219">
        <f t="shared" si="175"/>
        <v>0</v>
      </c>
      <c r="Q504" s="143">
        <f t="shared" si="175"/>
        <v>2381.11</v>
      </c>
    </row>
    <row r="505" spans="1:17" ht="12.75">
      <c r="A505" s="19" t="s">
        <v>49</v>
      </c>
      <c r="B505" s="59"/>
      <c r="C505" s="77">
        <f>C507</f>
        <v>1</v>
      </c>
      <c r="D505" s="136">
        <f aca="true" t="shared" si="176" ref="D505:Q505">D507</f>
        <v>2380.11</v>
      </c>
      <c r="E505" s="78">
        <f t="shared" si="176"/>
        <v>0</v>
      </c>
      <c r="F505" s="201">
        <f t="shared" si="176"/>
        <v>2381.11</v>
      </c>
      <c r="G505" s="222">
        <f t="shared" si="176"/>
        <v>0</v>
      </c>
      <c r="H505" s="183">
        <f t="shared" si="176"/>
        <v>0</v>
      </c>
      <c r="I505" s="235">
        <f t="shared" si="176"/>
        <v>2381.11</v>
      </c>
      <c r="J505" s="222">
        <f>J507</f>
        <v>0</v>
      </c>
      <c r="K505" s="183">
        <f>K507</f>
        <v>0</v>
      </c>
      <c r="L505" s="235">
        <f>L507</f>
        <v>2381.11</v>
      </c>
      <c r="M505" s="151">
        <f t="shared" si="176"/>
        <v>0</v>
      </c>
      <c r="N505" s="295">
        <f t="shared" si="176"/>
        <v>0</v>
      </c>
      <c r="O505" s="315">
        <f t="shared" si="176"/>
        <v>2381.11</v>
      </c>
      <c r="P505" s="222">
        <f t="shared" si="176"/>
        <v>0</v>
      </c>
      <c r="Q505" s="148">
        <f t="shared" si="176"/>
        <v>2381.11</v>
      </c>
    </row>
    <row r="506" spans="1:17" ht="12.75">
      <c r="A506" s="15" t="s">
        <v>26</v>
      </c>
      <c r="B506" s="55"/>
      <c r="C506" s="72"/>
      <c r="D506" s="133"/>
      <c r="E506" s="71"/>
      <c r="F506" s="202"/>
      <c r="G506" s="203"/>
      <c r="H506" s="179"/>
      <c r="I506" s="204"/>
      <c r="J506" s="203"/>
      <c r="K506" s="179"/>
      <c r="L506" s="204"/>
      <c r="M506" s="154"/>
      <c r="N506" s="230"/>
      <c r="O506" s="312"/>
      <c r="P506" s="209"/>
      <c r="Q506" s="208"/>
    </row>
    <row r="507" spans="1:17" ht="12.75">
      <c r="A507" s="108" t="s">
        <v>51</v>
      </c>
      <c r="B507" s="109"/>
      <c r="C507" s="115">
        <v>1</v>
      </c>
      <c r="D507" s="138">
        <f>2380.11</f>
        <v>2380.11</v>
      </c>
      <c r="E507" s="117"/>
      <c r="F507" s="257">
        <f>C507+D507+E507</f>
        <v>2381.11</v>
      </c>
      <c r="G507" s="224"/>
      <c r="H507" s="182"/>
      <c r="I507" s="237">
        <f>F507+G507+H507</f>
        <v>2381.11</v>
      </c>
      <c r="J507" s="224"/>
      <c r="K507" s="182"/>
      <c r="L507" s="237">
        <f>I507+J507+K507</f>
        <v>2381.11</v>
      </c>
      <c r="M507" s="153"/>
      <c r="N507" s="297"/>
      <c r="O507" s="317">
        <f>L507+M507+N507</f>
        <v>2381.11</v>
      </c>
      <c r="P507" s="276"/>
      <c r="Q507" s="282">
        <f>O507+P507</f>
        <v>2381.11</v>
      </c>
    </row>
    <row r="508" spans="1:17" ht="12.75">
      <c r="A508" s="10" t="s">
        <v>96</v>
      </c>
      <c r="B508" s="59"/>
      <c r="C508" s="69">
        <f>C510+C511</f>
        <v>806901</v>
      </c>
      <c r="D508" s="132">
        <f aca="true" t="shared" si="177" ref="D508:Q508">D510+D511</f>
        <v>533933.73</v>
      </c>
      <c r="E508" s="70">
        <f t="shared" si="177"/>
        <v>0</v>
      </c>
      <c r="F508" s="92">
        <f t="shared" si="177"/>
        <v>1340834.73</v>
      </c>
      <c r="G508" s="219">
        <f t="shared" si="177"/>
        <v>89083</v>
      </c>
      <c r="H508" s="178">
        <f t="shared" si="177"/>
        <v>0</v>
      </c>
      <c r="I508" s="205">
        <f t="shared" si="177"/>
        <v>1429917.73</v>
      </c>
      <c r="J508" s="219">
        <f>J510+J511</f>
        <v>164109.80000000002</v>
      </c>
      <c r="K508" s="178">
        <f>K510+K511</f>
        <v>0</v>
      </c>
      <c r="L508" s="205">
        <f>L510+L511</f>
        <v>1594027.53</v>
      </c>
      <c r="M508" s="150">
        <f t="shared" si="177"/>
        <v>-2130.9500000000003</v>
      </c>
      <c r="N508" s="229">
        <f t="shared" si="177"/>
        <v>0</v>
      </c>
      <c r="O508" s="311">
        <f t="shared" si="177"/>
        <v>1591896.58</v>
      </c>
      <c r="P508" s="219">
        <f t="shared" si="177"/>
        <v>0</v>
      </c>
      <c r="Q508" s="143">
        <f t="shared" si="177"/>
        <v>1591896.58</v>
      </c>
    </row>
    <row r="509" spans="1:17" ht="12.75">
      <c r="A509" s="12" t="s">
        <v>26</v>
      </c>
      <c r="B509" s="55"/>
      <c r="C509" s="69"/>
      <c r="D509" s="132"/>
      <c r="E509" s="70"/>
      <c r="F509" s="92"/>
      <c r="G509" s="219"/>
      <c r="H509" s="178"/>
      <c r="I509" s="205"/>
      <c r="J509" s="219"/>
      <c r="K509" s="178"/>
      <c r="L509" s="205"/>
      <c r="M509" s="150"/>
      <c r="N509" s="229"/>
      <c r="O509" s="311"/>
      <c r="P509" s="219"/>
      <c r="Q509" s="143"/>
    </row>
    <row r="510" spans="1:17" ht="12.75">
      <c r="A510" s="10" t="s">
        <v>49</v>
      </c>
      <c r="B510" s="59"/>
      <c r="C510" s="73">
        <f aca="true" t="shared" si="178" ref="C510:I510">C514+C521+C523+C535+C537+C542+C553+C538+C528+C555+C530+C559</f>
        <v>58330</v>
      </c>
      <c r="D510" s="134">
        <f t="shared" si="178"/>
        <v>72518.21</v>
      </c>
      <c r="E510" s="74">
        <f t="shared" si="178"/>
        <v>0</v>
      </c>
      <c r="F510" s="254">
        <f t="shared" si="178"/>
        <v>130848.21</v>
      </c>
      <c r="G510" s="220">
        <f t="shared" si="178"/>
        <v>2900</v>
      </c>
      <c r="H510" s="181">
        <f t="shared" si="178"/>
        <v>0</v>
      </c>
      <c r="I510" s="211">
        <f t="shared" si="178"/>
        <v>133748.21</v>
      </c>
      <c r="J510" s="220">
        <f>J514+J521+J523+J535+J537+J542+J553+J538+J528+J555+J530+J559</f>
        <v>19587.5</v>
      </c>
      <c r="K510" s="181">
        <f>K514+K521+K523+K535+K537+K542+K553+K538+K528+K555+K530+K559</f>
        <v>0</v>
      </c>
      <c r="L510" s="211">
        <f>L514+L521+L523+L535+L537+L542+L553+L538+L528+L555+L530+L559</f>
        <v>153335.71</v>
      </c>
      <c r="M510" s="165">
        <f>M521+M523+M535+M537+M542+M553+M538+M528+M555+M530+M559</f>
        <v>-236</v>
      </c>
      <c r="N510" s="231">
        <f>N521+N523+N535+N537+N542+N553+N538+N528+N555+N530+N559</f>
        <v>0</v>
      </c>
      <c r="O510" s="313">
        <f>O521+O523+O535+O537+O542+O553+O538+O528+O555+O530+O559</f>
        <v>153099.71</v>
      </c>
      <c r="P510" s="231">
        <f>P521+P523+P535+P537+P542+P553+P538+P528+P555+P530+P559</f>
        <v>3880.63</v>
      </c>
      <c r="Q510" s="145">
        <f>Q521+Q523+Q535+Q537+Q542+Q553+Q538+Q528+Q555+Q530+Q559</f>
        <v>156980.34</v>
      </c>
    </row>
    <row r="511" spans="1:17" ht="12.75">
      <c r="A511" s="10" t="s">
        <v>53</v>
      </c>
      <c r="B511" s="59"/>
      <c r="C511" s="73">
        <f aca="true" t="shared" si="179" ref="C511:O511">+C515+C516+C518+C519+C520+C524+C525+C527+C529+C531+C533+C534+C536+C539+C541+C543+C544+C546+C547+C549+C550+C552+C554+C556+C558</f>
        <v>748571</v>
      </c>
      <c r="D511" s="134">
        <f t="shared" si="179"/>
        <v>461415.52</v>
      </c>
      <c r="E511" s="74">
        <f t="shared" si="179"/>
        <v>0</v>
      </c>
      <c r="F511" s="254">
        <f t="shared" si="179"/>
        <v>1209986.52</v>
      </c>
      <c r="G511" s="220">
        <f t="shared" si="179"/>
        <v>86183</v>
      </c>
      <c r="H511" s="181">
        <f t="shared" si="179"/>
        <v>0</v>
      </c>
      <c r="I511" s="211">
        <f t="shared" si="179"/>
        <v>1296169.52</v>
      </c>
      <c r="J511" s="220">
        <f t="shared" si="179"/>
        <v>144522.30000000002</v>
      </c>
      <c r="K511" s="181">
        <f t="shared" si="179"/>
        <v>0</v>
      </c>
      <c r="L511" s="211">
        <f t="shared" si="179"/>
        <v>1440691.82</v>
      </c>
      <c r="M511" s="165">
        <f t="shared" si="179"/>
        <v>-1894.9500000000003</v>
      </c>
      <c r="N511" s="231">
        <f t="shared" si="179"/>
        <v>0</v>
      </c>
      <c r="O511" s="313">
        <f t="shared" si="179"/>
        <v>1438796.87</v>
      </c>
      <c r="P511" s="231">
        <f>+P515+P516+P518+P519+P520+P524+P525+P527+P529+P531+P533+P534+P536+P539+P541+P543+P544+P546+P547+P549+P550+P552+P554+P556+P558</f>
        <v>-3880.63</v>
      </c>
      <c r="Q511" s="145">
        <f>+Q515+Q516+Q518+Q519+Q520+Q524+Q525+Q527+Q529+Q531+Q533+Q534+Q536+Q539+Q541+Q543+Q544+Q546+Q547+Q549+Q550+Q552+Q554+Q556+Q558</f>
        <v>1434916.24</v>
      </c>
    </row>
    <row r="512" spans="1:17" ht="12.75">
      <c r="A512" s="11" t="s">
        <v>97</v>
      </c>
      <c r="B512" s="55"/>
      <c r="C512" s="69"/>
      <c r="D512" s="132"/>
      <c r="E512" s="70"/>
      <c r="F512" s="92"/>
      <c r="G512" s="219"/>
      <c r="H512" s="178"/>
      <c r="I512" s="205"/>
      <c r="J512" s="219"/>
      <c r="K512" s="178"/>
      <c r="L512" s="205"/>
      <c r="M512" s="150"/>
      <c r="N512" s="229"/>
      <c r="O512" s="311"/>
      <c r="P512" s="209"/>
      <c r="Q512" s="208"/>
    </row>
    <row r="513" spans="1:17" ht="12.75">
      <c r="A513" s="56" t="s">
        <v>296</v>
      </c>
      <c r="B513" s="55"/>
      <c r="C513" s="72">
        <f aca="true" t="shared" si="180" ref="C513:Q513">C514+C515+C516</f>
        <v>0</v>
      </c>
      <c r="D513" s="133">
        <f t="shared" si="180"/>
        <v>21671.66</v>
      </c>
      <c r="E513" s="71">
        <f t="shared" si="180"/>
        <v>0</v>
      </c>
      <c r="F513" s="202">
        <f t="shared" si="180"/>
        <v>21671.66</v>
      </c>
      <c r="G513" s="203">
        <f t="shared" si="180"/>
        <v>14500</v>
      </c>
      <c r="H513" s="179">
        <f t="shared" si="180"/>
        <v>0</v>
      </c>
      <c r="I513" s="204">
        <f t="shared" si="180"/>
        <v>36171.66</v>
      </c>
      <c r="J513" s="230">
        <f t="shared" si="180"/>
        <v>0</v>
      </c>
      <c r="K513" s="179">
        <f t="shared" si="180"/>
        <v>0</v>
      </c>
      <c r="L513" s="204">
        <f t="shared" si="180"/>
        <v>36171.66</v>
      </c>
      <c r="M513" s="154">
        <f t="shared" si="180"/>
        <v>0</v>
      </c>
      <c r="N513" s="230">
        <f t="shared" si="180"/>
        <v>0</v>
      </c>
      <c r="O513" s="312">
        <f t="shared" si="180"/>
        <v>36171.66</v>
      </c>
      <c r="P513" s="230">
        <f t="shared" si="180"/>
        <v>0</v>
      </c>
      <c r="Q513" s="144">
        <f t="shared" si="180"/>
        <v>36171.66</v>
      </c>
    </row>
    <row r="514" spans="1:17" ht="12.75" hidden="1">
      <c r="A514" s="12" t="s">
        <v>104</v>
      </c>
      <c r="B514" s="55"/>
      <c r="C514" s="69"/>
      <c r="D514" s="132"/>
      <c r="E514" s="70"/>
      <c r="F514" s="202">
        <f>C514+D514+E514</f>
        <v>0</v>
      </c>
      <c r="G514" s="219"/>
      <c r="H514" s="178"/>
      <c r="I514" s="205"/>
      <c r="J514" s="219"/>
      <c r="K514" s="178"/>
      <c r="L514" s="205"/>
      <c r="M514" s="150"/>
      <c r="N514" s="229"/>
      <c r="O514" s="312">
        <f>L514+M514+N514</f>
        <v>0</v>
      </c>
      <c r="P514" s="209"/>
      <c r="Q514" s="208"/>
    </row>
    <row r="515" spans="1:17" ht="12.75">
      <c r="A515" s="12" t="s">
        <v>99</v>
      </c>
      <c r="B515" s="55"/>
      <c r="C515" s="69"/>
      <c r="D515" s="133">
        <f>18835+600+41</f>
        <v>19476</v>
      </c>
      <c r="E515" s="70"/>
      <c r="F515" s="202">
        <f>C515+D515+E515</f>
        <v>19476</v>
      </c>
      <c r="G515" s="203">
        <f>14500</f>
        <v>14500</v>
      </c>
      <c r="H515" s="178"/>
      <c r="I515" s="204">
        <f>F515+G515+H515</f>
        <v>33976</v>
      </c>
      <c r="J515" s="219"/>
      <c r="K515" s="178"/>
      <c r="L515" s="204">
        <f>I515+J515+K515</f>
        <v>33976</v>
      </c>
      <c r="M515" s="150"/>
      <c r="N515" s="229"/>
      <c r="O515" s="312">
        <f>L515+M515+N515</f>
        <v>33976</v>
      </c>
      <c r="P515" s="209"/>
      <c r="Q515" s="208">
        <f>O515+P515</f>
        <v>33976</v>
      </c>
    </row>
    <row r="516" spans="1:17" ht="12.75">
      <c r="A516" s="56" t="s">
        <v>324</v>
      </c>
      <c r="B516" s="55"/>
      <c r="C516" s="69"/>
      <c r="D516" s="133">
        <f>2236.66-41</f>
        <v>2195.66</v>
      </c>
      <c r="E516" s="70"/>
      <c r="F516" s="202">
        <f>C516+D516+E516</f>
        <v>2195.66</v>
      </c>
      <c r="G516" s="219"/>
      <c r="H516" s="178"/>
      <c r="I516" s="204">
        <f>F516+G516+H516</f>
        <v>2195.66</v>
      </c>
      <c r="J516" s="219"/>
      <c r="K516" s="178"/>
      <c r="L516" s="204">
        <f>I516+J516+K516</f>
        <v>2195.66</v>
      </c>
      <c r="M516" s="150"/>
      <c r="N516" s="229"/>
      <c r="O516" s="312">
        <f>L516+M516+N516</f>
        <v>2195.66</v>
      </c>
      <c r="P516" s="209"/>
      <c r="Q516" s="208">
        <f>O516+P516</f>
        <v>2195.66</v>
      </c>
    </row>
    <row r="517" spans="1:17" ht="12.75">
      <c r="A517" s="12" t="s">
        <v>101</v>
      </c>
      <c r="B517" s="55">
        <v>10</v>
      </c>
      <c r="C517" s="72">
        <f>SUM(C518:C521)</f>
        <v>160000</v>
      </c>
      <c r="D517" s="133">
        <f aca="true" t="shared" si="181" ref="D517:Q517">SUM(D518:D521)</f>
        <v>8403.39</v>
      </c>
      <c r="E517" s="71">
        <f t="shared" si="181"/>
        <v>0</v>
      </c>
      <c r="F517" s="202">
        <f t="shared" si="181"/>
        <v>168403.38999999998</v>
      </c>
      <c r="G517" s="203">
        <f t="shared" si="181"/>
        <v>40000</v>
      </c>
      <c r="H517" s="179">
        <f t="shared" si="181"/>
        <v>0</v>
      </c>
      <c r="I517" s="204">
        <f t="shared" si="181"/>
        <v>208403.38999999998</v>
      </c>
      <c r="J517" s="203">
        <f t="shared" si="181"/>
        <v>120000</v>
      </c>
      <c r="K517" s="179">
        <f t="shared" si="181"/>
        <v>0</v>
      </c>
      <c r="L517" s="204">
        <f t="shared" si="181"/>
        <v>328403.39</v>
      </c>
      <c r="M517" s="154">
        <f t="shared" si="181"/>
        <v>0</v>
      </c>
      <c r="N517" s="230">
        <f t="shared" si="181"/>
        <v>0</v>
      </c>
      <c r="O517" s="312">
        <f t="shared" si="181"/>
        <v>328403.39</v>
      </c>
      <c r="P517" s="203">
        <f t="shared" si="181"/>
        <v>0</v>
      </c>
      <c r="Q517" s="144">
        <f t="shared" si="181"/>
        <v>328403.39</v>
      </c>
    </row>
    <row r="518" spans="1:17" ht="12.75" hidden="1">
      <c r="A518" s="12" t="s">
        <v>102</v>
      </c>
      <c r="B518" s="55"/>
      <c r="C518" s="72"/>
      <c r="D518" s="133"/>
      <c r="E518" s="71"/>
      <c r="F518" s="202">
        <f aca="true" t="shared" si="182" ref="F518:F562">C518+D518+E518</f>
        <v>0</v>
      </c>
      <c r="G518" s="203"/>
      <c r="H518" s="179"/>
      <c r="I518" s="204">
        <f>F518+G518+H518</f>
        <v>0</v>
      </c>
      <c r="J518" s="203"/>
      <c r="K518" s="179"/>
      <c r="L518" s="204">
        <f>I518+J518+K518</f>
        <v>0</v>
      </c>
      <c r="M518" s="154"/>
      <c r="N518" s="230"/>
      <c r="O518" s="312">
        <f>L518+M518+N518</f>
        <v>0</v>
      </c>
      <c r="P518" s="209"/>
      <c r="Q518" s="208">
        <f>O518+P518</f>
        <v>0</v>
      </c>
    </row>
    <row r="519" spans="1:17" ht="12.75">
      <c r="A519" s="56" t="s">
        <v>99</v>
      </c>
      <c r="B519" s="55"/>
      <c r="C519" s="72">
        <v>140000</v>
      </c>
      <c r="D519" s="139">
        <f>3939.3</f>
        <v>3939.3</v>
      </c>
      <c r="E519" s="82"/>
      <c r="F519" s="202">
        <f t="shared" si="182"/>
        <v>143939.3</v>
      </c>
      <c r="G519" s="203">
        <f>40000</f>
        <v>40000</v>
      </c>
      <c r="H519" s="179"/>
      <c r="I519" s="204">
        <f>F519+G519+H519</f>
        <v>183939.3</v>
      </c>
      <c r="J519" s="203">
        <f>100000+20000</f>
        <v>120000</v>
      </c>
      <c r="K519" s="179"/>
      <c r="L519" s="204">
        <f>I519+J519+K519</f>
        <v>303939.3</v>
      </c>
      <c r="M519" s="154"/>
      <c r="N519" s="230"/>
      <c r="O519" s="312">
        <f>L519+M519+N519</f>
        <v>303939.3</v>
      </c>
      <c r="P519" s="209"/>
      <c r="Q519" s="208">
        <f>O519+P519</f>
        <v>303939.3</v>
      </c>
    </row>
    <row r="520" spans="1:17" ht="12.75">
      <c r="A520" s="56" t="s">
        <v>324</v>
      </c>
      <c r="B520" s="55"/>
      <c r="C520" s="72"/>
      <c r="D520" s="133">
        <f>389.8+365.89</f>
        <v>755.69</v>
      </c>
      <c r="E520" s="71"/>
      <c r="F520" s="202">
        <f t="shared" si="182"/>
        <v>755.69</v>
      </c>
      <c r="G520" s="203"/>
      <c r="H520" s="179"/>
      <c r="I520" s="204">
        <f>F520+G520+H520</f>
        <v>755.69</v>
      </c>
      <c r="J520" s="203"/>
      <c r="K520" s="179"/>
      <c r="L520" s="204">
        <f>I520+J520+K520</f>
        <v>755.69</v>
      </c>
      <c r="M520" s="154"/>
      <c r="N520" s="230"/>
      <c r="O520" s="312">
        <f>L520+M520+N520</f>
        <v>755.69</v>
      </c>
      <c r="P520" s="209"/>
      <c r="Q520" s="208">
        <f>O520+P520</f>
        <v>755.69</v>
      </c>
    </row>
    <row r="521" spans="1:17" ht="12.75">
      <c r="A521" s="13" t="s">
        <v>113</v>
      </c>
      <c r="B521" s="55"/>
      <c r="C521" s="72">
        <v>20000</v>
      </c>
      <c r="D521" s="268">
        <f>3708.4</f>
        <v>3708.4</v>
      </c>
      <c r="E521" s="71"/>
      <c r="F521" s="202">
        <f t="shared" si="182"/>
        <v>23708.4</v>
      </c>
      <c r="G521" s="203"/>
      <c r="H521" s="179"/>
      <c r="I521" s="204">
        <f>F521+G521+H521</f>
        <v>23708.4</v>
      </c>
      <c r="J521" s="203"/>
      <c r="K521" s="179"/>
      <c r="L521" s="204">
        <f>I521+J521+K521</f>
        <v>23708.4</v>
      </c>
      <c r="M521" s="154"/>
      <c r="N521" s="230"/>
      <c r="O521" s="312">
        <f>L521+M521+N521</f>
        <v>23708.4</v>
      </c>
      <c r="P521" s="209"/>
      <c r="Q521" s="208">
        <f>O521+P521</f>
        <v>23708.4</v>
      </c>
    </row>
    <row r="522" spans="1:17" ht="12.75">
      <c r="A522" s="12" t="s">
        <v>103</v>
      </c>
      <c r="B522" s="55">
        <v>12</v>
      </c>
      <c r="C522" s="72">
        <f aca="true" t="shared" si="183" ref="C522:Q522">C523+C524+C525</f>
        <v>29000</v>
      </c>
      <c r="D522" s="133">
        <f t="shared" si="183"/>
        <v>14287.900000000001</v>
      </c>
      <c r="E522" s="71">
        <f t="shared" si="183"/>
        <v>0</v>
      </c>
      <c r="F522" s="202">
        <f t="shared" si="183"/>
        <v>43287.9</v>
      </c>
      <c r="G522" s="203">
        <f t="shared" si="183"/>
        <v>0</v>
      </c>
      <c r="H522" s="179">
        <f t="shared" si="183"/>
        <v>0</v>
      </c>
      <c r="I522" s="204">
        <f t="shared" si="183"/>
        <v>43287.9</v>
      </c>
      <c r="J522" s="203">
        <f t="shared" si="183"/>
        <v>0</v>
      </c>
      <c r="K522" s="179">
        <f t="shared" si="183"/>
        <v>0</v>
      </c>
      <c r="L522" s="204">
        <f t="shared" si="183"/>
        <v>43287.9</v>
      </c>
      <c r="M522" s="154">
        <f t="shared" si="183"/>
        <v>0</v>
      </c>
      <c r="N522" s="230">
        <f t="shared" si="183"/>
        <v>0</v>
      </c>
      <c r="O522" s="312">
        <f t="shared" si="183"/>
        <v>43287.9</v>
      </c>
      <c r="P522" s="203">
        <f t="shared" si="183"/>
        <v>0</v>
      </c>
      <c r="Q522" s="144">
        <f t="shared" si="183"/>
        <v>43287.9</v>
      </c>
    </row>
    <row r="523" spans="1:17" ht="12.75">
      <c r="A523" s="12" t="s">
        <v>104</v>
      </c>
      <c r="B523" s="55"/>
      <c r="C523" s="72">
        <v>29000</v>
      </c>
      <c r="D523" s="133">
        <f>9895.01</f>
        <v>9895.01</v>
      </c>
      <c r="E523" s="71"/>
      <c r="F523" s="202">
        <f t="shared" si="182"/>
        <v>38895.01</v>
      </c>
      <c r="G523" s="203"/>
      <c r="H523" s="179"/>
      <c r="I523" s="204">
        <f>F523+G523+H523</f>
        <v>38895.01</v>
      </c>
      <c r="J523" s="203">
        <f>106-1801.4</f>
        <v>-1695.4</v>
      </c>
      <c r="K523" s="179"/>
      <c r="L523" s="204">
        <f>I523+J523+K523</f>
        <v>37199.61</v>
      </c>
      <c r="M523" s="154">
        <f>-500</f>
        <v>-500</v>
      </c>
      <c r="N523" s="230"/>
      <c r="O523" s="312">
        <f>L523+M523+N523</f>
        <v>36699.61</v>
      </c>
      <c r="P523" s="209"/>
      <c r="Q523" s="208">
        <f>O523+P523</f>
        <v>36699.61</v>
      </c>
    </row>
    <row r="524" spans="1:17" ht="12.75">
      <c r="A524" s="56" t="s">
        <v>108</v>
      </c>
      <c r="B524" s="55"/>
      <c r="C524" s="72"/>
      <c r="D524" s="133">
        <f>3549.6</f>
        <v>3549.6</v>
      </c>
      <c r="E524" s="71"/>
      <c r="F524" s="202">
        <f t="shared" si="182"/>
        <v>3549.6</v>
      </c>
      <c r="G524" s="203"/>
      <c r="H524" s="179"/>
      <c r="I524" s="204">
        <f>F524+G524+H524</f>
        <v>3549.6</v>
      </c>
      <c r="J524" s="203">
        <f>737.29+1801.4</f>
        <v>2538.69</v>
      </c>
      <c r="K524" s="179"/>
      <c r="L524" s="204">
        <f>I524+J524+K524</f>
        <v>6088.29</v>
      </c>
      <c r="M524" s="154">
        <f>500</f>
        <v>500</v>
      </c>
      <c r="N524" s="230"/>
      <c r="O524" s="312">
        <f>L524+M524+N524</f>
        <v>6588.29</v>
      </c>
      <c r="P524" s="209"/>
      <c r="Q524" s="208">
        <f>O524+P524</f>
        <v>6588.29</v>
      </c>
    </row>
    <row r="525" spans="1:17" ht="12.75" customHeight="1" hidden="1">
      <c r="A525" s="56" t="s">
        <v>324</v>
      </c>
      <c r="B525" s="55"/>
      <c r="C525" s="72"/>
      <c r="D525" s="133">
        <f>843.29</f>
        <v>843.29</v>
      </c>
      <c r="E525" s="71"/>
      <c r="F525" s="202">
        <f t="shared" si="182"/>
        <v>843.29</v>
      </c>
      <c r="G525" s="203"/>
      <c r="H525" s="179"/>
      <c r="I525" s="204">
        <f>F525+G525+H525</f>
        <v>843.29</v>
      </c>
      <c r="J525" s="203">
        <f>-843.29</f>
        <v>-843.29</v>
      </c>
      <c r="K525" s="179"/>
      <c r="L525" s="204">
        <f>I525+J525+K525</f>
        <v>0</v>
      </c>
      <c r="M525" s="154"/>
      <c r="N525" s="230"/>
      <c r="O525" s="312">
        <f>L525+M525+N525</f>
        <v>0</v>
      </c>
      <c r="P525" s="209"/>
      <c r="Q525" s="208">
        <f>O525+P525</f>
        <v>0</v>
      </c>
    </row>
    <row r="526" spans="1:17" ht="12.75">
      <c r="A526" s="12" t="s">
        <v>105</v>
      </c>
      <c r="B526" s="55">
        <v>14</v>
      </c>
      <c r="C526" s="72">
        <f>SUM(C527:C531)</f>
        <v>90000</v>
      </c>
      <c r="D526" s="133">
        <f aca="true" t="shared" si="184" ref="D526:Q526">SUM(D527:D531)</f>
        <v>116487.38</v>
      </c>
      <c r="E526" s="71">
        <f t="shared" si="184"/>
        <v>0</v>
      </c>
      <c r="F526" s="202">
        <f t="shared" si="184"/>
        <v>206487.38</v>
      </c>
      <c r="G526" s="203">
        <f t="shared" si="184"/>
        <v>19935</v>
      </c>
      <c r="H526" s="179">
        <f t="shared" si="184"/>
        <v>0</v>
      </c>
      <c r="I526" s="204">
        <f t="shared" si="184"/>
        <v>226422.38</v>
      </c>
      <c r="J526" s="203">
        <f t="shared" si="184"/>
        <v>40109.8</v>
      </c>
      <c r="K526" s="179">
        <f t="shared" si="184"/>
        <v>0</v>
      </c>
      <c r="L526" s="204">
        <f t="shared" si="184"/>
        <v>266532.18000000005</v>
      </c>
      <c r="M526" s="154">
        <f t="shared" si="184"/>
        <v>0</v>
      </c>
      <c r="N526" s="230">
        <f t="shared" si="184"/>
        <v>0</v>
      </c>
      <c r="O526" s="312">
        <f t="shared" si="184"/>
        <v>266532.18000000005</v>
      </c>
      <c r="P526" s="203">
        <f t="shared" si="184"/>
        <v>0</v>
      </c>
      <c r="Q526" s="144">
        <f t="shared" si="184"/>
        <v>266532.18</v>
      </c>
    </row>
    <row r="527" spans="1:17" ht="12.75">
      <c r="A527" s="12" t="s">
        <v>106</v>
      </c>
      <c r="B527" s="55"/>
      <c r="C527" s="72">
        <v>82000</v>
      </c>
      <c r="D527" s="139">
        <f>47083.1+10250+500</f>
        <v>57833.1</v>
      </c>
      <c r="E527" s="82"/>
      <c r="F527" s="202">
        <f t="shared" si="182"/>
        <v>139833.1</v>
      </c>
      <c r="G527" s="203">
        <f>3563+1500+2000</f>
        <v>7063</v>
      </c>
      <c r="H527" s="179"/>
      <c r="I527" s="204">
        <f>F527+G527+H527</f>
        <v>146896.1</v>
      </c>
      <c r="J527" s="203">
        <f>-1100+10635+12000-840.2</f>
        <v>20694.8</v>
      </c>
      <c r="K527" s="179"/>
      <c r="L527" s="204">
        <f>I527+J527+K527</f>
        <v>167590.9</v>
      </c>
      <c r="M527" s="154">
        <f>-164</f>
        <v>-164</v>
      </c>
      <c r="N527" s="230"/>
      <c r="O527" s="312">
        <f>L527+M527+N527</f>
        <v>167426.9</v>
      </c>
      <c r="P527" s="209">
        <f>-167.72</f>
        <v>-167.72</v>
      </c>
      <c r="Q527" s="208">
        <f aca="true" t="shared" si="185" ref="Q527:Q573">O527+P527</f>
        <v>167259.18</v>
      </c>
    </row>
    <row r="528" spans="1:17" ht="12.75">
      <c r="A528" s="12" t="s">
        <v>107</v>
      </c>
      <c r="B528" s="55"/>
      <c r="C528" s="72">
        <v>5000</v>
      </c>
      <c r="D528" s="133">
        <f>20005+1700</f>
        <v>21705</v>
      </c>
      <c r="E528" s="71"/>
      <c r="F528" s="202">
        <f t="shared" si="182"/>
        <v>26705</v>
      </c>
      <c r="G528" s="203">
        <f>719+2500</f>
        <v>3219</v>
      </c>
      <c r="H528" s="179"/>
      <c r="I528" s="204">
        <f>F528+G528+H528</f>
        <v>29924</v>
      </c>
      <c r="J528" s="203">
        <f>1300+6486</f>
        <v>7786</v>
      </c>
      <c r="K528" s="179"/>
      <c r="L528" s="204">
        <f>I528+J528+K528</f>
        <v>37710</v>
      </c>
      <c r="M528" s="154">
        <f>264</f>
        <v>264</v>
      </c>
      <c r="N528" s="230"/>
      <c r="O528" s="312">
        <f>L528+M528+N528</f>
        <v>37974</v>
      </c>
      <c r="P528" s="209">
        <f>303</f>
        <v>303</v>
      </c>
      <c r="Q528" s="208">
        <f t="shared" si="185"/>
        <v>38277</v>
      </c>
    </row>
    <row r="529" spans="1:17" ht="13.5" customHeight="1">
      <c r="A529" s="12" t="s">
        <v>108</v>
      </c>
      <c r="B529" s="55"/>
      <c r="C529" s="72">
        <v>3000</v>
      </c>
      <c r="D529" s="133">
        <f>20950-3850+16300-500</f>
        <v>32900</v>
      </c>
      <c r="E529" s="71"/>
      <c r="F529" s="202">
        <f t="shared" si="182"/>
        <v>35900</v>
      </c>
      <c r="G529" s="203">
        <f>-2000+15450</f>
        <v>13450</v>
      </c>
      <c r="H529" s="179"/>
      <c r="I529" s="204">
        <f>F529+G529+H529</f>
        <v>49350</v>
      </c>
      <c r="J529" s="203">
        <f>-200-17121+17000+1950</f>
        <v>1629</v>
      </c>
      <c r="K529" s="179"/>
      <c r="L529" s="204">
        <f>I529+J529+K529</f>
        <v>50979</v>
      </c>
      <c r="M529" s="154">
        <f>-100</f>
        <v>-100</v>
      </c>
      <c r="N529" s="230"/>
      <c r="O529" s="312">
        <f>L529+M529+N529</f>
        <v>50879</v>
      </c>
      <c r="P529" s="209"/>
      <c r="Q529" s="208">
        <f t="shared" si="185"/>
        <v>50879</v>
      </c>
    </row>
    <row r="530" spans="1:17" ht="13.5" customHeight="1">
      <c r="A530" s="13" t="s">
        <v>113</v>
      </c>
      <c r="B530" s="55"/>
      <c r="C530" s="72"/>
      <c r="D530" s="133">
        <f>436</f>
        <v>436</v>
      </c>
      <c r="E530" s="71"/>
      <c r="F530" s="202">
        <f t="shared" si="182"/>
        <v>436</v>
      </c>
      <c r="G530" s="203">
        <f>-319</f>
        <v>-319</v>
      </c>
      <c r="H530" s="179"/>
      <c r="I530" s="204">
        <f>F530+G530+H530</f>
        <v>117</v>
      </c>
      <c r="J530" s="203">
        <f>10000</f>
        <v>10000</v>
      </c>
      <c r="K530" s="179"/>
      <c r="L530" s="204">
        <f>I530+J530+K530</f>
        <v>10117</v>
      </c>
      <c r="M530" s="154"/>
      <c r="N530" s="230"/>
      <c r="O530" s="312">
        <f>L530+M530+N530</f>
        <v>10117</v>
      </c>
      <c r="P530" s="209"/>
      <c r="Q530" s="208">
        <f t="shared" si="185"/>
        <v>10117</v>
      </c>
    </row>
    <row r="531" spans="1:17" ht="12.75">
      <c r="A531" s="56" t="s">
        <v>324</v>
      </c>
      <c r="B531" s="55"/>
      <c r="C531" s="72"/>
      <c r="D531" s="133">
        <f>1863.28+1750</f>
        <v>3613.2799999999997</v>
      </c>
      <c r="E531" s="71"/>
      <c r="F531" s="202">
        <f t="shared" si="182"/>
        <v>3613.2799999999997</v>
      </c>
      <c r="G531" s="203">
        <f>-1963-1515</f>
        <v>-3478</v>
      </c>
      <c r="H531" s="179"/>
      <c r="I531" s="204">
        <f>F531+G531+H531</f>
        <v>135.27999999999975</v>
      </c>
      <c r="J531" s="203"/>
      <c r="K531" s="179"/>
      <c r="L531" s="204">
        <f>I531+J531+K531</f>
        <v>135.27999999999975</v>
      </c>
      <c r="M531" s="154"/>
      <c r="N531" s="230"/>
      <c r="O531" s="312">
        <f>L531+M531+N531</f>
        <v>135.27999999999975</v>
      </c>
      <c r="P531" s="209">
        <f>-135.28</f>
        <v>-135.28</v>
      </c>
      <c r="Q531" s="208">
        <f t="shared" si="185"/>
        <v>-2.5579538487363607E-13</v>
      </c>
    </row>
    <row r="532" spans="1:17" ht="12.75">
      <c r="A532" s="12" t="s">
        <v>109</v>
      </c>
      <c r="B532" s="55">
        <v>15</v>
      </c>
      <c r="C532" s="72">
        <f>SUM(C533:C539)</f>
        <v>450000</v>
      </c>
      <c r="D532" s="133">
        <f aca="true" t="shared" si="186" ref="D532:Q532">SUM(D533:D539)</f>
        <v>324599.38</v>
      </c>
      <c r="E532" s="71">
        <f t="shared" si="186"/>
        <v>0</v>
      </c>
      <c r="F532" s="202">
        <f t="shared" si="186"/>
        <v>774599.38</v>
      </c>
      <c r="G532" s="203">
        <f t="shared" si="186"/>
        <v>2148</v>
      </c>
      <c r="H532" s="179">
        <f t="shared" si="186"/>
        <v>0</v>
      </c>
      <c r="I532" s="204">
        <f t="shared" si="186"/>
        <v>776747.38</v>
      </c>
      <c r="J532" s="203">
        <f t="shared" si="186"/>
        <v>14000</v>
      </c>
      <c r="K532" s="179">
        <f t="shared" si="186"/>
        <v>0</v>
      </c>
      <c r="L532" s="204">
        <f t="shared" si="186"/>
        <v>790747.38</v>
      </c>
      <c r="M532" s="154">
        <f t="shared" si="186"/>
        <v>0</v>
      </c>
      <c r="N532" s="230">
        <f t="shared" si="186"/>
        <v>0</v>
      </c>
      <c r="O532" s="312">
        <f t="shared" si="186"/>
        <v>790747.38</v>
      </c>
      <c r="P532" s="203">
        <f>SUM(P533:P539)</f>
        <v>0</v>
      </c>
      <c r="Q532" s="144">
        <f t="shared" si="186"/>
        <v>790747.3800000001</v>
      </c>
    </row>
    <row r="533" spans="1:17" ht="12.75">
      <c r="A533" s="12" t="s">
        <v>110</v>
      </c>
      <c r="B533" s="55"/>
      <c r="C533" s="72">
        <v>415999</v>
      </c>
      <c r="D533" s="133">
        <f>176028.87-786.12-7712+7000+90000</f>
        <v>264530.75</v>
      </c>
      <c r="E533" s="71"/>
      <c r="F533" s="202">
        <f t="shared" si="182"/>
        <v>680529.75</v>
      </c>
      <c r="G533" s="203">
        <f>2148-123.5+85</f>
        <v>2109.5</v>
      </c>
      <c r="H533" s="179"/>
      <c r="I533" s="204">
        <f aca="true" t="shared" si="187" ref="I533:I539">F533+G533+H533</f>
        <v>682639.25</v>
      </c>
      <c r="J533" s="203">
        <f>420-735+14000-303.5</f>
        <v>13381.5</v>
      </c>
      <c r="K533" s="179"/>
      <c r="L533" s="204">
        <f aca="true" t="shared" si="188" ref="L533:L539">I533+J533+K533</f>
        <v>696020.75</v>
      </c>
      <c r="M533" s="154">
        <f>150+1000+656.9</f>
        <v>1806.9</v>
      </c>
      <c r="N533" s="230"/>
      <c r="O533" s="312">
        <f aca="true" t="shared" si="189" ref="O533:O539">L533+M533+N533</f>
        <v>697827.65</v>
      </c>
      <c r="P533" s="209">
        <f>-905.47</f>
        <v>-905.47</v>
      </c>
      <c r="Q533" s="208">
        <f t="shared" si="185"/>
        <v>696922.18</v>
      </c>
    </row>
    <row r="534" spans="1:17" ht="12.75" hidden="1">
      <c r="A534" s="12" t="s">
        <v>111</v>
      </c>
      <c r="B534" s="55"/>
      <c r="C534" s="72"/>
      <c r="D534" s="133"/>
      <c r="E534" s="71"/>
      <c r="F534" s="202">
        <f t="shared" si="182"/>
        <v>0</v>
      </c>
      <c r="G534" s="203"/>
      <c r="H534" s="179"/>
      <c r="I534" s="204">
        <f t="shared" si="187"/>
        <v>0</v>
      </c>
      <c r="J534" s="203"/>
      <c r="K534" s="179"/>
      <c r="L534" s="204">
        <f t="shared" si="188"/>
        <v>0</v>
      </c>
      <c r="M534" s="154"/>
      <c r="N534" s="230"/>
      <c r="O534" s="312">
        <f t="shared" si="189"/>
        <v>0</v>
      </c>
      <c r="P534" s="209"/>
      <c r="Q534" s="208">
        <f t="shared" si="185"/>
        <v>0</v>
      </c>
    </row>
    <row r="535" spans="1:17" ht="12.75" hidden="1">
      <c r="A535" s="12" t="s">
        <v>112</v>
      </c>
      <c r="B535" s="55"/>
      <c r="C535" s="72"/>
      <c r="D535" s="139"/>
      <c r="E535" s="82"/>
      <c r="F535" s="202">
        <f t="shared" si="182"/>
        <v>0</v>
      </c>
      <c r="G535" s="203"/>
      <c r="H535" s="179"/>
      <c r="I535" s="204">
        <f t="shared" si="187"/>
        <v>0</v>
      </c>
      <c r="J535" s="203"/>
      <c r="K535" s="179"/>
      <c r="L535" s="204">
        <f t="shared" si="188"/>
        <v>0</v>
      </c>
      <c r="M535" s="154"/>
      <c r="N535" s="230"/>
      <c r="O535" s="312">
        <f t="shared" si="189"/>
        <v>0</v>
      </c>
      <c r="P535" s="209"/>
      <c r="Q535" s="208">
        <f t="shared" si="185"/>
        <v>0</v>
      </c>
    </row>
    <row r="536" spans="1:17" ht="12.75">
      <c r="A536" s="56" t="s">
        <v>325</v>
      </c>
      <c r="B536" s="55"/>
      <c r="C536" s="72">
        <v>30396</v>
      </c>
      <c r="D536" s="133">
        <f>10303.78+6865</f>
        <v>17168.78</v>
      </c>
      <c r="E536" s="71"/>
      <c r="F536" s="202">
        <f t="shared" si="182"/>
        <v>47564.78</v>
      </c>
      <c r="G536" s="203"/>
      <c r="H536" s="179"/>
      <c r="I536" s="204">
        <f t="shared" si="187"/>
        <v>47564.78</v>
      </c>
      <c r="J536" s="203">
        <f>-2573.9</f>
        <v>-2573.9</v>
      </c>
      <c r="K536" s="179"/>
      <c r="L536" s="204">
        <f t="shared" si="188"/>
        <v>44990.88</v>
      </c>
      <c r="M536" s="154"/>
      <c r="N536" s="230"/>
      <c r="O536" s="312">
        <f t="shared" si="189"/>
        <v>44990.88</v>
      </c>
      <c r="P536" s="209">
        <f>241.66</f>
        <v>241.66</v>
      </c>
      <c r="Q536" s="208">
        <f t="shared" si="185"/>
        <v>45232.54</v>
      </c>
    </row>
    <row r="537" spans="1:17" ht="12.75">
      <c r="A537" s="56" t="s">
        <v>326</v>
      </c>
      <c r="B537" s="55"/>
      <c r="C537" s="72">
        <v>1979</v>
      </c>
      <c r="D537" s="133"/>
      <c r="E537" s="71"/>
      <c r="F537" s="202">
        <f t="shared" si="182"/>
        <v>1979</v>
      </c>
      <c r="G537" s="203"/>
      <c r="H537" s="179"/>
      <c r="I537" s="204">
        <f t="shared" si="187"/>
        <v>1979</v>
      </c>
      <c r="J537" s="210"/>
      <c r="K537" s="179"/>
      <c r="L537" s="204">
        <f t="shared" si="188"/>
        <v>1979</v>
      </c>
      <c r="M537" s="154"/>
      <c r="N537" s="230"/>
      <c r="O537" s="312">
        <f t="shared" si="189"/>
        <v>1979</v>
      </c>
      <c r="P537" s="209">
        <f>-241.66</f>
        <v>-241.66</v>
      </c>
      <c r="Q537" s="208">
        <f t="shared" si="185"/>
        <v>1737.34</v>
      </c>
    </row>
    <row r="538" spans="1:17" ht="12.75">
      <c r="A538" s="12" t="s">
        <v>113</v>
      </c>
      <c r="B538" s="55"/>
      <c r="C538" s="72"/>
      <c r="D538" s="133">
        <f>31187.36</f>
        <v>31187.36</v>
      </c>
      <c r="E538" s="71"/>
      <c r="F538" s="202">
        <f t="shared" si="182"/>
        <v>31187.36</v>
      </c>
      <c r="G538" s="203"/>
      <c r="H538" s="179"/>
      <c r="I538" s="204">
        <f t="shared" si="187"/>
        <v>31187.36</v>
      </c>
      <c r="J538" s="203">
        <f>350+573+2573.9</f>
        <v>3496.9</v>
      </c>
      <c r="K538" s="179"/>
      <c r="L538" s="204">
        <f t="shared" si="188"/>
        <v>34684.26</v>
      </c>
      <c r="M538" s="154"/>
      <c r="N538" s="230"/>
      <c r="O538" s="312">
        <f t="shared" si="189"/>
        <v>34684.26</v>
      </c>
      <c r="P538" s="209">
        <f>3706.29</f>
        <v>3706.29</v>
      </c>
      <c r="Q538" s="208">
        <f t="shared" si="185"/>
        <v>38390.55</v>
      </c>
    </row>
    <row r="539" spans="1:17" ht="12.75">
      <c r="A539" s="56" t="s">
        <v>324</v>
      </c>
      <c r="B539" s="175"/>
      <c r="C539" s="72">
        <v>1626</v>
      </c>
      <c r="D539" s="133">
        <f>4000.49+7712</f>
        <v>11712.49</v>
      </c>
      <c r="E539" s="71"/>
      <c r="F539" s="259">
        <f t="shared" si="182"/>
        <v>13338.49</v>
      </c>
      <c r="G539" s="203">
        <f>123.5-85</f>
        <v>38.5</v>
      </c>
      <c r="H539" s="179"/>
      <c r="I539" s="204">
        <f t="shared" si="187"/>
        <v>13376.99</v>
      </c>
      <c r="J539" s="203">
        <f>-770+162+303.5</f>
        <v>-304.5</v>
      </c>
      <c r="K539" s="179"/>
      <c r="L539" s="204">
        <f t="shared" si="188"/>
        <v>13072.49</v>
      </c>
      <c r="M539" s="154">
        <f>-150-1000-656.9</f>
        <v>-1806.9</v>
      </c>
      <c r="N539" s="230"/>
      <c r="O539" s="312">
        <f t="shared" si="189"/>
        <v>11265.59</v>
      </c>
      <c r="P539" s="209">
        <f>-2800.82</f>
        <v>-2800.82</v>
      </c>
      <c r="Q539" s="208">
        <f t="shared" si="185"/>
        <v>8464.77</v>
      </c>
    </row>
    <row r="540" spans="1:17" ht="12.75">
      <c r="A540" s="12" t="s">
        <v>114</v>
      </c>
      <c r="B540" s="55">
        <v>16</v>
      </c>
      <c r="C540" s="72">
        <f>SUM(C541:C544)</f>
        <v>5000</v>
      </c>
      <c r="D540" s="133">
        <f aca="true" t="shared" si="190" ref="D540:Q540">SUM(D541:D544)</f>
        <v>3835.44</v>
      </c>
      <c r="E540" s="71">
        <f t="shared" si="190"/>
        <v>0</v>
      </c>
      <c r="F540" s="202">
        <f t="shared" si="190"/>
        <v>8835.44</v>
      </c>
      <c r="G540" s="203">
        <f t="shared" si="190"/>
        <v>0</v>
      </c>
      <c r="H540" s="179">
        <f t="shared" si="190"/>
        <v>0</v>
      </c>
      <c r="I540" s="204">
        <f t="shared" si="190"/>
        <v>8835.44</v>
      </c>
      <c r="J540" s="203">
        <f t="shared" si="190"/>
        <v>0</v>
      </c>
      <c r="K540" s="179">
        <f t="shared" si="190"/>
        <v>0</v>
      </c>
      <c r="L540" s="204">
        <f t="shared" si="190"/>
        <v>8835.44</v>
      </c>
      <c r="M540" s="154">
        <f t="shared" si="190"/>
        <v>788.1</v>
      </c>
      <c r="N540" s="230">
        <f t="shared" si="190"/>
        <v>0</v>
      </c>
      <c r="O540" s="312">
        <f t="shared" si="190"/>
        <v>9623.54</v>
      </c>
      <c r="P540" s="203">
        <f t="shared" si="190"/>
        <v>0</v>
      </c>
      <c r="Q540" s="144">
        <f t="shared" si="190"/>
        <v>9623.54</v>
      </c>
    </row>
    <row r="541" spans="1:17" ht="12.75">
      <c r="A541" s="12" t="s">
        <v>106</v>
      </c>
      <c r="B541" s="55"/>
      <c r="C541" s="72">
        <v>4605</v>
      </c>
      <c r="D541" s="133">
        <f>1485.35+583.42+60</f>
        <v>2128.77</v>
      </c>
      <c r="E541" s="71"/>
      <c r="F541" s="202">
        <f t="shared" si="182"/>
        <v>6733.77</v>
      </c>
      <c r="G541" s="203"/>
      <c r="H541" s="179"/>
      <c r="I541" s="204">
        <f>F541+G541+H541</f>
        <v>6733.77</v>
      </c>
      <c r="J541" s="203"/>
      <c r="K541" s="179"/>
      <c r="L541" s="204">
        <f>I541+J541+K541</f>
        <v>6733.77</v>
      </c>
      <c r="M541" s="154"/>
      <c r="N541" s="230"/>
      <c r="O541" s="312">
        <f>L541+M541+N541</f>
        <v>6733.77</v>
      </c>
      <c r="P541" s="209">
        <f>-113</f>
        <v>-113</v>
      </c>
      <c r="Q541" s="208">
        <f t="shared" si="185"/>
        <v>6620.77</v>
      </c>
    </row>
    <row r="542" spans="1:17" ht="12.75">
      <c r="A542" s="56" t="s">
        <v>326</v>
      </c>
      <c r="B542" s="55"/>
      <c r="C542" s="72">
        <v>200</v>
      </c>
      <c r="D542" s="133"/>
      <c r="E542" s="71"/>
      <c r="F542" s="202">
        <f t="shared" si="182"/>
        <v>200</v>
      </c>
      <c r="G542" s="203"/>
      <c r="H542" s="179"/>
      <c r="I542" s="204">
        <f>F542+G542+H542</f>
        <v>200</v>
      </c>
      <c r="J542" s="203"/>
      <c r="K542" s="179"/>
      <c r="L542" s="204">
        <f>I542+J542+K542</f>
        <v>200</v>
      </c>
      <c r="M542" s="154"/>
      <c r="N542" s="230"/>
      <c r="O542" s="312">
        <f>L542+M542+N542</f>
        <v>200</v>
      </c>
      <c r="P542" s="209">
        <f>113</f>
        <v>113</v>
      </c>
      <c r="Q542" s="208">
        <f t="shared" si="185"/>
        <v>313</v>
      </c>
    </row>
    <row r="543" spans="1:17" ht="12.75">
      <c r="A543" s="12" t="s">
        <v>108</v>
      </c>
      <c r="B543" s="55"/>
      <c r="C543" s="72">
        <v>6.1</v>
      </c>
      <c r="D543" s="133">
        <f>1902.26-583.42</f>
        <v>1318.8400000000001</v>
      </c>
      <c r="E543" s="71"/>
      <c r="F543" s="202">
        <f t="shared" si="182"/>
        <v>1324.94</v>
      </c>
      <c r="G543" s="203"/>
      <c r="H543" s="179"/>
      <c r="I543" s="204">
        <f>F543+G543+H543</f>
        <v>1324.94</v>
      </c>
      <c r="J543" s="203"/>
      <c r="K543" s="179"/>
      <c r="L543" s="204">
        <f>I543+J543+K543</f>
        <v>1324.94</v>
      </c>
      <c r="M543" s="154">
        <f>788.1</f>
        <v>788.1</v>
      </c>
      <c r="N543" s="230"/>
      <c r="O543" s="312">
        <f>L543+M543+N543</f>
        <v>2113.04</v>
      </c>
      <c r="P543" s="209"/>
      <c r="Q543" s="208">
        <f t="shared" si="185"/>
        <v>2113.04</v>
      </c>
    </row>
    <row r="544" spans="1:17" ht="12.75">
      <c r="A544" s="56" t="s">
        <v>324</v>
      </c>
      <c r="B544" s="55"/>
      <c r="C544" s="72">
        <v>188.9</v>
      </c>
      <c r="D544" s="133">
        <f>447.83-60</f>
        <v>387.83</v>
      </c>
      <c r="E544" s="71"/>
      <c r="F544" s="202">
        <f t="shared" si="182"/>
        <v>576.73</v>
      </c>
      <c r="G544" s="203"/>
      <c r="H544" s="179"/>
      <c r="I544" s="204">
        <f>F544+G544+H544</f>
        <v>576.73</v>
      </c>
      <c r="J544" s="203"/>
      <c r="K544" s="179"/>
      <c r="L544" s="204">
        <f>I544+J544+K544</f>
        <v>576.73</v>
      </c>
      <c r="M544" s="154"/>
      <c r="N544" s="230"/>
      <c r="O544" s="312">
        <f>L544+M544+N544</f>
        <v>576.73</v>
      </c>
      <c r="P544" s="209"/>
      <c r="Q544" s="208">
        <f t="shared" si="185"/>
        <v>576.73</v>
      </c>
    </row>
    <row r="545" spans="1:17" ht="12.75">
      <c r="A545" s="12" t="s">
        <v>98</v>
      </c>
      <c r="B545" s="55">
        <v>18</v>
      </c>
      <c r="C545" s="72">
        <f aca="true" t="shared" si="191" ref="C545:Q545">C546+C547</f>
        <v>900</v>
      </c>
      <c r="D545" s="133">
        <f t="shared" si="191"/>
        <v>362.28</v>
      </c>
      <c r="E545" s="71">
        <f t="shared" si="191"/>
        <v>0</v>
      </c>
      <c r="F545" s="202">
        <f t="shared" si="191"/>
        <v>1262.28</v>
      </c>
      <c r="G545" s="203">
        <f t="shared" si="191"/>
        <v>0</v>
      </c>
      <c r="H545" s="179">
        <f t="shared" si="191"/>
        <v>0</v>
      </c>
      <c r="I545" s="241">
        <f t="shared" si="191"/>
        <v>1262.28</v>
      </c>
      <c r="J545" s="203">
        <f t="shared" si="191"/>
        <v>0</v>
      </c>
      <c r="K545" s="179">
        <f t="shared" si="191"/>
        <v>0</v>
      </c>
      <c r="L545" s="241">
        <f t="shared" si="191"/>
        <v>1262.28</v>
      </c>
      <c r="M545" s="154">
        <f t="shared" si="191"/>
        <v>0</v>
      </c>
      <c r="N545" s="230">
        <f t="shared" si="191"/>
        <v>0</v>
      </c>
      <c r="O545" s="312">
        <f t="shared" si="191"/>
        <v>1262.28</v>
      </c>
      <c r="P545" s="203">
        <f t="shared" si="191"/>
        <v>0</v>
      </c>
      <c r="Q545" s="144">
        <f t="shared" si="191"/>
        <v>1262.28</v>
      </c>
    </row>
    <row r="546" spans="1:17" ht="12.75">
      <c r="A546" s="12" t="s">
        <v>99</v>
      </c>
      <c r="B546" s="55"/>
      <c r="C546" s="72">
        <v>900</v>
      </c>
      <c r="D546" s="133">
        <f>362.28</f>
        <v>362.28</v>
      </c>
      <c r="E546" s="71"/>
      <c r="F546" s="202">
        <f>C546+D546+E546</f>
        <v>1262.28</v>
      </c>
      <c r="G546" s="203"/>
      <c r="H546" s="179"/>
      <c r="I546" s="204">
        <f>F546+G546+H546</f>
        <v>1262.28</v>
      </c>
      <c r="J546" s="203"/>
      <c r="K546" s="179"/>
      <c r="L546" s="204">
        <f>I546+J546+K546</f>
        <v>1262.28</v>
      </c>
      <c r="M546" s="154"/>
      <c r="N546" s="230"/>
      <c r="O546" s="312">
        <f>L546+M546+N546</f>
        <v>1262.28</v>
      </c>
      <c r="P546" s="209"/>
      <c r="Q546" s="208">
        <f t="shared" si="185"/>
        <v>1262.28</v>
      </c>
    </row>
    <row r="547" spans="1:17" ht="12.75" hidden="1">
      <c r="A547" s="12" t="s">
        <v>100</v>
      </c>
      <c r="B547" s="55"/>
      <c r="C547" s="72">
        <v>0</v>
      </c>
      <c r="D547" s="133"/>
      <c r="E547" s="71"/>
      <c r="F547" s="202">
        <f>C547+D547+E547</f>
        <v>0</v>
      </c>
      <c r="G547" s="203"/>
      <c r="H547" s="179"/>
      <c r="I547" s="204"/>
      <c r="J547" s="203"/>
      <c r="K547" s="179"/>
      <c r="L547" s="204"/>
      <c r="M547" s="154"/>
      <c r="N547" s="230"/>
      <c r="O547" s="312"/>
      <c r="P547" s="209"/>
      <c r="Q547" s="208"/>
    </row>
    <row r="548" spans="1:17" ht="12.75">
      <c r="A548" s="56" t="s">
        <v>230</v>
      </c>
      <c r="B548" s="55">
        <v>19</v>
      </c>
      <c r="C548" s="72">
        <f aca="true" t="shared" si="192" ref="C548:Q548">C549+C550</f>
        <v>12000</v>
      </c>
      <c r="D548" s="133">
        <f t="shared" si="192"/>
        <v>-9156.52</v>
      </c>
      <c r="E548" s="71">
        <f t="shared" si="192"/>
        <v>0</v>
      </c>
      <c r="F548" s="202">
        <f t="shared" si="192"/>
        <v>2843.4799999999996</v>
      </c>
      <c r="G548" s="203">
        <f t="shared" si="192"/>
        <v>0</v>
      </c>
      <c r="H548" s="179">
        <f t="shared" si="192"/>
        <v>0</v>
      </c>
      <c r="I548" s="241">
        <f t="shared" si="192"/>
        <v>2843.4799999999996</v>
      </c>
      <c r="J548" s="203">
        <f t="shared" si="192"/>
        <v>0</v>
      </c>
      <c r="K548" s="179">
        <f t="shared" si="192"/>
        <v>0</v>
      </c>
      <c r="L548" s="241">
        <f t="shared" si="192"/>
        <v>2843.4799999999996</v>
      </c>
      <c r="M548" s="154">
        <f t="shared" si="192"/>
        <v>0</v>
      </c>
      <c r="N548" s="230">
        <f t="shared" si="192"/>
        <v>0</v>
      </c>
      <c r="O548" s="312">
        <f t="shared" si="192"/>
        <v>2843.4799999999996</v>
      </c>
      <c r="P548" s="203">
        <f t="shared" si="192"/>
        <v>0</v>
      </c>
      <c r="Q548" s="144">
        <f t="shared" si="192"/>
        <v>2843.4799999999996</v>
      </c>
    </row>
    <row r="549" spans="1:17" ht="12.75">
      <c r="A549" s="12" t="s">
        <v>99</v>
      </c>
      <c r="B549" s="55"/>
      <c r="C549" s="72">
        <v>12000</v>
      </c>
      <c r="D549" s="133">
        <f>11739.88-21071.66</f>
        <v>-9331.78</v>
      </c>
      <c r="E549" s="71"/>
      <c r="F549" s="202">
        <f>C549+D549+E549</f>
        <v>2668.2199999999993</v>
      </c>
      <c r="G549" s="203"/>
      <c r="H549" s="179"/>
      <c r="I549" s="204">
        <f>F549+G549+H549</f>
        <v>2668.2199999999993</v>
      </c>
      <c r="J549" s="203"/>
      <c r="K549" s="179"/>
      <c r="L549" s="204">
        <f>I549+J549+K549</f>
        <v>2668.2199999999993</v>
      </c>
      <c r="M549" s="154"/>
      <c r="N549" s="230"/>
      <c r="O549" s="312">
        <f>L549+M549+N549</f>
        <v>2668.2199999999993</v>
      </c>
      <c r="P549" s="209"/>
      <c r="Q549" s="208">
        <f t="shared" si="185"/>
        <v>2668.2199999999993</v>
      </c>
    </row>
    <row r="550" spans="1:17" ht="12.75">
      <c r="A550" s="56" t="s">
        <v>324</v>
      </c>
      <c r="B550" s="55"/>
      <c r="C550" s="72"/>
      <c r="D550" s="133">
        <f>175.26</f>
        <v>175.26</v>
      </c>
      <c r="E550" s="71"/>
      <c r="F550" s="202">
        <f>C550+D550+E550</f>
        <v>175.26</v>
      </c>
      <c r="G550" s="203"/>
      <c r="H550" s="179"/>
      <c r="I550" s="204">
        <f>F550+G550+H550</f>
        <v>175.26</v>
      </c>
      <c r="J550" s="203"/>
      <c r="K550" s="179"/>
      <c r="L550" s="204">
        <f>I550+J550+K550</f>
        <v>175.26</v>
      </c>
      <c r="M550" s="154"/>
      <c r="N550" s="230"/>
      <c r="O550" s="312">
        <f>L550+M550+N550</f>
        <v>175.26</v>
      </c>
      <c r="P550" s="209"/>
      <c r="Q550" s="208">
        <f t="shared" si="185"/>
        <v>175.26</v>
      </c>
    </row>
    <row r="551" spans="1:17" ht="12.75">
      <c r="A551" s="12" t="s">
        <v>115</v>
      </c>
      <c r="B551" s="55">
        <v>28</v>
      </c>
      <c r="C551" s="72">
        <f>SUM(C552:C556)</f>
        <v>30000</v>
      </c>
      <c r="D551" s="133">
        <f aca="true" t="shared" si="193" ref="D551:Q551">SUM(D552:D556)</f>
        <v>57475.020000000004</v>
      </c>
      <c r="E551" s="71">
        <f t="shared" si="193"/>
        <v>0</v>
      </c>
      <c r="F551" s="202">
        <f t="shared" si="193"/>
        <v>87475.01999999999</v>
      </c>
      <c r="G551" s="203">
        <f t="shared" si="193"/>
        <v>17000</v>
      </c>
      <c r="H551" s="179">
        <f t="shared" si="193"/>
        <v>0</v>
      </c>
      <c r="I551" s="204">
        <f t="shared" si="193"/>
        <v>104475.01999999999</v>
      </c>
      <c r="J551" s="203">
        <f t="shared" si="193"/>
        <v>0</v>
      </c>
      <c r="K551" s="179">
        <f t="shared" si="193"/>
        <v>0</v>
      </c>
      <c r="L551" s="204">
        <f t="shared" si="193"/>
        <v>104475.01999999999</v>
      </c>
      <c r="M551" s="154">
        <f t="shared" si="193"/>
        <v>-2919.05</v>
      </c>
      <c r="N551" s="230">
        <f t="shared" si="193"/>
        <v>0</v>
      </c>
      <c r="O551" s="312">
        <f t="shared" si="193"/>
        <v>101555.97</v>
      </c>
      <c r="P551" s="203">
        <f t="shared" si="193"/>
        <v>0</v>
      </c>
      <c r="Q551" s="144">
        <f t="shared" si="193"/>
        <v>101555.97</v>
      </c>
    </row>
    <row r="552" spans="1:17" ht="12.75">
      <c r="A552" s="12" t="s">
        <v>106</v>
      </c>
      <c r="B552" s="55"/>
      <c r="C552" s="72">
        <v>10460</v>
      </c>
      <c r="D552" s="133">
        <f>6249.29</f>
        <v>6249.29</v>
      </c>
      <c r="E552" s="71"/>
      <c r="F552" s="202">
        <f t="shared" si="182"/>
        <v>16709.29</v>
      </c>
      <c r="G552" s="203"/>
      <c r="H552" s="179"/>
      <c r="I552" s="204">
        <f>F552+G552+H552</f>
        <v>16709.29</v>
      </c>
      <c r="J552" s="203">
        <f>80</f>
        <v>80</v>
      </c>
      <c r="K552" s="179"/>
      <c r="L552" s="204">
        <f>I552+J552+K552</f>
        <v>16789.29</v>
      </c>
      <c r="M552" s="154">
        <f>250-250</f>
        <v>0</v>
      </c>
      <c r="N552" s="230"/>
      <c r="O552" s="312">
        <f>L552+M552+N552</f>
        <v>16789.29</v>
      </c>
      <c r="P552" s="209"/>
      <c r="Q552" s="208">
        <f t="shared" si="185"/>
        <v>16789.29</v>
      </c>
    </row>
    <row r="553" spans="1:17" ht="12.75">
      <c r="A553" s="56" t="s">
        <v>326</v>
      </c>
      <c r="B553" s="55"/>
      <c r="C553" s="72">
        <v>2150</v>
      </c>
      <c r="D553" s="133">
        <f>555.67</f>
        <v>555.67</v>
      </c>
      <c r="E553" s="71"/>
      <c r="F553" s="202">
        <f t="shared" si="182"/>
        <v>2705.67</v>
      </c>
      <c r="G553" s="203"/>
      <c r="H553" s="179"/>
      <c r="I553" s="204">
        <f>F553+G553+H553</f>
        <v>2705.67</v>
      </c>
      <c r="J553" s="203"/>
      <c r="K553" s="179"/>
      <c r="L553" s="204">
        <f>I553+J553+K553</f>
        <v>2705.67</v>
      </c>
      <c r="M553" s="154"/>
      <c r="N553" s="230"/>
      <c r="O553" s="312">
        <f>L553+M553+N553</f>
        <v>2705.67</v>
      </c>
      <c r="P553" s="209"/>
      <c r="Q553" s="208">
        <f t="shared" si="185"/>
        <v>2705.67</v>
      </c>
    </row>
    <row r="554" spans="1:17" ht="12.75">
      <c r="A554" s="12" t="s">
        <v>116</v>
      </c>
      <c r="B554" s="55"/>
      <c r="C554" s="72">
        <v>11818.34</v>
      </c>
      <c r="D554" s="133">
        <f>54479.44-800+800+1000</f>
        <v>55479.44</v>
      </c>
      <c r="E554" s="71"/>
      <c r="F554" s="202">
        <f t="shared" si="182"/>
        <v>67297.78</v>
      </c>
      <c r="G554" s="203">
        <f>17000</f>
        <v>17000</v>
      </c>
      <c r="H554" s="179"/>
      <c r="I554" s="204">
        <f>F554+G554+H554</f>
        <v>84297.78</v>
      </c>
      <c r="J554" s="203">
        <f>-80</f>
        <v>-80</v>
      </c>
      <c r="K554" s="179"/>
      <c r="L554" s="204">
        <f>I554+J554+K554</f>
        <v>84217.78</v>
      </c>
      <c r="M554" s="154">
        <f>-250-1402.51-1266.54</f>
        <v>-2919.05</v>
      </c>
      <c r="N554" s="230"/>
      <c r="O554" s="312">
        <f>L554+M554+N554</f>
        <v>81298.73</v>
      </c>
      <c r="P554" s="209"/>
      <c r="Q554" s="208">
        <f t="shared" si="185"/>
        <v>81298.73</v>
      </c>
    </row>
    <row r="555" spans="1:17" ht="12.75" hidden="1">
      <c r="A555" s="12" t="s">
        <v>113</v>
      </c>
      <c r="B555" s="55"/>
      <c r="C555" s="72"/>
      <c r="D555" s="133"/>
      <c r="E555" s="71"/>
      <c r="F555" s="202">
        <f t="shared" si="182"/>
        <v>0</v>
      </c>
      <c r="G555" s="203"/>
      <c r="H555" s="179"/>
      <c r="I555" s="204">
        <f>F555+G555+H555</f>
        <v>0</v>
      </c>
      <c r="J555" s="203"/>
      <c r="K555" s="179"/>
      <c r="L555" s="204">
        <f>I555+J555+K555</f>
        <v>0</v>
      </c>
      <c r="M555" s="154"/>
      <c r="N555" s="230"/>
      <c r="O555" s="312">
        <f>L555+M555+N555</f>
        <v>0</v>
      </c>
      <c r="P555" s="209"/>
      <c r="Q555" s="208">
        <f t="shared" si="185"/>
        <v>0</v>
      </c>
    </row>
    <row r="556" spans="1:17" ht="12.75">
      <c r="A556" s="56" t="s">
        <v>324</v>
      </c>
      <c r="B556" s="55"/>
      <c r="C556" s="72">
        <v>5571.66</v>
      </c>
      <c r="D556" s="139">
        <f>46.6-3055.98-800-1000</f>
        <v>-4809.38</v>
      </c>
      <c r="E556" s="71"/>
      <c r="F556" s="202">
        <f t="shared" si="182"/>
        <v>762.2799999999997</v>
      </c>
      <c r="G556" s="203"/>
      <c r="H556" s="179"/>
      <c r="I556" s="204">
        <f>F556+G556+H556</f>
        <v>762.2799999999997</v>
      </c>
      <c r="J556" s="203"/>
      <c r="K556" s="179"/>
      <c r="L556" s="204">
        <f>I556+J556+K556</f>
        <v>762.2799999999997</v>
      </c>
      <c r="M556" s="154"/>
      <c r="N556" s="230"/>
      <c r="O556" s="312">
        <f>L556+M556+N556</f>
        <v>762.2799999999997</v>
      </c>
      <c r="P556" s="209"/>
      <c r="Q556" s="208">
        <f t="shared" si="185"/>
        <v>762.2799999999997</v>
      </c>
    </row>
    <row r="557" spans="1:17" ht="12.75">
      <c r="A557" s="13" t="s">
        <v>117</v>
      </c>
      <c r="B557" s="55"/>
      <c r="C557" s="72">
        <f>C558+C559</f>
        <v>30001</v>
      </c>
      <c r="D557" s="133">
        <f aca="true" t="shared" si="194" ref="D557:Q557">D558+D559</f>
        <v>-4032.2000000000007</v>
      </c>
      <c r="E557" s="71">
        <f t="shared" si="194"/>
        <v>0</v>
      </c>
      <c r="F557" s="202">
        <f t="shared" si="194"/>
        <v>25968.8</v>
      </c>
      <c r="G557" s="203">
        <f t="shared" si="194"/>
        <v>-4500</v>
      </c>
      <c r="H557" s="179">
        <f t="shared" si="194"/>
        <v>0</v>
      </c>
      <c r="I557" s="204">
        <f t="shared" si="194"/>
        <v>21468.8</v>
      </c>
      <c r="J557" s="203">
        <f t="shared" si="194"/>
        <v>-10000</v>
      </c>
      <c r="K557" s="179">
        <f t="shared" si="194"/>
        <v>0</v>
      </c>
      <c r="L557" s="204">
        <f t="shared" si="194"/>
        <v>11468.8</v>
      </c>
      <c r="M557" s="154">
        <f t="shared" si="194"/>
        <v>0</v>
      </c>
      <c r="N557" s="230">
        <f t="shared" si="194"/>
        <v>0</v>
      </c>
      <c r="O557" s="312">
        <f t="shared" si="194"/>
        <v>11468.8</v>
      </c>
      <c r="P557" s="203">
        <f t="shared" si="194"/>
        <v>0</v>
      </c>
      <c r="Q557" s="144">
        <f t="shared" si="194"/>
        <v>11468.8</v>
      </c>
    </row>
    <row r="558" spans="1:17" ht="12.75">
      <c r="A558" s="13" t="s">
        <v>214</v>
      </c>
      <c r="B558" s="55"/>
      <c r="C558" s="72">
        <v>30000</v>
      </c>
      <c r="D558" s="133">
        <f>-5000+150.91+786.12-5000</f>
        <v>-9062.970000000001</v>
      </c>
      <c r="E558" s="71"/>
      <c r="F558" s="202">
        <f t="shared" si="182"/>
        <v>20937.03</v>
      </c>
      <c r="G558" s="203">
        <f>-2500-2000</f>
        <v>-4500</v>
      </c>
      <c r="H558" s="179"/>
      <c r="I558" s="204">
        <f>F558+G558+H558</f>
        <v>16437.03</v>
      </c>
      <c r="J558" s="203">
        <f>-10000</f>
        <v>-10000</v>
      </c>
      <c r="K558" s="179"/>
      <c r="L558" s="204">
        <f>I558+J558+K558</f>
        <v>6437.029999999999</v>
      </c>
      <c r="M558" s="154"/>
      <c r="N558" s="230"/>
      <c r="O558" s="312">
        <f>L558+M558+N558</f>
        <v>6437.029999999999</v>
      </c>
      <c r="P558" s="209"/>
      <c r="Q558" s="208">
        <f t="shared" si="185"/>
        <v>6437.029999999999</v>
      </c>
    </row>
    <row r="559" spans="1:17" ht="12.75">
      <c r="A559" s="16" t="s">
        <v>327</v>
      </c>
      <c r="B559" s="58"/>
      <c r="C559" s="115">
        <v>1</v>
      </c>
      <c r="D559" s="138">
        <f>30.77+5000</f>
        <v>5030.77</v>
      </c>
      <c r="E559" s="79"/>
      <c r="F559" s="257">
        <f t="shared" si="182"/>
        <v>5031.77</v>
      </c>
      <c r="G559" s="224"/>
      <c r="H559" s="182"/>
      <c r="I559" s="237">
        <f>F559+G559+H559</f>
        <v>5031.77</v>
      </c>
      <c r="J559" s="224"/>
      <c r="K559" s="182"/>
      <c r="L559" s="204">
        <f>I559+J559+K559</f>
        <v>5031.77</v>
      </c>
      <c r="M559" s="153"/>
      <c r="N559" s="297"/>
      <c r="O559" s="317">
        <f>L559+M559+N559</f>
        <v>5031.77</v>
      </c>
      <c r="P559" s="276"/>
      <c r="Q559" s="282">
        <f t="shared" si="185"/>
        <v>5031.77</v>
      </c>
    </row>
    <row r="560" spans="1:17" ht="13.5" thickBot="1">
      <c r="A560" s="25" t="s">
        <v>118</v>
      </c>
      <c r="B560" s="59"/>
      <c r="C560" s="73">
        <v>10017.35</v>
      </c>
      <c r="D560" s="133">
        <f>140.83</f>
        <v>140.83</v>
      </c>
      <c r="E560" s="74"/>
      <c r="F560" s="254">
        <f t="shared" si="182"/>
        <v>10158.18</v>
      </c>
      <c r="G560" s="220"/>
      <c r="H560" s="179">
        <f>7978.14</f>
        <v>7978.14</v>
      </c>
      <c r="I560" s="211">
        <f>SUM(F560:H560)</f>
        <v>18136.32</v>
      </c>
      <c r="J560" s="220"/>
      <c r="K560" s="181"/>
      <c r="L560" s="274">
        <f>SUM(I560:K560)</f>
        <v>18136.32</v>
      </c>
      <c r="M560" s="165"/>
      <c r="N560" s="231"/>
      <c r="O560" s="313">
        <f>SUM(L560:N560)</f>
        <v>18136.32</v>
      </c>
      <c r="P560" s="220"/>
      <c r="Q560" s="145">
        <f>O560+P560</f>
        <v>18136.32</v>
      </c>
    </row>
    <row r="561" spans="1:17" ht="15.75" thickBot="1">
      <c r="A561" s="26" t="s">
        <v>119</v>
      </c>
      <c r="B561" s="62"/>
      <c r="C561" s="118">
        <f aca="true" t="shared" si="195" ref="C561:Q561">+C85+C104+C113+C124+C142+C154+C185+C243+C263+C298+C320+C405+C445+C466+C473+C504+C508+C560+C480+C343+C291</f>
        <v>5545486.969999999</v>
      </c>
      <c r="D561" s="140">
        <f t="shared" si="195"/>
        <v>4823153.089999999</v>
      </c>
      <c r="E561" s="84">
        <f t="shared" si="195"/>
        <v>64846</v>
      </c>
      <c r="F561" s="261">
        <f t="shared" si="195"/>
        <v>10433486.06</v>
      </c>
      <c r="G561" s="212">
        <f t="shared" si="195"/>
        <v>9828495.730000004</v>
      </c>
      <c r="H561" s="193">
        <f t="shared" si="195"/>
        <v>116743.29</v>
      </c>
      <c r="I561" s="242">
        <f t="shared" si="195"/>
        <v>20378725.079999994</v>
      </c>
      <c r="J561" s="212">
        <f t="shared" si="195"/>
        <v>986724.21</v>
      </c>
      <c r="K561" s="193">
        <f t="shared" si="195"/>
        <v>41909.78</v>
      </c>
      <c r="L561" s="242">
        <f t="shared" si="195"/>
        <v>21407359.069999997</v>
      </c>
      <c r="M561" s="169">
        <f t="shared" si="195"/>
        <v>780614.8800000001</v>
      </c>
      <c r="N561" s="232">
        <f t="shared" si="195"/>
        <v>29123.37000000001</v>
      </c>
      <c r="O561" s="320">
        <f t="shared" si="195"/>
        <v>22217097.32</v>
      </c>
      <c r="P561" s="212">
        <f t="shared" si="195"/>
        <v>181969.84000000003</v>
      </c>
      <c r="Q561" s="156">
        <f t="shared" si="195"/>
        <v>22399067.16</v>
      </c>
    </row>
    <row r="562" spans="1:17" ht="13.5" thickBot="1">
      <c r="A562" s="27" t="s">
        <v>120</v>
      </c>
      <c r="B562" s="62"/>
      <c r="C562" s="119">
        <v>-10017.35</v>
      </c>
      <c r="D562" s="271">
        <f>-140.83</f>
        <v>-140.83</v>
      </c>
      <c r="E562" s="120"/>
      <c r="F562" s="262">
        <f t="shared" si="182"/>
        <v>-10158.18</v>
      </c>
      <c r="G562" s="213"/>
      <c r="H562" s="194"/>
      <c r="I562" s="211">
        <f>SUM(F562:H562)</f>
        <v>-10158.18</v>
      </c>
      <c r="J562" s="213"/>
      <c r="K562" s="194"/>
      <c r="L562" s="274">
        <f>SUM(I562:K562)</f>
        <v>-10158.18</v>
      </c>
      <c r="M562" s="170"/>
      <c r="N562" s="300"/>
      <c r="O562" s="321">
        <f>SUM(L562:N562)</f>
        <v>-10158.18</v>
      </c>
      <c r="P562" s="213"/>
      <c r="Q562" s="192">
        <f>O562+P562</f>
        <v>-10158.18</v>
      </c>
    </row>
    <row r="563" spans="1:17" ht="16.5" thickBot="1">
      <c r="A563" s="28" t="s">
        <v>121</v>
      </c>
      <c r="B563" s="62"/>
      <c r="C563" s="121">
        <f aca="true" t="shared" si="196" ref="C563:Q563">C561+C562</f>
        <v>5535469.619999999</v>
      </c>
      <c r="D563" s="135">
        <f t="shared" si="196"/>
        <v>4823012.259999999</v>
      </c>
      <c r="E563" s="122">
        <f t="shared" si="196"/>
        <v>64846</v>
      </c>
      <c r="F563" s="263">
        <f t="shared" si="196"/>
        <v>10423327.88</v>
      </c>
      <c r="G563" s="214">
        <f t="shared" si="196"/>
        <v>9828495.730000004</v>
      </c>
      <c r="H563" s="195">
        <f t="shared" si="196"/>
        <v>116743.29</v>
      </c>
      <c r="I563" s="243">
        <f t="shared" si="196"/>
        <v>20368566.899999995</v>
      </c>
      <c r="J563" s="214">
        <f t="shared" si="196"/>
        <v>986724.21</v>
      </c>
      <c r="K563" s="195">
        <f t="shared" si="196"/>
        <v>41909.78</v>
      </c>
      <c r="L563" s="243">
        <f t="shared" si="196"/>
        <v>21397200.889999997</v>
      </c>
      <c r="M563" s="171">
        <f t="shared" si="196"/>
        <v>780614.8800000001</v>
      </c>
      <c r="N563" s="301">
        <f t="shared" si="196"/>
        <v>29123.37000000001</v>
      </c>
      <c r="O563" s="322">
        <f t="shared" si="196"/>
        <v>22206939.14</v>
      </c>
      <c r="P563" s="214">
        <f t="shared" si="196"/>
        <v>181969.84000000003</v>
      </c>
      <c r="Q563" s="157">
        <f t="shared" si="196"/>
        <v>22388908.98</v>
      </c>
    </row>
    <row r="564" spans="1:17" ht="15.75">
      <c r="A564" s="29" t="s">
        <v>26</v>
      </c>
      <c r="B564" s="63"/>
      <c r="C564" s="123"/>
      <c r="D564" s="141"/>
      <c r="E564" s="85"/>
      <c r="F564" s="264"/>
      <c r="G564" s="215"/>
      <c r="H564" s="196"/>
      <c r="I564" s="244"/>
      <c r="J564" s="215"/>
      <c r="K564" s="196"/>
      <c r="L564" s="244"/>
      <c r="M564" s="172"/>
      <c r="N564" s="302"/>
      <c r="O564" s="323"/>
      <c r="P564" s="215"/>
      <c r="Q564" s="158"/>
    </row>
    <row r="565" spans="1:17" ht="15.75">
      <c r="A565" s="30" t="s">
        <v>203</v>
      </c>
      <c r="B565" s="64"/>
      <c r="C565" s="98">
        <f aca="true" t="shared" si="197" ref="C565:Q565">+C86+C105+C114+C125+C143+C155+C186+C244+C264+C299+C321+C406+C446+C467+C474+C505+C510+C560+C562+C481+C344+C292</f>
        <v>4176459.8700000006</v>
      </c>
      <c r="D565" s="113">
        <f t="shared" si="197"/>
        <v>2697583.0799999996</v>
      </c>
      <c r="E565" s="113">
        <f t="shared" si="197"/>
        <v>17787.23</v>
      </c>
      <c r="F565" s="245">
        <f t="shared" si="197"/>
        <v>6891830.179999998</v>
      </c>
      <c r="G565" s="98">
        <f t="shared" si="197"/>
        <v>8949406.460000005</v>
      </c>
      <c r="H565" s="113">
        <f t="shared" si="197"/>
        <v>75099.20000000001</v>
      </c>
      <c r="I565" s="245">
        <f t="shared" si="197"/>
        <v>15916335.839999998</v>
      </c>
      <c r="J565" s="98">
        <f t="shared" si="197"/>
        <v>761541.5999999999</v>
      </c>
      <c r="K565" s="113">
        <f t="shared" si="197"/>
        <v>10010.37</v>
      </c>
      <c r="L565" s="285">
        <f t="shared" si="197"/>
        <v>16687887.809999999</v>
      </c>
      <c r="M565" s="124">
        <f t="shared" si="197"/>
        <v>609771.06</v>
      </c>
      <c r="N565" s="303">
        <f t="shared" si="197"/>
        <v>-37355.97999999999</v>
      </c>
      <c r="O565" s="324">
        <f t="shared" si="197"/>
        <v>17260302.89</v>
      </c>
      <c r="P565" s="277">
        <f t="shared" si="197"/>
        <v>169267.08000000002</v>
      </c>
      <c r="Q565" s="159">
        <f t="shared" si="197"/>
        <v>17429569.97000001</v>
      </c>
    </row>
    <row r="566" spans="1:18" ht="16.5" thickBot="1">
      <c r="A566" s="18" t="s">
        <v>204</v>
      </c>
      <c r="B566" s="65"/>
      <c r="C566" s="99">
        <f aca="true" t="shared" si="198" ref="C566:Q566">+C94+C109+C121+C137+C148+C175+C232+C256+C283+C313+C339+C440+C458+C470+C511+C494+C371+C295</f>
        <v>1359009.75</v>
      </c>
      <c r="D566" s="114">
        <f t="shared" si="198"/>
        <v>2125429.1799999997</v>
      </c>
      <c r="E566" s="114">
        <f t="shared" si="198"/>
        <v>100757.55</v>
      </c>
      <c r="F566" s="246">
        <f t="shared" si="198"/>
        <v>3531497.7</v>
      </c>
      <c r="G566" s="99">
        <f t="shared" si="198"/>
        <v>879089.27</v>
      </c>
      <c r="H566" s="114">
        <f t="shared" si="198"/>
        <v>41644.090000000004</v>
      </c>
      <c r="I566" s="246">
        <f t="shared" si="198"/>
        <v>4452231.06</v>
      </c>
      <c r="J566" s="99">
        <f t="shared" si="198"/>
        <v>225182.61000000002</v>
      </c>
      <c r="K566" s="114">
        <f t="shared" si="198"/>
        <v>31899.41</v>
      </c>
      <c r="L566" s="286">
        <f t="shared" si="198"/>
        <v>4709313.08</v>
      </c>
      <c r="M566" s="125">
        <f t="shared" si="198"/>
        <v>170843.82000000004</v>
      </c>
      <c r="N566" s="304">
        <f t="shared" si="198"/>
        <v>66479.35</v>
      </c>
      <c r="O566" s="325">
        <f t="shared" si="198"/>
        <v>4946636.25</v>
      </c>
      <c r="P566" s="278">
        <f t="shared" si="198"/>
        <v>12702.76000000001</v>
      </c>
      <c r="Q566" s="160">
        <f t="shared" si="198"/>
        <v>4959339.01</v>
      </c>
      <c r="R566" s="288"/>
    </row>
    <row r="567" spans="1:17" ht="16.5" thickBot="1">
      <c r="A567" s="30" t="s">
        <v>197</v>
      </c>
      <c r="B567" s="64"/>
      <c r="C567" s="118">
        <f aca="true" t="shared" si="199" ref="C567:Q567">C83-C563</f>
        <v>-419999.99999999907</v>
      </c>
      <c r="D567" s="140">
        <f t="shared" si="199"/>
        <v>-2810061.259999999</v>
      </c>
      <c r="E567" s="84">
        <f t="shared" si="199"/>
        <v>-32680.3</v>
      </c>
      <c r="F567" s="261">
        <f t="shared" si="199"/>
        <v>-3262741.5600000005</v>
      </c>
      <c r="G567" s="212">
        <f t="shared" si="199"/>
        <v>-4962.340000003576</v>
      </c>
      <c r="H567" s="193">
        <f t="shared" si="199"/>
        <v>-81541.92</v>
      </c>
      <c r="I567" s="247">
        <f t="shared" si="199"/>
        <v>-3349245.8199999966</v>
      </c>
      <c r="J567" s="212">
        <f t="shared" si="199"/>
        <v>0</v>
      </c>
      <c r="K567" s="193">
        <f t="shared" si="199"/>
        <v>0</v>
      </c>
      <c r="L567" s="247">
        <f t="shared" si="199"/>
        <v>-3349245.8200000003</v>
      </c>
      <c r="M567" s="169">
        <f t="shared" si="199"/>
        <v>0</v>
      </c>
      <c r="N567" s="232">
        <f t="shared" si="199"/>
        <v>0</v>
      </c>
      <c r="O567" s="320">
        <f t="shared" si="199"/>
        <v>-3349245.820000004</v>
      </c>
      <c r="P567" s="232">
        <f t="shared" si="199"/>
        <v>0</v>
      </c>
      <c r="Q567" s="156">
        <f t="shared" si="199"/>
        <v>-3349245.8200000077</v>
      </c>
    </row>
    <row r="568" spans="1:17" ht="15.75">
      <c r="A568" s="29" t="s">
        <v>205</v>
      </c>
      <c r="B568" s="63"/>
      <c r="C568" s="123">
        <f>SUM(C570:C573)</f>
        <v>420000</v>
      </c>
      <c r="D568" s="141">
        <f aca="true" t="shared" si="200" ref="D568:Q568">SUM(D570:D573)</f>
        <v>2810061.2600000002</v>
      </c>
      <c r="E568" s="85">
        <f t="shared" si="200"/>
        <v>32680.3</v>
      </c>
      <c r="F568" s="264">
        <f t="shared" si="200"/>
        <v>3262741.56</v>
      </c>
      <c r="G568" s="215">
        <f t="shared" si="200"/>
        <v>4962.34</v>
      </c>
      <c r="H568" s="196">
        <f t="shared" si="200"/>
        <v>81541.92</v>
      </c>
      <c r="I568" s="244">
        <f t="shared" si="200"/>
        <v>3349245.82</v>
      </c>
      <c r="J568" s="215">
        <f t="shared" si="200"/>
        <v>0</v>
      </c>
      <c r="K568" s="196">
        <f t="shared" si="200"/>
        <v>0</v>
      </c>
      <c r="L568" s="244">
        <f t="shared" si="200"/>
        <v>3349245.82</v>
      </c>
      <c r="M568" s="172">
        <f>SUM(M570:M573)</f>
        <v>0</v>
      </c>
      <c r="N568" s="302">
        <f>SUM(N570:N573)</f>
        <v>0</v>
      </c>
      <c r="O568" s="323">
        <f>SUM(O570:O573)</f>
        <v>3349245.82</v>
      </c>
      <c r="P568" s="279">
        <f t="shared" si="200"/>
        <v>0</v>
      </c>
      <c r="Q568" s="283">
        <f t="shared" si="200"/>
        <v>3349245.82</v>
      </c>
    </row>
    <row r="569" spans="1:17" ht="12.75" customHeight="1">
      <c r="A569" s="31" t="s">
        <v>26</v>
      </c>
      <c r="B569" s="66"/>
      <c r="C569" s="126"/>
      <c r="D569" s="272"/>
      <c r="E569" s="86"/>
      <c r="F569" s="265"/>
      <c r="G569" s="226"/>
      <c r="H569" s="186"/>
      <c r="I569" s="248"/>
      <c r="J569" s="226"/>
      <c r="K569" s="186"/>
      <c r="L569" s="248"/>
      <c r="M569" s="173"/>
      <c r="N569" s="305"/>
      <c r="O569" s="326"/>
      <c r="P569" s="209"/>
      <c r="Q569" s="208"/>
    </row>
    <row r="570" spans="1:17" ht="14.25">
      <c r="A570" s="31" t="s">
        <v>122</v>
      </c>
      <c r="B570" s="66"/>
      <c r="C570" s="127">
        <v>600000</v>
      </c>
      <c r="D570" s="142"/>
      <c r="E570" s="96"/>
      <c r="F570" s="266">
        <f>SUM(C570:E570)</f>
        <v>600000</v>
      </c>
      <c r="G570" s="227"/>
      <c r="H570" s="187"/>
      <c r="I570" s="249">
        <f>SUM(F570:H570)</f>
        <v>600000</v>
      </c>
      <c r="J570" s="227"/>
      <c r="K570" s="187"/>
      <c r="L570" s="249">
        <f>SUM(I570:K570)</f>
        <v>600000</v>
      </c>
      <c r="M570" s="174"/>
      <c r="N570" s="306"/>
      <c r="O570" s="327">
        <f>SUM(L570:N570)</f>
        <v>600000</v>
      </c>
      <c r="P570" s="209"/>
      <c r="Q570" s="208">
        <f t="shared" si="185"/>
        <v>600000</v>
      </c>
    </row>
    <row r="571" spans="1:17" ht="14.25">
      <c r="A571" s="32" t="s">
        <v>128</v>
      </c>
      <c r="B571" s="66"/>
      <c r="C571" s="127">
        <v>-180000</v>
      </c>
      <c r="D571" s="142"/>
      <c r="E571" s="96"/>
      <c r="F571" s="266">
        <f>SUM(C571:E571)</f>
        <v>-180000</v>
      </c>
      <c r="G571" s="227"/>
      <c r="H571" s="187"/>
      <c r="I571" s="249">
        <f>SUM(F571:H571)</f>
        <v>-180000</v>
      </c>
      <c r="J571" s="227"/>
      <c r="K571" s="187"/>
      <c r="L571" s="249">
        <f>SUM(I571:K571)</f>
        <v>-180000</v>
      </c>
      <c r="M571" s="174"/>
      <c r="N571" s="306"/>
      <c r="O571" s="327">
        <f>SUM(L571:N571)</f>
        <v>-180000</v>
      </c>
      <c r="P571" s="209"/>
      <c r="Q571" s="208">
        <f t="shared" si="185"/>
        <v>-180000</v>
      </c>
    </row>
    <row r="572" spans="1:17" ht="14.25">
      <c r="A572" s="32" t="s">
        <v>123</v>
      </c>
      <c r="B572" s="177"/>
      <c r="C572" s="127"/>
      <c r="D572" s="142">
        <f>409763.86+388356.04+893492.73+29316.02+4444.55+6310.53+81127.5+18704.93+45016.59+12200+5933.63+1742.62+13724.41+1582.78+16172.19+71559.93+4006.3+5000+3493.86+2380.11+47012.69+1000+27871.82+5000+97634.38+13350.48+19605.35+600+8106.6+8877.65+12276.69-2589.15+6438.34+2040.02+620+547887.81</f>
        <v>2810061.2600000002</v>
      </c>
      <c r="E572" s="96">
        <f>1571.6+15730+11250+1644+2484.7</f>
        <v>32680.3</v>
      </c>
      <c r="F572" s="266">
        <f>SUM(C572:E572)</f>
        <v>2842741.56</v>
      </c>
      <c r="G572" s="228">
        <f>4638.54+323.8</f>
        <v>4962.34</v>
      </c>
      <c r="H572" s="252">
        <f>10709.3+8436+54418.48</f>
        <v>73563.78</v>
      </c>
      <c r="I572" s="249">
        <f>SUM(F572:H572)</f>
        <v>2921267.6799999997</v>
      </c>
      <c r="J572" s="227"/>
      <c r="K572" s="187"/>
      <c r="L572" s="249">
        <f>SUM(I572:K572)</f>
        <v>2921267.6799999997</v>
      </c>
      <c r="M572" s="174"/>
      <c r="N572" s="306"/>
      <c r="O572" s="327">
        <f>SUM(L572:N572)</f>
        <v>2921267.6799999997</v>
      </c>
      <c r="P572" s="209"/>
      <c r="Q572" s="208">
        <f t="shared" si="185"/>
        <v>2921267.6799999997</v>
      </c>
    </row>
    <row r="573" spans="1:18" ht="15" thickBot="1">
      <c r="A573" s="40" t="s">
        <v>138</v>
      </c>
      <c r="B573" s="67"/>
      <c r="C573" s="100"/>
      <c r="D573" s="273" t="s">
        <v>181</v>
      </c>
      <c r="E573" s="97"/>
      <c r="F573" s="267">
        <f>SUM(C573:E573)</f>
        <v>0</v>
      </c>
      <c r="G573" s="161"/>
      <c r="H573" s="253">
        <f>7978.14</f>
        <v>7978.14</v>
      </c>
      <c r="I573" s="250">
        <f>SUM(F573:H573)</f>
        <v>7978.14</v>
      </c>
      <c r="J573" s="161">
        <v>0</v>
      </c>
      <c r="K573" s="188">
        <v>0</v>
      </c>
      <c r="L573" s="162">
        <f>SUM(I573:K573)</f>
        <v>7978.14</v>
      </c>
      <c r="M573" s="198"/>
      <c r="N573" s="307"/>
      <c r="O573" s="328">
        <f>SUM(L573:N573)</f>
        <v>7978.14</v>
      </c>
      <c r="P573" s="280"/>
      <c r="Q573" s="284">
        <f t="shared" si="185"/>
        <v>7978.14</v>
      </c>
      <c r="R573" s="91"/>
    </row>
    <row r="574" spans="2:17" ht="12.75">
      <c r="B574" s="68"/>
      <c r="C574" s="83">
        <f aca="true" t="shared" si="201" ref="C574:Q574">C83+C568-C563</f>
        <v>0</v>
      </c>
      <c r="D574" s="83">
        <f t="shared" si="201"/>
        <v>0</v>
      </c>
      <c r="E574" s="83">
        <f t="shared" si="201"/>
        <v>0</v>
      </c>
      <c r="F574" s="83">
        <f t="shared" si="201"/>
        <v>0</v>
      </c>
      <c r="G574" s="83">
        <f t="shared" si="201"/>
        <v>0</v>
      </c>
      <c r="H574" s="91">
        <f t="shared" si="201"/>
        <v>0</v>
      </c>
      <c r="I574" s="91">
        <f t="shared" si="201"/>
        <v>0</v>
      </c>
      <c r="J574" s="91">
        <f t="shared" si="201"/>
        <v>0</v>
      </c>
      <c r="K574" s="91">
        <f t="shared" si="201"/>
        <v>0</v>
      </c>
      <c r="L574" s="91">
        <f t="shared" si="201"/>
        <v>0</v>
      </c>
      <c r="M574" s="91">
        <f t="shared" si="201"/>
        <v>0</v>
      </c>
      <c r="N574" s="91">
        <f t="shared" si="201"/>
        <v>0</v>
      </c>
      <c r="O574" s="91">
        <f t="shared" si="201"/>
        <v>0</v>
      </c>
      <c r="P574" s="91">
        <f t="shared" si="201"/>
        <v>0</v>
      </c>
      <c r="Q574" s="91">
        <f t="shared" si="201"/>
        <v>0</v>
      </c>
    </row>
    <row r="575" spans="2:16" ht="12.75">
      <c r="B575" s="68"/>
      <c r="J575" s="91"/>
      <c r="K575" s="91"/>
      <c r="L575" s="91"/>
      <c r="P575" s="39"/>
    </row>
    <row r="576" spans="2:16" ht="12.75">
      <c r="B576" s="68"/>
      <c r="D576" s="91"/>
      <c r="P576" s="39"/>
    </row>
    <row r="577" spans="2:16" ht="12.75">
      <c r="B577" s="68"/>
      <c r="P577" s="39"/>
    </row>
    <row r="578" spans="2:16" ht="12.75">
      <c r="B578" s="68"/>
      <c r="P578" s="39"/>
    </row>
    <row r="579" spans="2:16" ht="12.75">
      <c r="B579" s="68"/>
      <c r="P579" s="39"/>
    </row>
    <row r="580" spans="2:16" ht="12.75">
      <c r="B580" s="68"/>
      <c r="P580" s="39"/>
    </row>
    <row r="581" spans="2:16" ht="12.75">
      <c r="B581" s="68"/>
      <c r="P581" s="39"/>
    </row>
    <row r="582" spans="2:16" ht="12.75">
      <c r="B582" s="68"/>
      <c r="P582" s="39"/>
    </row>
    <row r="583" spans="2:16" ht="12.75">
      <c r="B583" s="68"/>
      <c r="P583" s="39"/>
    </row>
    <row r="584" spans="2:16" ht="12.75">
      <c r="B584" s="68"/>
      <c r="P584" s="39"/>
    </row>
    <row r="585" spans="2:16" ht="12.75">
      <c r="B585" s="68"/>
      <c r="P585" s="39"/>
    </row>
    <row r="586" spans="2:16" ht="12.75">
      <c r="B586" s="68"/>
      <c r="P586" s="39"/>
    </row>
    <row r="587" spans="2:16" ht="12.75">
      <c r="B587" s="68"/>
      <c r="P587" s="39"/>
    </row>
    <row r="588" spans="2:16" ht="12.75">
      <c r="B588" s="68"/>
      <c r="P588" s="39"/>
    </row>
    <row r="589" spans="2:16" ht="12.75">
      <c r="B589" s="68"/>
      <c r="P589" s="39"/>
    </row>
    <row r="590" spans="2:16" ht="12.75">
      <c r="B590" s="68"/>
      <c r="P590" s="39"/>
    </row>
    <row r="591" spans="2:16" ht="12.75">
      <c r="B591" s="68"/>
      <c r="P591" s="39"/>
    </row>
    <row r="592" spans="2:16" ht="12.75">
      <c r="B592" s="68"/>
      <c r="P592" s="39"/>
    </row>
    <row r="593" spans="2:16" ht="12.75">
      <c r="B593" s="68"/>
      <c r="P593" s="39"/>
    </row>
    <row r="594" ht="12.75">
      <c r="P594" s="39"/>
    </row>
    <row r="595" ht="12.75">
      <c r="P595" s="39"/>
    </row>
    <row r="596" ht="12.75">
      <c r="P596" s="39"/>
    </row>
    <row r="597" ht="12.75">
      <c r="P597" s="39"/>
    </row>
    <row r="598" ht="12.75">
      <c r="P598" s="39"/>
    </row>
    <row r="599" ht="12.75">
      <c r="P599" s="39"/>
    </row>
    <row r="600" ht="12.75">
      <c r="P600" s="39"/>
    </row>
    <row r="601" ht="12.75">
      <c r="P601" s="39"/>
    </row>
    <row r="602" ht="12.75">
      <c r="P602" s="39"/>
    </row>
    <row r="603" ht="12.75">
      <c r="P603" s="39"/>
    </row>
    <row r="604" ht="12.75">
      <c r="P604" s="39"/>
    </row>
    <row r="605" ht="12.75">
      <c r="P605" s="39"/>
    </row>
    <row r="606" ht="12.75">
      <c r="P606" s="39"/>
    </row>
  </sheetData>
  <sheetProtection/>
  <mergeCells count="5">
    <mergeCell ref="A3:Q3"/>
    <mergeCell ref="A4:Q4"/>
    <mergeCell ref="A5:Q5"/>
    <mergeCell ref="A6:Q6"/>
    <mergeCell ref="A8:A9"/>
  </mergeCells>
  <printOptions horizontalCentered="1"/>
  <pageMargins left="0.1968503937007874" right="0.1968503937007874" top="0.7874015748031497" bottom="0.5905511811023623" header="0.3937007874015748" footer="0.3937007874015748"/>
  <pageSetup horizontalDpi="600" verticalDpi="600" orientation="portrait" paperSize="9" scale="78" r:id="rId1"/>
  <headerFooter alignWithMargins="0">
    <oddFooter>&amp;CStránka &amp;P</oddFooter>
  </headerFooter>
  <rowBreaks count="5" manualBreakCount="5">
    <brk id="88" max="16" man="1"/>
    <brk id="207" max="16" man="1"/>
    <brk id="294" max="16" man="1"/>
    <brk id="397" max="16" man="1"/>
    <brk id="49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Volfová Hana Ing.</cp:lastModifiedBy>
  <cp:lastPrinted>2023-04-19T04:51:40Z</cp:lastPrinted>
  <dcterms:created xsi:type="dcterms:W3CDTF">2009-01-05T12:05:07Z</dcterms:created>
  <dcterms:modified xsi:type="dcterms:W3CDTF">2023-04-19T05:00:59Z</dcterms:modified>
  <cp:category/>
  <cp:version/>
  <cp:contentType/>
  <cp:contentStatus/>
</cp:coreProperties>
</file>