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3. ZR" sheetId="1" r:id="rId1"/>
    <sheet name="3. ZR vč.PN" sheetId="2" r:id="rId2"/>
  </sheets>
  <definedNames>
    <definedName name="_xlnm.Print_Titles" localSheetId="0">'3. ZR'!$8:$9</definedName>
    <definedName name="_xlnm.Print_Titles" localSheetId="1">'3. ZR vč.PN'!$8:$9</definedName>
    <definedName name="_xlnm.Print_Area" localSheetId="0">'3. ZR'!$A$1:$L$544</definedName>
    <definedName name="_xlnm.Print_Area" localSheetId="1">'3. ZR vč.PN'!$A$1:$L$544</definedName>
    <definedName name="Z_39FD50E0_9911_4D32_8842_5A58F13D310F_.wvu.Cols" localSheetId="0" hidden="1">'3. ZR'!$D:$K,'3. ZR'!$N:$N,'3. ZR'!#REF!</definedName>
    <definedName name="Z_39FD50E0_9911_4D32_8842_5A58F13D310F_.wvu.Cols" localSheetId="1" hidden="1">'3. ZR vč.PN'!$D:$K,'3. ZR vč.PN'!$N:$N,'3. ZR vč.PN'!#REF!</definedName>
    <definedName name="Z_39FD50E0_9911_4D32_8842_5A58F13D310F_.wvu.PrintTitles" localSheetId="0" hidden="1">'3. ZR'!$8:$9</definedName>
    <definedName name="Z_39FD50E0_9911_4D32_8842_5A58F13D310F_.wvu.PrintTitles" localSheetId="1" hidden="1">'3. ZR vč.PN'!$8:$9</definedName>
    <definedName name="Z_39FD50E0_9911_4D32_8842_5A58F13D310F_.wvu.Rows" localSheetId="0" hidden="1">'3. ZR'!#REF!</definedName>
    <definedName name="Z_39FD50E0_9911_4D32_8842_5A58F13D310F_.wvu.Rows" localSheetId="1" hidden="1">'3. ZR vč.PN'!#REF!</definedName>
  </definedNames>
  <calcPr fullCalcOnLoad="1"/>
</workbook>
</file>

<file path=xl/sharedStrings.xml><?xml version="1.0" encoding="utf-8"?>
<sst xmlns="http://schemas.openxmlformats.org/spreadsheetml/2006/main" count="1162" uniqueCount="360">
  <si>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</si>
  <si>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</si>
  <si>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</si>
  <si>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</si>
  <si>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</si>
  <si>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</si>
  <si>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</si>
  <si>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</si>
  <si>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</si>
  <si>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</si>
  <si>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</si>
  <si>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</si>
  <si>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</si>
  <si>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</si>
  <si>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</si>
  <si>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</si>
  <si>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</si>
  <si>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</si>
  <si>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</si>
  <si>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</si>
  <si>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</si>
  <si>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</si>
  <si>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</si>
  <si>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</si>
  <si>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</si>
  <si>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</si>
  <si>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</si>
  <si>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</si>
  <si>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</si>
  <si>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</si>
  <si>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</si>
  <si>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</si>
  <si>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</si>
  <si>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</si>
  <si>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</si>
  <si>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</si>
  <si>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</si>
  <si>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</si>
  <si>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</si>
  <si>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</si>
  <si>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</si>
  <si>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</si>
  <si>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</si>
  <si>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</si>
  <si>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</si>
  <si>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</si>
  <si>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</si>
  <si>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</si>
  <si>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</si>
  <si>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</si>
  <si>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</si>
  <si>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</si>
  <si>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</si>
  <si>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</si>
  <si>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</si>
  <si>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</si>
  <si>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</si>
  <si>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</si>
  <si>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</si>
  <si>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</si>
  <si>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</si>
  <si>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</si>
  <si>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</si>
  <si>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</si>
  <si>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</si>
  <si>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</si>
  <si>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</si>
  <si>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</si>
  <si>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</si>
  <si>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</si>
  <si>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</si>
  <si>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</si>
  <si>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</si>
  <si>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</si>
  <si>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</si>
  <si>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</si>
  <si>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</si>
  <si>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</si>
  <si>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</si>
  <si>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</si>
  <si>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</si>
  <si>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</si>
  <si>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</si>
  <si>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</si>
  <si>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</si>
  <si>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</si>
  <si>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</si>
  <si>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</si>
  <si>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</si>
  <si>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</si>
  <si>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</si>
  <si>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</si>
  <si>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</si>
  <si>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</si>
  <si>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</si>
  <si>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</si>
  <si>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</si>
  <si>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</si>
  <si>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</si>
  <si>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</si>
  <si>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</si>
  <si>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</si>
  <si>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</si>
  <si>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</si>
  <si>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</si>
  <si>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</si>
  <si>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</si>
  <si>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</si>
  <si>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</si>
  <si>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</si>
  <si>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</si>
  <si>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</si>
  <si>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</si>
  <si>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</si>
  <si>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</si>
  <si>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</si>
  <si>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</si>
  <si>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</si>
  <si>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</si>
  <si>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</si>
  <si>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</si>
  <si>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</si>
  <si>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</si>
  <si>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</si>
  <si>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</si>
  <si>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</si>
  <si>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</si>
  <si>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</si>
  <si>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</si>
  <si>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</si>
  <si>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</si>
  <si>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</si>
  <si>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</si>
  <si>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</si>
  <si>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</si>
  <si>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</si>
  <si>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</si>
  <si>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</si>
  <si>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</si>
  <si>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</si>
  <si>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</si>
  <si>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</si>
  <si>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</si>
  <si>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</si>
  <si>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</si>
  <si>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</si>
  <si>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</si>
  <si>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</si>
  <si>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</si>
  <si>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</si>
  <si>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</si>
  <si>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</si>
  <si>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</si>
  <si>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</si>
  <si>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</si>
  <si>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</si>
  <si>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</si>
  <si>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</si>
  <si>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</si>
  <si>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</si>
  <si>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</si>
  <si>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</si>
  <si>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</si>
  <si>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</si>
  <si>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</si>
  <si>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</si>
  <si>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</si>
  <si>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</si>
  <si>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</si>
  <si>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</si>
  <si>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</si>
  <si>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</si>
  <si>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</si>
  <si>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</si>
  <si>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</si>
  <si>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</si>
  <si>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</si>
  <si>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</si>
  <si>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</si>
  <si>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</si>
  <si>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</si>
  <si>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</si>
  <si>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</si>
  <si>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</si>
  <si>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</si>
  <si>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</si>
  <si>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</si>
  <si>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</si>
  <si>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</si>
  <si>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</si>
  <si>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</si>
  <si>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</si>
  <si>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</si>
  <si>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</si>
  <si>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</si>
  <si>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</si>
  <si>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</si>
  <si>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</si>
  <si>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</si>
  <si>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</si>
  <si>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</si>
  <si>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</si>
  <si>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</si>
  <si>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</si>
  <si>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</si>
  <si>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</si>
  <si>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</si>
  <si>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</si>
  <si>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</si>
  <si>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</si>
  <si>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</si>
  <si>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</si>
  <si>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</si>
  <si>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</si>
  <si>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</si>
  <si>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</si>
  <si>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</si>
  <si>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</si>
  <si>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</si>
  <si>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</si>
  <si>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</si>
  <si>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</si>
  <si>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</si>
  <si>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</si>
  <si>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</si>
  <si>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</si>
  <si>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</si>
  <si>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</si>
  <si>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</si>
  <si>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</si>
  <si>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</si>
  <si>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</si>
  <si>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</si>
  <si>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</si>
  <si>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</si>
  <si>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</si>
  <si>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</si>
  <si>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</si>
  <si>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</si>
  <si>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</si>
  <si>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</si>
  <si>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</si>
  <si>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</si>
  <si>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</si>
  <si>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</si>
  <si>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</si>
  <si>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</si>
  <si>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</si>
  <si>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</si>
  <si>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</si>
  <si>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</si>
  <si>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</si>
  <si>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</si>
  <si>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</si>
  <si>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</si>
  <si>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</si>
  <si>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</si>
  <si>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</si>
  <si>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</si>
  <si>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</si>
  <si>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</si>
  <si>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</si>
  <si>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</si>
  <si>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</si>
  <si>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</si>
  <si>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</si>
  <si>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</si>
  <si>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</si>
  <si>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</si>
  <si>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</si>
  <si>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</si>
  <si>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</si>
  <si>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</si>
  <si>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</si>
  <si>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</si>
  <si>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</si>
  <si>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</si>
  <si>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</si>
  <si>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</si>
  <si>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</si>
  <si>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</si>
  <si>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</si>
  <si>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</si>
  <si>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</si>
  <si>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</si>
  <si>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</si>
  <si>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</si>
  <si>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</si>
  <si>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</si>
  <si>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</si>
  <si>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</si>
  <si>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</si>
  <si>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</si>
  <si>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náhrady za nařízený výkon studentů v soc.sl. v době nouz.stavu-SR</t>
  </si>
  <si>
    <t>NA ROK 2022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</si>
  <si>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</si>
  <si>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</si>
  <si>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</si>
  <si>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</si>
  <si>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</si>
  <si>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</si>
  <si>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</si>
  <si>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VVV - Smart Akcelerátor II. - SR 2021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</si>
  <si>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</si>
  <si>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</si>
  <si>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</si>
  <si>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</si>
  <si>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</si>
  <si>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</si>
  <si>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</si>
  <si>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</si>
  <si>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</si>
  <si>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Krajský akční plán vzdělávání v KHK - SR 2021</t>
  </si>
  <si>
    <t>IKAP rozvoje vzdělávání v KHK II - SR 2021</t>
  </si>
  <si>
    <t>projekt mobility osob v programu Erasmus - SR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</si>
  <si>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</si>
  <si>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</si>
  <si>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</si>
  <si>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</si>
  <si>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</si>
  <si>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</si>
  <si>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</si>
  <si>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</si>
  <si>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</si>
  <si>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</si>
  <si>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</si>
  <si>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</si>
  <si>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</si>
  <si>
    <t xml:space="preserve">             rezerva odvětví</t>
  </si>
  <si>
    <t xml:space="preserve">              PO - investiční transfery</t>
  </si>
  <si>
    <t xml:space="preserve">                    - neinvestiční transfery</t>
  </si>
  <si>
    <t xml:space="preserve">               rezerva neinvestiční a poplatky</t>
  </si>
  <si>
    <t>učební pomůcky pro MŠ - rozvoj informativního myšlení - SR</t>
  </si>
  <si>
    <t>prevence digi propasti - pořízení digit.techn. pro znev.žáky-SR</t>
  </si>
  <si>
    <t>zajištění testování dětí, žáků a studentů ve školách - SR</t>
  </si>
  <si>
    <t>2. technická pomoc pro KHK - SR</t>
  </si>
  <si>
    <t>podpora služeb s nadreg.a celostátní působností - SR</t>
  </si>
  <si>
    <t>regionální stálá konference III. - SR</t>
  </si>
  <si>
    <t>Interreg VA ČR-PL - Kompetence 4.0. - SR</t>
  </si>
  <si>
    <t>výkon sociální práce 2022</t>
  </si>
  <si>
    <t xml:space="preserve">OP Z Služby soc.prevence v KHK VI - SR  </t>
  </si>
  <si>
    <t>učební pomůcky pro ZŠ a Gymnázia  - rozvoj informat. myšlení - SR</t>
  </si>
  <si>
    <t xml:space="preserve">OP Z Rozvoj dostup.a kvality soc.sl.v KHK VII - SR </t>
  </si>
  <si>
    <t xml:space="preserve">Nová zelená úsporám - AMO - SR </t>
  </si>
  <si>
    <t xml:space="preserve">Krajský akční plán vzdělávání v KHK II - SR </t>
  </si>
  <si>
    <t>příprava a realizace obnovitelných zdrojů energie</t>
  </si>
  <si>
    <t>Výměna kotlů pro nízkopříjmové domácnosti v KHK - SR</t>
  </si>
  <si>
    <t>OPZ - Agentura pro sociální začleňování jako inovační aktér - SR</t>
  </si>
  <si>
    <t xml:space="preserve">OPZ - Rozvoj systému hospodaření s energií v KHK - SR </t>
  </si>
  <si>
    <t>standardizované veřejné služby muzeí a galerií - SR</t>
  </si>
  <si>
    <t>podpora vých.vzdělávacích aktivit v muzejnictví - SR</t>
  </si>
  <si>
    <t>integrovaný systém ochrany mov.kult.dědictví - SR</t>
  </si>
  <si>
    <t xml:space="preserve">IKAP rozvoje vzdělávání v KHK II - SR </t>
  </si>
  <si>
    <t>jednotný inform.systém v let.záchr.službě - pro ZZS KHK - SR</t>
  </si>
  <si>
    <t xml:space="preserve">  z MZE</t>
  </si>
  <si>
    <t>obnova a zajištění lesních porostů - ČLA Trutnov - SR</t>
  </si>
  <si>
    <t>podpora expozičních a výstavních projektů - SR</t>
  </si>
  <si>
    <t>kompenzační příspěvek - ubytování osob z Ukrajiny - SR</t>
  </si>
  <si>
    <t xml:space="preserve">ostatní kapitálové výdaje </t>
  </si>
  <si>
    <t>1707x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</si>
</sst>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7" fillId="0" borderId="0" applyNumberFormat="0" applyFill="0" applyBorder="0" applyAlignment="0" applyProtection="0"/>
    <xf numFmtId="0" fontId="38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3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29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8" fontId="0" fillId="0" borderId="10" xfId="38" applyNumberFormat="1" applyFont="1" applyBorder="1" applyAlignment="1">
      <alignment/>
    </xf>
    <xf numFmtId="168" fontId="4" fillId="0" borderId="10" xfId="38" applyNumberFormat="1" applyFont="1" applyBorder="1" applyAlignment="1">
      <alignment/>
    </xf>
    <xf numFmtId="168" fontId="0" fillId="0" borderId="11" xfId="38" applyNumberFormat="1" applyFont="1" applyBorder="1" applyAlignment="1">
      <alignment/>
    </xf>
    <xf numFmtId="168" fontId="2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168" fontId="8" fillId="0" borderId="12" xfId="38" applyNumberFormat="1" applyFont="1" applyBorder="1" applyAlignment="1">
      <alignment vertical="center"/>
    </xf>
    <xf numFmtId="168" fontId="2" fillId="0" borderId="13" xfId="38" applyNumberFormat="1" applyFont="1" applyBorder="1" applyAlignment="1">
      <alignment vertical="center"/>
    </xf>
    <xf numFmtId="168" fontId="8" fillId="0" borderId="13" xfId="38" applyNumberFormat="1" applyFont="1" applyBorder="1" applyAlignment="1">
      <alignment vertical="center"/>
    </xf>
    <xf numFmtId="167" fontId="4" fillId="0" borderId="14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3" xfId="38" applyNumberFormat="1" applyFont="1" applyBorder="1" applyAlignment="1">
      <alignment/>
    </xf>
    <xf numFmtId="168" fontId="0" fillId="0" borderId="17" xfId="38" applyNumberFormat="1" applyFont="1" applyBorder="1" applyAlignment="1">
      <alignment/>
    </xf>
    <xf numFmtId="168" fontId="4" fillId="0" borderId="13" xfId="38" applyNumberFormat="1" applyFont="1" applyBorder="1" applyAlignment="1">
      <alignment/>
    </xf>
    <xf numFmtId="168" fontId="4" fillId="0" borderId="17" xfId="38" applyNumberFormat="1" applyFont="1" applyBorder="1" applyAlignment="1">
      <alignment/>
    </xf>
    <xf numFmtId="168" fontId="0" fillId="0" borderId="18" xfId="38" applyNumberFormat="1" applyFont="1" applyBorder="1" applyAlignment="1">
      <alignment/>
    </xf>
    <xf numFmtId="168" fontId="0" fillId="0" borderId="19" xfId="38" applyNumberFormat="1" applyFont="1" applyBorder="1" applyAlignment="1">
      <alignment/>
    </xf>
    <xf numFmtId="168" fontId="4" fillId="0" borderId="20" xfId="38" applyNumberFormat="1" applyFont="1" applyBorder="1" applyAlignment="1">
      <alignment/>
    </xf>
    <xf numFmtId="167" fontId="4" fillId="0" borderId="13" xfId="38" applyNumberFormat="1" applyFont="1" applyBorder="1" applyAlignment="1">
      <alignment horizontal="center"/>
    </xf>
    <xf numFmtId="168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7" fontId="4" fillId="0" borderId="17" xfId="38" applyNumberFormat="1" applyFont="1" applyBorder="1" applyAlignment="1">
      <alignment horizontal="center"/>
    </xf>
    <xf numFmtId="167" fontId="4" fillId="0" borderId="26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27" xfId="38" applyNumberFormat="1" applyFont="1" applyBorder="1" applyAlignment="1">
      <alignment horizontal="center"/>
    </xf>
    <xf numFmtId="168" fontId="8" fillId="0" borderId="17" xfId="38" applyNumberFormat="1" applyFont="1" applyBorder="1" applyAlignment="1">
      <alignment vertical="center"/>
    </xf>
    <xf numFmtId="3" fontId="53" fillId="0" borderId="0" xfId="0" applyFont="1" applyAlignment="1">
      <alignment/>
    </xf>
    <xf numFmtId="168" fontId="8" fillId="0" borderId="27" xfId="38" applyNumberFormat="1" applyFont="1" applyBorder="1" applyAlignment="1">
      <alignment vertical="center"/>
    </xf>
    <xf numFmtId="169" fontId="0" fillId="0" borderId="0" xfId="0" applyNumberFormat="1" applyAlignment="1">
      <alignment/>
    </xf>
    <xf numFmtId="168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3" fontId="54" fillId="0" borderId="0" xfId="0" applyFont="1" applyAlignment="1">
      <alignment/>
    </xf>
    <xf numFmtId="3" fontId="7" fillId="0" borderId="28" xfId="0" applyFont="1" applyBorder="1" applyAlignment="1">
      <alignment/>
    </xf>
    <xf numFmtId="167" fontId="4" fillId="0" borderId="29" xfId="38" applyNumberFormat="1" applyFont="1" applyBorder="1" applyAlignment="1">
      <alignment horizontal="center"/>
    </xf>
    <xf numFmtId="167" fontId="4" fillId="0" borderId="30" xfId="38" applyNumberFormat="1" applyFont="1" applyBorder="1" applyAlignment="1">
      <alignment horizontal="center"/>
    </xf>
    <xf numFmtId="168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9" fontId="0" fillId="0" borderId="20" xfId="0" applyNumberFormat="1" applyBorder="1" applyAlignment="1">
      <alignment/>
    </xf>
    <xf numFmtId="169" fontId="0" fillId="0" borderId="30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4" fillId="0" borderId="13" xfId="38" applyNumberFormat="1" applyFon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31" xfId="0" applyNumberFormat="1" applyBorder="1" applyAlignment="1">
      <alignment/>
    </xf>
    <xf numFmtId="169" fontId="0" fillId="33" borderId="13" xfId="0" applyNumberFormat="1" applyFill="1" applyBorder="1" applyAlignment="1">
      <alignment/>
    </xf>
    <xf numFmtId="168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3" xfId="38" applyNumberFormat="1" applyFont="1" applyBorder="1" applyAlignment="1">
      <alignment/>
    </xf>
    <xf numFmtId="176" fontId="4" fillId="0" borderId="13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6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1" xfId="38" applyNumberFormat="1" applyFont="1" applyBorder="1" applyAlignment="1">
      <alignment/>
    </xf>
    <xf numFmtId="176" fontId="6" fillId="0" borderId="13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35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68" fontId="0" fillId="0" borderId="36" xfId="38" applyNumberFormat="1" applyFont="1" applyBorder="1" applyAlignment="1">
      <alignment/>
    </xf>
    <xf numFmtId="168" fontId="4" fillId="0" borderId="0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167" fontId="53" fillId="0" borderId="0" xfId="0" applyNumberFormat="1" applyFont="1" applyAlignment="1">
      <alignment horizontal="center" vertical="center"/>
    </xf>
    <xf numFmtId="176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6" fontId="0" fillId="0" borderId="12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6" fontId="3" fillId="0" borderId="37" xfId="38" applyNumberFormat="1" applyFont="1" applyBorder="1" applyAlignment="1">
      <alignment vertical="center"/>
    </xf>
    <xf numFmtId="169" fontId="0" fillId="0" borderId="36" xfId="0" applyNumberFormat="1" applyBorder="1" applyAlignment="1">
      <alignment/>
    </xf>
    <xf numFmtId="176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12" xfId="38" applyNumberFormat="1" applyFont="1" applyBorder="1" applyAlignment="1">
      <alignment vertical="center"/>
    </xf>
    <xf numFmtId="176" fontId="4" fillId="0" borderId="20" xfId="38" applyNumberFormat="1" applyFont="1" applyBorder="1" applyAlignment="1">
      <alignment/>
    </xf>
    <xf numFmtId="176" fontId="4" fillId="0" borderId="37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28" xfId="38" applyNumberFormat="1" applyFont="1" applyBorder="1" applyAlignment="1">
      <alignment vertical="center"/>
    </xf>
    <xf numFmtId="176" fontId="3" fillId="0" borderId="33" xfId="38" applyNumberFormat="1" applyFont="1" applyBorder="1" applyAlignment="1">
      <alignment vertical="center"/>
    </xf>
    <xf numFmtId="176" fontId="4" fillId="0" borderId="33" xfId="38" applyNumberFormat="1" applyFont="1" applyBorder="1" applyAlignment="1">
      <alignment vertical="center"/>
    </xf>
    <xf numFmtId="167" fontId="4" fillId="0" borderId="38" xfId="38" applyNumberFormat="1" applyFont="1" applyBorder="1" applyAlignment="1">
      <alignment horizontal="center"/>
    </xf>
    <xf numFmtId="167" fontId="4" fillId="0" borderId="39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168" fontId="0" fillId="0" borderId="28" xfId="38" applyNumberFormat="1" applyFont="1" applyFill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3" fontId="0" fillId="0" borderId="23" xfId="0" applyBorder="1" applyAlignment="1">
      <alignment/>
    </xf>
    <xf numFmtId="176" fontId="0" fillId="0" borderId="35" xfId="38" applyNumberFormat="1" applyFont="1" applyBorder="1" applyAlignment="1">
      <alignment vertical="center"/>
    </xf>
    <xf numFmtId="3" fontId="0" fillId="0" borderId="34" xfId="0" applyFont="1" applyBorder="1" applyAlignment="1">
      <alignment/>
    </xf>
    <xf numFmtId="176" fontId="4" fillId="0" borderId="21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6" fontId="4" fillId="0" borderId="21" xfId="38" applyNumberFormat="1" applyFont="1" applyBorder="1" applyAlignment="1">
      <alignment/>
    </xf>
    <xf numFmtId="176" fontId="2" fillId="0" borderId="23" xfId="38" applyNumberFormat="1" applyFont="1" applyBorder="1" applyAlignment="1">
      <alignment vertical="center"/>
    </xf>
    <xf numFmtId="176" fontId="6" fillId="0" borderId="21" xfId="38" applyNumberFormat="1" applyFont="1" applyBorder="1" applyAlignment="1">
      <alignment/>
    </xf>
    <xf numFmtId="176" fontId="6" fillId="0" borderId="21" xfId="38" applyNumberFormat="1" applyFont="1" applyBorder="1" applyAlignment="1">
      <alignment/>
    </xf>
    <xf numFmtId="176" fontId="0" fillId="0" borderId="21" xfId="38" applyNumberFormat="1" applyFont="1" applyFill="1" applyBorder="1" applyAlignment="1">
      <alignment/>
    </xf>
    <xf numFmtId="176" fontId="3" fillId="0" borderId="24" xfId="38" applyNumberFormat="1" applyFont="1" applyBorder="1" applyAlignment="1">
      <alignment vertical="center"/>
    </xf>
    <xf numFmtId="176" fontId="4" fillId="0" borderId="24" xfId="38" applyNumberFormat="1" applyFont="1" applyBorder="1" applyAlignment="1">
      <alignment vertical="center"/>
    </xf>
    <xf numFmtId="176" fontId="2" fillId="0" borderId="24" xfId="38" applyNumberFormat="1" applyFont="1" applyBorder="1" applyAlignment="1">
      <alignment vertical="center"/>
    </xf>
    <xf numFmtId="176" fontId="3" fillId="0" borderId="25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3" fillId="0" borderId="23" xfId="38" applyNumberFormat="1" applyFont="1" applyBorder="1" applyAlignment="1">
      <alignment vertical="center"/>
    </xf>
    <xf numFmtId="176" fontId="2" fillId="0" borderId="25" xfId="38" applyNumberFormat="1" applyFont="1" applyBorder="1" applyAlignment="1">
      <alignment vertical="center"/>
    </xf>
    <xf numFmtId="168" fontId="4" fillId="0" borderId="36" xfId="38" applyNumberFormat="1" applyFont="1" applyBorder="1" applyAlignment="1">
      <alignment/>
    </xf>
    <xf numFmtId="169" fontId="0" fillId="0" borderId="28" xfId="0" applyNumberFormat="1" applyBorder="1" applyAlignment="1">
      <alignment/>
    </xf>
    <xf numFmtId="176" fontId="0" fillId="0" borderId="40" xfId="38" applyNumberFormat="1" applyFont="1" applyBorder="1" applyAlignment="1">
      <alignment vertical="center"/>
    </xf>
    <xf numFmtId="3" fontId="0" fillId="0" borderId="22" xfId="0" applyFont="1" applyBorder="1" applyAlignment="1">
      <alignment/>
    </xf>
    <xf numFmtId="3" fontId="12" fillId="0" borderId="34" xfId="0" applyFont="1" applyBorder="1" applyAlignment="1">
      <alignment horizontal="center"/>
    </xf>
    <xf numFmtId="3" fontId="0" fillId="0" borderId="21" xfId="0" applyFill="1" applyBorder="1" applyAlignment="1">
      <alignment/>
    </xf>
    <xf numFmtId="3" fontId="0" fillId="0" borderId="0" xfId="0" applyFill="1" applyAlignment="1">
      <alignment/>
    </xf>
    <xf numFmtId="167" fontId="54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0" fillId="0" borderId="11" xfId="38" applyNumberFormat="1" applyFont="1" applyFill="1" applyBorder="1" applyAlignment="1">
      <alignment/>
    </xf>
    <xf numFmtId="176" fontId="0" fillId="0" borderId="17" xfId="38" applyNumberFormat="1" applyFont="1" applyBorder="1" applyAlignment="1">
      <alignment/>
    </xf>
    <xf numFmtId="176" fontId="0" fillId="0" borderId="18" xfId="38" applyNumberFormat="1" applyFont="1" applyBorder="1" applyAlignment="1">
      <alignment/>
    </xf>
    <xf numFmtId="176" fontId="0" fillId="0" borderId="13" xfId="38" applyNumberFormat="1" applyFont="1" applyFill="1" applyBorder="1" applyAlignment="1">
      <alignment/>
    </xf>
    <xf numFmtId="176" fontId="0" fillId="0" borderId="26" xfId="38" applyNumberFormat="1" applyFont="1" applyBorder="1" applyAlignment="1">
      <alignment/>
    </xf>
    <xf numFmtId="176" fontId="0" fillId="0" borderId="18" xfId="38" applyNumberFormat="1" applyFont="1" applyFill="1" applyBorder="1" applyAlignment="1">
      <alignment/>
    </xf>
    <xf numFmtId="176" fontId="11" fillId="0" borderId="11" xfId="38" applyNumberFormat="1" applyFont="1" applyBorder="1" applyAlignment="1">
      <alignment/>
    </xf>
    <xf numFmtId="176" fontId="3" fillId="0" borderId="41" xfId="38" applyNumberFormat="1" applyFont="1" applyBorder="1" applyAlignment="1">
      <alignment vertical="center"/>
    </xf>
    <xf numFmtId="176" fontId="4" fillId="0" borderId="41" xfId="38" applyNumberFormat="1" applyFont="1" applyBorder="1" applyAlignment="1">
      <alignment vertical="center"/>
    </xf>
    <xf numFmtId="176" fontId="4" fillId="0" borderId="35" xfId="38" applyNumberFormat="1" applyFont="1" applyBorder="1" applyAlignment="1">
      <alignment vertical="center"/>
    </xf>
    <xf numFmtId="176" fontId="2" fillId="0" borderId="41" xfId="38" applyNumberFormat="1" applyFont="1" applyBorder="1" applyAlignment="1">
      <alignment vertical="center"/>
    </xf>
    <xf numFmtId="176" fontId="2" fillId="0" borderId="35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13" xfId="38" applyNumberFormat="1" applyFont="1" applyBorder="1" applyAlignment="1">
      <alignment vertical="center"/>
    </xf>
    <xf numFmtId="176" fontId="3" fillId="0" borderId="26" xfId="38" applyNumberFormat="1" applyFont="1" applyBorder="1" applyAlignment="1">
      <alignment vertical="center"/>
    </xf>
    <xf numFmtId="176" fontId="2" fillId="0" borderId="13" xfId="38" applyNumberFormat="1" applyFont="1" applyBorder="1" applyAlignment="1">
      <alignment vertical="center"/>
    </xf>
    <xf numFmtId="176" fontId="0" fillId="0" borderId="13" xfId="38" applyNumberFormat="1" applyFont="1" applyBorder="1" applyAlignment="1">
      <alignment vertical="center"/>
    </xf>
    <xf numFmtId="176" fontId="0" fillId="0" borderId="18" xfId="38" applyNumberFormat="1" applyFont="1" applyBorder="1" applyAlignment="1">
      <alignment/>
    </xf>
    <xf numFmtId="167" fontId="4" fillId="0" borderId="42" xfId="38" applyNumberFormat="1" applyFont="1" applyBorder="1" applyAlignment="1">
      <alignment horizontal="center"/>
    </xf>
    <xf numFmtId="167" fontId="4" fillId="0" borderId="43" xfId="38" applyNumberFormat="1" applyFont="1" applyBorder="1" applyAlignment="1">
      <alignment horizontal="center"/>
    </xf>
    <xf numFmtId="167" fontId="4" fillId="0" borderId="44" xfId="38" applyNumberFormat="1" applyFont="1" applyBorder="1" applyAlignment="1">
      <alignment horizontal="center"/>
    </xf>
    <xf numFmtId="176" fontId="4" fillId="0" borderId="44" xfId="38" applyNumberFormat="1" applyFont="1" applyBorder="1" applyAlignment="1">
      <alignment/>
    </xf>
    <xf numFmtId="176" fontId="0" fillId="0" borderId="44" xfId="38" applyNumberFormat="1" applyFont="1" applyBorder="1" applyAlignment="1">
      <alignment/>
    </xf>
    <xf numFmtId="176" fontId="4" fillId="0" borderId="44" xfId="38" applyNumberFormat="1" applyFont="1" applyBorder="1" applyAlignment="1">
      <alignment/>
    </xf>
    <xf numFmtId="176" fontId="2" fillId="0" borderId="43" xfId="38" applyNumberFormat="1" applyFont="1" applyBorder="1" applyAlignment="1">
      <alignment vertical="center"/>
    </xf>
    <xf numFmtId="176" fontId="6" fillId="0" borderId="44" xfId="38" applyNumberFormat="1" applyFont="1" applyBorder="1" applyAlignment="1">
      <alignment/>
    </xf>
    <xf numFmtId="176" fontId="6" fillId="0" borderId="44" xfId="38" applyNumberFormat="1" applyFont="1" applyBorder="1" applyAlignment="1">
      <alignment/>
    </xf>
    <xf numFmtId="176" fontId="0" fillId="0" borderId="45" xfId="38" applyNumberFormat="1" applyFont="1" applyBorder="1" applyAlignment="1">
      <alignment/>
    </xf>
    <xf numFmtId="176" fontId="0" fillId="0" borderId="43" xfId="38" applyNumberFormat="1" applyFont="1" applyBorder="1" applyAlignment="1">
      <alignment/>
    </xf>
    <xf numFmtId="176" fontId="0" fillId="0" borderId="44" xfId="38" applyNumberFormat="1" applyFont="1" applyFill="1" applyBorder="1" applyAlignment="1">
      <alignment/>
    </xf>
    <xf numFmtId="176" fontId="3" fillId="0" borderId="46" xfId="38" applyNumberFormat="1" applyFont="1" applyBorder="1" applyAlignment="1">
      <alignment vertical="center"/>
    </xf>
    <xf numFmtId="176" fontId="4" fillId="0" borderId="46" xfId="38" applyNumberFormat="1" applyFont="1" applyBorder="1" applyAlignment="1">
      <alignment/>
    </xf>
    <xf numFmtId="176" fontId="2" fillId="0" borderId="46" xfId="38" applyNumberFormat="1" applyFont="1" applyBorder="1" applyAlignment="1">
      <alignment vertical="center"/>
    </xf>
    <xf numFmtId="176" fontId="3" fillId="0" borderId="42" xfId="38" applyNumberFormat="1" applyFont="1" applyBorder="1" applyAlignment="1">
      <alignment vertical="center"/>
    </xf>
    <xf numFmtId="176" fontId="3" fillId="0" borderId="44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8" fillId="0" borderId="44" xfId="38" applyNumberFormat="1" applyFont="1" applyBorder="1" applyAlignment="1">
      <alignment vertical="center"/>
    </xf>
    <xf numFmtId="176" fontId="0" fillId="0" borderId="44" xfId="38" applyNumberFormat="1" applyFont="1" applyBorder="1" applyAlignment="1">
      <alignment vertical="center"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2" fillId="0" borderId="39" xfId="38" applyNumberFormat="1" applyFont="1" applyBorder="1" applyAlignment="1">
      <alignment vertical="center"/>
    </xf>
    <xf numFmtId="4" fontId="2" fillId="0" borderId="27" xfId="38" applyNumberFormat="1" applyFont="1" applyBorder="1" applyAlignment="1">
      <alignment vertical="center"/>
    </xf>
    <xf numFmtId="4" fontId="6" fillId="0" borderId="17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4" fillId="0" borderId="47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3" fillId="0" borderId="48" xfId="38" applyNumberFormat="1" applyFont="1" applyBorder="1" applyAlignment="1">
      <alignment vertical="center"/>
    </xf>
    <xf numFmtId="4" fontId="2" fillId="0" borderId="48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33" xfId="38" applyNumberFormat="1" applyFont="1" applyBorder="1" applyAlignment="1">
      <alignment vertical="center"/>
    </xf>
    <xf numFmtId="4" fontId="0" fillId="0" borderId="43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 vertical="center"/>
    </xf>
    <xf numFmtId="4" fontId="4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" fontId="4" fillId="0" borderId="50" xfId="38" applyNumberFormat="1" applyFon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3" fillId="0" borderId="51" xfId="38" applyNumberFormat="1" applyFont="1" applyBorder="1" applyAlignment="1">
      <alignment vertical="center"/>
    </xf>
    <xf numFmtId="4" fontId="4" fillId="0" borderId="51" xfId="38" applyNumberFormat="1" applyFont="1" applyBorder="1" applyAlignment="1">
      <alignment vertical="center"/>
    </xf>
    <xf numFmtId="4" fontId="2" fillId="0" borderId="51" xfId="38" applyNumberFormat="1" applyFont="1" applyBorder="1" applyAlignment="1">
      <alignment vertical="center"/>
    </xf>
    <xf numFmtId="4" fontId="3" fillId="0" borderId="38" xfId="38" applyNumberFormat="1" applyFont="1" applyBorder="1" applyAlignment="1">
      <alignment vertical="center"/>
    </xf>
    <xf numFmtId="4" fontId="3" fillId="0" borderId="0" xfId="38" applyNumberFormat="1" applyFont="1" applyBorder="1" applyAlignment="1">
      <alignment vertical="center"/>
    </xf>
    <xf numFmtId="4" fontId="3" fillId="0" borderId="39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4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4" fillId="0" borderId="52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3" fillId="0" borderId="41" xfId="38" applyNumberFormat="1" applyFont="1" applyBorder="1" applyAlignment="1">
      <alignment vertical="center"/>
    </xf>
    <xf numFmtId="4" fontId="4" fillId="0" borderId="41" xfId="38" applyNumberFormat="1" applyFont="1" applyBorder="1" applyAlignment="1">
      <alignment vertical="center"/>
    </xf>
    <xf numFmtId="4" fontId="2" fillId="0" borderId="4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3" fontId="7" fillId="0" borderId="21" xfId="0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3" fontId="7" fillId="0" borderId="28" xfId="0" applyFont="1" applyBorder="1" applyAlignment="1">
      <alignment horizontal="center"/>
    </xf>
    <xf numFmtId="3" fontId="7" fillId="0" borderId="28" xfId="0" applyFont="1" applyBorder="1" applyAlignment="1">
      <alignment horizontal="center" vertical="center"/>
    </xf>
    <xf numFmtId="4" fontId="0" fillId="0" borderId="13" xfId="38" applyNumberFormat="1" applyFont="1" applyBorder="1" applyAlignment="1">
      <alignment vertical="center"/>
    </xf>
    <xf numFmtId="4" fontId="0" fillId="0" borderId="0" xfId="38" applyNumberFormat="1" applyFont="1" applyBorder="1" applyAlignment="1">
      <alignment vertical="center"/>
    </xf>
    <xf numFmtId="176" fontId="0" fillId="0" borderId="27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4" fillId="0" borderId="53" xfId="38" applyNumberFormat="1" applyFont="1" applyBorder="1" applyAlignment="1">
      <alignment/>
    </xf>
    <xf numFmtId="4" fontId="4" fillId="0" borderId="47" xfId="38" applyNumberFormat="1" applyFont="1" applyBorder="1" applyAlignment="1">
      <alignment/>
    </xf>
    <xf numFmtId="4" fontId="3" fillId="0" borderId="35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0" fillId="0" borderId="18" xfId="38" applyNumberFormat="1" applyFont="1" applyFill="1" applyBorder="1" applyAlignment="1">
      <alignment/>
    </xf>
    <xf numFmtId="176" fontId="4" fillId="0" borderId="28" xfId="38" applyNumberFormat="1" applyFont="1" applyFill="1" applyBorder="1" applyAlignment="1">
      <alignment/>
    </xf>
    <xf numFmtId="4" fontId="0" fillId="0" borderId="26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4" fontId="0" fillId="0" borderId="26" xfId="38" applyNumberFormat="1" applyFont="1" applyBorder="1" applyAlignment="1">
      <alignment/>
    </xf>
    <xf numFmtId="4" fontId="0" fillId="0" borderId="39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Font="1" applyBorder="1" applyAlignment="1">
      <alignment/>
    </xf>
    <xf numFmtId="176" fontId="4" fillId="0" borderId="26" xfId="38" applyNumberFormat="1" applyFont="1" applyBorder="1" applyAlignment="1">
      <alignment/>
    </xf>
    <xf numFmtId="176" fontId="4" fillId="0" borderId="12" xfId="38" applyNumberFormat="1" applyFont="1" applyBorder="1" applyAlignment="1">
      <alignment/>
    </xf>
    <xf numFmtId="4" fontId="4" fillId="0" borderId="26" xfId="38" applyNumberFormat="1" applyFont="1" applyBorder="1" applyAlignment="1">
      <alignment/>
    </xf>
    <xf numFmtId="4" fontId="4" fillId="0" borderId="39" xfId="38" applyNumberFormat="1" applyFont="1" applyBorder="1" applyAlignment="1">
      <alignment/>
    </xf>
    <xf numFmtId="4" fontId="4" fillId="0" borderId="12" xfId="38" applyNumberFormat="1" applyFont="1" applyBorder="1" applyAlignment="1">
      <alignment/>
    </xf>
    <xf numFmtId="176" fontId="13" fillId="0" borderId="28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7"/>
  <sheetViews>
    <sheetView zoomScale="110" zoomScaleNormal="110" zoomScaleSheetLayoutView="69" zoomScalePageLayoutView="0" workbookViewId="0" topLeftCell="A1">
      <pane xSplit="1" ySplit="9" topLeftCell="C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45" sqref="R45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hidden="1" customWidth="1"/>
    <col min="7" max="7" width="15.125" style="0" hidden="1" customWidth="1"/>
    <col min="8" max="8" width="12.75390625" style="0" hidden="1" customWidth="1"/>
    <col min="9" max="9" width="16.00390625" style="0" customWidth="1"/>
    <col min="10" max="10" width="13.75390625" style="0" customWidth="1"/>
    <col min="11" max="11" width="13.75390625" style="0" hidden="1" customWidth="1"/>
    <col min="12" max="12" width="16.25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21.00390625" style="0" customWidth="1"/>
  </cols>
  <sheetData>
    <row r="1" spans="3:17" ht="12.75">
      <c r="C1" s="1"/>
      <c r="D1" s="1"/>
      <c r="E1" s="1"/>
      <c r="F1" s="2"/>
      <c r="I1" s="2"/>
      <c r="L1" s="2" t="s">
        <v>125</v>
      </c>
      <c r="O1" s="2"/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22" t="s">
        <v>225</v>
      </c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15.75">
      <c r="A4" s="324" t="s">
        <v>294</v>
      </c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5">
      <c r="A5" s="325" t="s">
        <v>0</v>
      </c>
      <c r="B5" s="325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>
      <c r="A6" s="326" t="s">
        <v>1</v>
      </c>
      <c r="B6" s="326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3" ht="18" customHeight="1" thickBot="1">
      <c r="A7" s="3"/>
      <c r="B7" s="3"/>
      <c r="C7" s="181"/>
      <c r="D7" s="128"/>
      <c r="E7" s="4"/>
      <c r="F7" s="4"/>
      <c r="J7" s="65"/>
      <c r="M7" s="60"/>
    </row>
    <row r="8" spans="1:17" ht="12.75">
      <c r="A8" s="327" t="s">
        <v>2</v>
      </c>
      <c r="B8" s="81" t="s">
        <v>212</v>
      </c>
      <c r="C8" s="15" t="s">
        <v>3</v>
      </c>
      <c r="D8" s="16" t="s">
        <v>4</v>
      </c>
      <c r="E8" s="16" t="s">
        <v>5</v>
      </c>
      <c r="F8" s="202" t="s">
        <v>6</v>
      </c>
      <c r="G8" s="15" t="s">
        <v>7</v>
      </c>
      <c r="H8" s="150" t="s">
        <v>5</v>
      </c>
      <c r="I8" s="17" t="s">
        <v>6</v>
      </c>
      <c r="J8" s="15" t="s">
        <v>8</v>
      </c>
      <c r="K8" s="16" t="s">
        <v>5</v>
      </c>
      <c r="L8" s="17" t="s">
        <v>6</v>
      </c>
      <c r="M8" s="15" t="s">
        <v>9</v>
      </c>
      <c r="N8" s="16" t="s">
        <v>5</v>
      </c>
      <c r="O8" s="17" t="s">
        <v>6</v>
      </c>
      <c r="P8" s="15" t="s">
        <v>147</v>
      </c>
      <c r="Q8" s="67" t="s">
        <v>6</v>
      </c>
    </row>
    <row r="9" spans="1:17" ht="13.5" thickBot="1">
      <c r="A9" s="328"/>
      <c r="B9" s="139" t="s">
        <v>162</v>
      </c>
      <c r="C9" s="56" t="s">
        <v>10</v>
      </c>
      <c r="D9" s="57" t="s">
        <v>11</v>
      </c>
      <c r="E9" s="57" t="s">
        <v>12</v>
      </c>
      <c r="F9" s="203" t="s">
        <v>13</v>
      </c>
      <c r="G9" s="56" t="s">
        <v>11</v>
      </c>
      <c r="H9" s="151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58" t="s">
        <v>16</v>
      </c>
      <c r="P9" s="56" t="s">
        <v>11</v>
      </c>
      <c r="Q9" s="68" t="s">
        <v>148</v>
      </c>
    </row>
    <row r="10" spans="1:17" ht="15.75" customHeight="1">
      <c r="A10" s="54" t="s">
        <v>17</v>
      </c>
      <c r="B10" s="82"/>
      <c r="C10" s="27"/>
      <c r="D10" s="5"/>
      <c r="E10" s="5"/>
      <c r="F10" s="204"/>
      <c r="G10" s="27"/>
      <c r="H10" s="152"/>
      <c r="I10" s="55"/>
      <c r="J10" s="27"/>
      <c r="K10" s="5"/>
      <c r="L10" s="55"/>
      <c r="M10" s="27"/>
      <c r="N10" s="5"/>
      <c r="O10" s="55"/>
      <c r="P10" s="70"/>
      <c r="Q10" s="71"/>
    </row>
    <row r="11" spans="1:17" ht="12.75">
      <c r="A11" s="29" t="s">
        <v>202</v>
      </c>
      <c r="B11" s="83"/>
      <c r="C11" s="105">
        <f>C13+C14+C15+C16</f>
        <v>4735000</v>
      </c>
      <c r="D11" s="106">
        <f>D13+D14+D15+D16</f>
        <v>32523.22</v>
      </c>
      <c r="E11" s="106">
        <f>E13+E14+E15</f>
        <v>0</v>
      </c>
      <c r="F11" s="205">
        <f>F13+F14+F15+F16</f>
        <v>4767523.22</v>
      </c>
      <c r="G11" s="232">
        <f>G13+G14+G15+G16</f>
        <v>227213.25</v>
      </c>
      <c r="H11" s="248">
        <f aca="true" t="shared" si="0" ref="H11:Q11">H13+H14+H15</f>
        <v>26510.17</v>
      </c>
      <c r="I11" s="222">
        <f>I13+I14+I15+I16</f>
        <v>5021246.64</v>
      </c>
      <c r="J11" s="232">
        <f>J13+J14+J15+J16</f>
        <v>445354.08</v>
      </c>
      <c r="K11" s="285">
        <f>K13+K14+K15+K16</f>
        <v>0</v>
      </c>
      <c r="L11" s="222">
        <f>L13+L14+L15+L16</f>
        <v>5466600.72</v>
      </c>
      <c r="M11" s="137">
        <f t="shared" si="0"/>
        <v>0</v>
      </c>
      <c r="N11" s="137">
        <f t="shared" si="0"/>
        <v>0</v>
      </c>
      <c r="O11" s="137">
        <f t="shared" si="0"/>
        <v>32523.22</v>
      </c>
      <c r="P11" s="137">
        <f t="shared" si="0"/>
        <v>0</v>
      </c>
      <c r="Q11" s="143">
        <f t="shared" si="0"/>
        <v>32523.22</v>
      </c>
    </row>
    <row r="12" spans="1:17" ht="12.75">
      <c r="A12" s="30" t="s">
        <v>18</v>
      </c>
      <c r="B12" s="84"/>
      <c r="C12" s="105"/>
      <c r="D12" s="106"/>
      <c r="E12" s="106"/>
      <c r="F12" s="205"/>
      <c r="G12" s="232"/>
      <c r="H12" s="248"/>
      <c r="I12" s="222"/>
      <c r="J12" s="232"/>
      <c r="K12" s="285"/>
      <c r="L12" s="222"/>
      <c r="M12" s="18"/>
      <c r="N12" s="6"/>
      <c r="O12" s="19"/>
      <c r="P12" s="74"/>
      <c r="Q12" s="72"/>
    </row>
    <row r="13" spans="1:17" ht="12.75">
      <c r="A13" s="92" t="s">
        <v>209</v>
      </c>
      <c r="B13" s="84"/>
      <c r="C13" s="108">
        <v>4701580</v>
      </c>
      <c r="D13" s="107"/>
      <c r="E13" s="106"/>
      <c r="F13" s="206">
        <f>C13+D13+E13</f>
        <v>4701580</v>
      </c>
      <c r="G13" s="236">
        <f>187120.2+40000</f>
        <v>227120.2</v>
      </c>
      <c r="H13" s="224">
        <f>11350+3284+4742.84+300+1333.33+4000+1500</f>
        <v>26510.17</v>
      </c>
      <c r="I13" s="223">
        <f>F13+G13+H13</f>
        <v>4955210.37</v>
      </c>
      <c r="J13" s="236">
        <f>4000+25000+8593+65000+368+25500+3500+2000+10000+10000+122000+3357+14047.2+488.88+149000+2500</f>
        <v>445354.08</v>
      </c>
      <c r="K13" s="285"/>
      <c r="L13" s="223">
        <f>I13+J13+K13</f>
        <v>5400564.45</v>
      </c>
      <c r="M13" s="18"/>
      <c r="N13" s="6"/>
      <c r="O13" s="19"/>
      <c r="P13" s="74"/>
      <c r="Q13" s="72"/>
    </row>
    <row r="14" spans="1:17" ht="12.75">
      <c r="A14" s="31" t="s">
        <v>19</v>
      </c>
      <c r="B14" s="85"/>
      <c r="C14" s="108"/>
      <c r="D14" s="118">
        <f>32523.22</f>
        <v>32523.22</v>
      </c>
      <c r="E14" s="107"/>
      <c r="F14" s="206">
        <f>C14+D14+E14</f>
        <v>32523.22</v>
      </c>
      <c r="G14" s="236"/>
      <c r="H14" s="248"/>
      <c r="I14" s="223">
        <f>F14+G14+H14</f>
        <v>32523.22</v>
      </c>
      <c r="J14" s="236"/>
      <c r="K14" s="285"/>
      <c r="L14" s="223">
        <f>I14+J14+K14</f>
        <v>32523.22</v>
      </c>
      <c r="M14" s="20"/>
      <c r="N14" s="6"/>
      <c r="O14" s="21">
        <f>L14+M14+N14</f>
        <v>32523.22</v>
      </c>
      <c r="P14" s="74"/>
      <c r="Q14" s="72">
        <f aca="true" t="shared" si="1" ref="Q14:Q79">O14+P14</f>
        <v>32523.22</v>
      </c>
    </row>
    <row r="15" spans="1:17" ht="12.75">
      <c r="A15" s="92" t="s">
        <v>210</v>
      </c>
      <c r="B15" s="85"/>
      <c r="C15" s="108">
        <v>3420</v>
      </c>
      <c r="D15" s="118"/>
      <c r="E15" s="107"/>
      <c r="F15" s="206">
        <f>C15+D15+E15</f>
        <v>3420</v>
      </c>
      <c r="G15" s="236">
        <f>93.05</f>
        <v>93.05</v>
      </c>
      <c r="H15" s="248"/>
      <c r="I15" s="223">
        <f>F15+G15+H15</f>
        <v>3513.05</v>
      </c>
      <c r="J15" s="236"/>
      <c r="K15" s="285"/>
      <c r="L15" s="223">
        <f>I15+J15+K15</f>
        <v>3513.05</v>
      </c>
      <c r="M15" s="125"/>
      <c r="N15" s="6"/>
      <c r="O15" s="21"/>
      <c r="P15" s="136"/>
      <c r="Q15" s="72"/>
    </row>
    <row r="16" spans="1:17" ht="12.75">
      <c r="A16" s="92" t="s">
        <v>266</v>
      </c>
      <c r="B16" s="85"/>
      <c r="C16" s="108">
        <v>30000</v>
      </c>
      <c r="D16" s="118"/>
      <c r="E16" s="107"/>
      <c r="F16" s="206">
        <f>C16+D16+E16</f>
        <v>30000</v>
      </c>
      <c r="G16" s="236"/>
      <c r="H16" s="248"/>
      <c r="I16" s="223">
        <f>F16+G16+H16</f>
        <v>30000</v>
      </c>
      <c r="J16" s="236"/>
      <c r="K16" s="285"/>
      <c r="L16" s="223">
        <f>I16+J16+K16</f>
        <v>30000</v>
      </c>
      <c r="M16" s="125"/>
      <c r="N16" s="174"/>
      <c r="O16" s="80"/>
      <c r="P16" s="136"/>
      <c r="Q16" s="72"/>
    </row>
    <row r="17" spans="1:17" ht="12.75">
      <c r="A17" s="29" t="s">
        <v>203</v>
      </c>
      <c r="B17" s="83"/>
      <c r="C17" s="105">
        <f aca="true" t="shared" si="2" ref="C17:Q17">SUM(C19:C23)+C30</f>
        <v>256410.62</v>
      </c>
      <c r="D17" s="106">
        <f t="shared" si="2"/>
        <v>23628.260000000002</v>
      </c>
      <c r="E17" s="106">
        <f t="shared" si="2"/>
        <v>32165.7</v>
      </c>
      <c r="F17" s="205">
        <f t="shared" si="2"/>
        <v>312204.58</v>
      </c>
      <c r="G17" s="232">
        <f t="shared" si="2"/>
        <v>27454.89</v>
      </c>
      <c r="H17" s="248">
        <f t="shared" si="2"/>
        <v>8691.199999999999</v>
      </c>
      <c r="I17" s="222">
        <f t="shared" si="2"/>
        <v>348350.67</v>
      </c>
      <c r="J17" s="232">
        <f t="shared" si="2"/>
        <v>55062.3</v>
      </c>
      <c r="K17" s="285">
        <f t="shared" si="2"/>
        <v>0</v>
      </c>
      <c r="L17" s="222">
        <f t="shared" si="2"/>
        <v>403412.97</v>
      </c>
      <c r="M17" s="105">
        <f t="shared" si="2"/>
        <v>0</v>
      </c>
      <c r="N17" s="105">
        <f t="shared" si="2"/>
        <v>0</v>
      </c>
      <c r="O17" s="105">
        <f t="shared" si="2"/>
        <v>335486.25</v>
      </c>
      <c r="P17" s="105">
        <f t="shared" si="2"/>
        <v>0</v>
      </c>
      <c r="Q17" s="159">
        <f t="shared" si="2"/>
        <v>335486.25</v>
      </c>
    </row>
    <row r="18" spans="1:17" ht="10.5" customHeight="1">
      <c r="A18" s="30" t="s">
        <v>20</v>
      </c>
      <c r="B18" s="84"/>
      <c r="C18" s="105"/>
      <c r="D18" s="106"/>
      <c r="E18" s="106"/>
      <c r="F18" s="205"/>
      <c r="G18" s="232"/>
      <c r="H18" s="248"/>
      <c r="I18" s="222"/>
      <c r="J18" s="232"/>
      <c r="K18" s="285"/>
      <c r="L18" s="222"/>
      <c r="M18" s="18"/>
      <c r="N18" s="6"/>
      <c r="O18" s="19"/>
      <c r="P18" s="74"/>
      <c r="Q18" s="72"/>
    </row>
    <row r="19" spans="1:17" ht="12.75">
      <c r="A19" s="31" t="s">
        <v>21</v>
      </c>
      <c r="B19" s="85"/>
      <c r="C19" s="108">
        <v>6000</v>
      </c>
      <c r="D19" s="107"/>
      <c r="E19" s="107"/>
      <c r="F19" s="206">
        <f>C19+D19+E19</f>
        <v>6000</v>
      </c>
      <c r="G19" s="236">
        <f>52.35+135.42+54.78</f>
        <v>242.54999999999998</v>
      </c>
      <c r="H19" s="224"/>
      <c r="I19" s="223">
        <f>F19+G19+H19</f>
        <v>6242.55</v>
      </c>
      <c r="J19" s="236">
        <f>180.48+31.52</f>
        <v>212</v>
      </c>
      <c r="K19" s="286"/>
      <c r="L19" s="223">
        <f>I19+J19+K19</f>
        <v>6454.55</v>
      </c>
      <c r="M19" s="20"/>
      <c r="N19" s="7"/>
      <c r="O19" s="21">
        <f>L19+M19+N19</f>
        <v>6454.55</v>
      </c>
      <c r="P19" s="74"/>
      <c r="Q19" s="72">
        <f t="shared" si="1"/>
        <v>6454.55</v>
      </c>
    </row>
    <row r="20" spans="1:17" ht="12.75">
      <c r="A20" s="92" t="s">
        <v>239</v>
      </c>
      <c r="B20" s="85"/>
      <c r="C20" s="108"/>
      <c r="D20" s="107">
        <f>10557.37+500</f>
        <v>11057.37</v>
      </c>
      <c r="E20" s="107">
        <f>11155.93+21009.77</f>
        <v>32165.7</v>
      </c>
      <c r="F20" s="206">
        <f aca="true" t="shared" si="3" ref="F20:F30">C20+D20+E20</f>
        <v>43223.07</v>
      </c>
      <c r="G20" s="236">
        <f>381.38+1891.4</f>
        <v>2272.78</v>
      </c>
      <c r="H20" s="224">
        <f>99.55+8591.65</f>
        <v>8691.199999999999</v>
      </c>
      <c r="I20" s="223">
        <f aca="true" t="shared" si="4" ref="I20:I30">F20+G20+H20</f>
        <v>54187.049999999996</v>
      </c>
      <c r="J20" s="236">
        <f>5475.79+100.15+1960.27+1875.78+3161.87+315+2595.41</f>
        <v>15484.27</v>
      </c>
      <c r="K20" s="286"/>
      <c r="L20" s="223">
        <f>I20+J20+K20</f>
        <v>69671.31999999999</v>
      </c>
      <c r="M20" s="20"/>
      <c r="N20" s="7"/>
      <c r="O20" s="21">
        <f>L20+M20+N20</f>
        <v>69671.31999999999</v>
      </c>
      <c r="P20" s="74"/>
      <c r="Q20" s="72">
        <f t="shared" si="1"/>
        <v>69671.31999999999</v>
      </c>
    </row>
    <row r="21" spans="1:17" ht="12.75">
      <c r="A21" s="32" t="s">
        <v>240</v>
      </c>
      <c r="B21" s="86"/>
      <c r="C21" s="108">
        <v>133697.86</v>
      </c>
      <c r="D21" s="107"/>
      <c r="E21" s="107"/>
      <c r="F21" s="206">
        <f t="shared" si="3"/>
        <v>133697.86</v>
      </c>
      <c r="G21" s="236"/>
      <c r="H21" s="224"/>
      <c r="I21" s="223">
        <f t="shared" si="4"/>
        <v>133697.86</v>
      </c>
      <c r="J21" s="236"/>
      <c r="K21" s="286"/>
      <c r="L21" s="223">
        <f>I21+J21+K21</f>
        <v>133697.86</v>
      </c>
      <c r="M21" s="20"/>
      <c r="N21" s="7"/>
      <c r="O21" s="21">
        <f>L21+M21+N21</f>
        <v>133697.86</v>
      </c>
      <c r="P21" s="74"/>
      <c r="Q21" s="72">
        <f t="shared" si="1"/>
        <v>133697.86</v>
      </c>
    </row>
    <row r="22" spans="1:17" ht="12.75" hidden="1">
      <c r="A22" s="32" t="s">
        <v>241</v>
      </c>
      <c r="B22" s="86"/>
      <c r="C22" s="108"/>
      <c r="D22" s="107"/>
      <c r="E22" s="107"/>
      <c r="F22" s="206">
        <f t="shared" si="3"/>
        <v>0</v>
      </c>
      <c r="G22" s="236"/>
      <c r="H22" s="224"/>
      <c r="I22" s="223">
        <f t="shared" si="4"/>
        <v>0</v>
      </c>
      <c r="J22" s="236"/>
      <c r="K22" s="286"/>
      <c r="L22" s="223"/>
      <c r="M22" s="20"/>
      <c r="N22" s="7"/>
      <c r="O22" s="21"/>
      <c r="P22" s="74"/>
      <c r="Q22" s="72"/>
    </row>
    <row r="23" spans="1:17" ht="12.75">
      <c r="A23" s="31" t="s">
        <v>22</v>
      </c>
      <c r="B23" s="85"/>
      <c r="C23" s="108">
        <f>SUM(C24:C29)</f>
        <v>116712.76000000001</v>
      </c>
      <c r="D23" s="107">
        <f>SUM(D24:D29)</f>
        <v>2805.32</v>
      </c>
      <c r="E23" s="107">
        <f aca="true" t="shared" si="5" ref="E23:Q23">SUM(E24:E29)</f>
        <v>0</v>
      </c>
      <c r="F23" s="206">
        <f t="shared" si="5"/>
        <v>119518.08000000002</v>
      </c>
      <c r="G23" s="236">
        <f t="shared" si="5"/>
        <v>5701.15</v>
      </c>
      <c r="H23" s="224">
        <f t="shared" si="5"/>
        <v>0</v>
      </c>
      <c r="I23" s="223">
        <f t="shared" si="5"/>
        <v>125219.23000000001</v>
      </c>
      <c r="J23" s="236">
        <f t="shared" si="5"/>
        <v>443.29</v>
      </c>
      <c r="K23" s="286">
        <f t="shared" si="5"/>
        <v>0</v>
      </c>
      <c r="L23" s="223">
        <f t="shared" si="5"/>
        <v>125662.52000000002</v>
      </c>
      <c r="M23" s="108">
        <f t="shared" si="5"/>
        <v>0</v>
      </c>
      <c r="N23" s="108">
        <f t="shared" si="5"/>
        <v>0</v>
      </c>
      <c r="O23" s="108">
        <f t="shared" si="5"/>
        <v>125662.52000000002</v>
      </c>
      <c r="P23" s="108">
        <f t="shared" si="5"/>
        <v>0</v>
      </c>
      <c r="Q23" s="160">
        <f t="shared" si="5"/>
        <v>125662.52000000002</v>
      </c>
    </row>
    <row r="24" spans="1:17" ht="12.75">
      <c r="A24" s="31" t="s">
        <v>23</v>
      </c>
      <c r="B24" s="85"/>
      <c r="C24" s="108">
        <v>48358.8</v>
      </c>
      <c r="D24" s="107">
        <f>2805.32</f>
        <v>2805.32</v>
      </c>
      <c r="E24" s="107"/>
      <c r="F24" s="206">
        <f t="shared" si="3"/>
        <v>51164.12</v>
      </c>
      <c r="G24" s="236">
        <f>1857.85</f>
        <v>1857.85</v>
      </c>
      <c r="H24" s="224"/>
      <c r="I24" s="223">
        <f t="shared" si="4"/>
        <v>53021.97</v>
      </c>
      <c r="J24" s="236">
        <f>113.93+329.36</f>
        <v>443.29</v>
      </c>
      <c r="K24" s="286"/>
      <c r="L24" s="223">
        <f aca="true" t="shared" si="6" ref="L24:L30">I24+J24+K24</f>
        <v>53465.26</v>
      </c>
      <c r="M24" s="20"/>
      <c r="N24" s="7"/>
      <c r="O24" s="21">
        <f aca="true" t="shared" si="7" ref="O24:O29">L24+M24+N24</f>
        <v>53465.26</v>
      </c>
      <c r="P24" s="74"/>
      <c r="Q24" s="72">
        <f t="shared" si="1"/>
        <v>53465.26</v>
      </c>
    </row>
    <row r="25" spans="1:17" ht="12.75">
      <c r="A25" s="32" t="s">
        <v>135</v>
      </c>
      <c r="B25" s="86"/>
      <c r="C25" s="108">
        <v>921.46</v>
      </c>
      <c r="D25" s="107"/>
      <c r="E25" s="107"/>
      <c r="F25" s="206">
        <f t="shared" si="3"/>
        <v>921.46</v>
      </c>
      <c r="G25" s="236"/>
      <c r="H25" s="224"/>
      <c r="I25" s="223">
        <f t="shared" si="4"/>
        <v>921.46</v>
      </c>
      <c r="J25" s="236"/>
      <c r="K25" s="286"/>
      <c r="L25" s="223">
        <f t="shared" si="6"/>
        <v>921.46</v>
      </c>
      <c r="M25" s="20"/>
      <c r="N25" s="7"/>
      <c r="O25" s="21">
        <f t="shared" si="7"/>
        <v>921.46</v>
      </c>
      <c r="P25" s="74"/>
      <c r="Q25" s="72">
        <f t="shared" si="1"/>
        <v>921.46</v>
      </c>
    </row>
    <row r="26" spans="1:17" ht="12.75">
      <c r="A26" s="31" t="s">
        <v>24</v>
      </c>
      <c r="B26" s="85"/>
      <c r="C26" s="108">
        <v>26632</v>
      </c>
      <c r="D26" s="107"/>
      <c r="E26" s="107"/>
      <c r="F26" s="206">
        <f t="shared" si="3"/>
        <v>26632</v>
      </c>
      <c r="G26" s="236">
        <f>2148</f>
        <v>2148</v>
      </c>
      <c r="H26" s="224"/>
      <c r="I26" s="223">
        <f t="shared" si="4"/>
        <v>28780</v>
      </c>
      <c r="J26" s="236"/>
      <c r="K26" s="286"/>
      <c r="L26" s="223">
        <f t="shared" si="6"/>
        <v>28780</v>
      </c>
      <c r="M26" s="20"/>
      <c r="N26" s="7"/>
      <c r="O26" s="21">
        <f t="shared" si="7"/>
        <v>28780</v>
      </c>
      <c r="P26" s="74"/>
      <c r="Q26" s="72">
        <f t="shared" si="1"/>
        <v>28780</v>
      </c>
    </row>
    <row r="27" spans="1:17" ht="12.75">
      <c r="A27" s="32" t="s">
        <v>136</v>
      </c>
      <c r="B27" s="86"/>
      <c r="C27" s="108">
        <v>10544.8</v>
      </c>
      <c r="D27" s="107"/>
      <c r="E27" s="107"/>
      <c r="F27" s="206">
        <f t="shared" si="3"/>
        <v>10544.8</v>
      </c>
      <c r="G27" s="236">
        <f>1695.3</f>
        <v>1695.3</v>
      </c>
      <c r="H27" s="224"/>
      <c r="I27" s="223">
        <f t="shared" si="4"/>
        <v>12240.099999999999</v>
      </c>
      <c r="J27" s="236"/>
      <c r="K27" s="286"/>
      <c r="L27" s="223">
        <f t="shared" si="6"/>
        <v>12240.099999999999</v>
      </c>
      <c r="M27" s="20"/>
      <c r="N27" s="7"/>
      <c r="O27" s="21">
        <f t="shared" si="7"/>
        <v>12240.099999999999</v>
      </c>
      <c r="P27" s="74"/>
      <c r="Q27" s="72">
        <f t="shared" si="1"/>
        <v>12240.099999999999</v>
      </c>
    </row>
    <row r="28" spans="1:17" ht="12.75">
      <c r="A28" s="32" t="s">
        <v>226</v>
      </c>
      <c r="B28" s="86"/>
      <c r="C28" s="108">
        <v>316.8</v>
      </c>
      <c r="D28" s="107"/>
      <c r="E28" s="107"/>
      <c r="F28" s="206">
        <f t="shared" si="3"/>
        <v>316.8</v>
      </c>
      <c r="G28" s="236"/>
      <c r="H28" s="224"/>
      <c r="I28" s="223">
        <f t="shared" si="4"/>
        <v>316.8</v>
      </c>
      <c r="J28" s="236"/>
      <c r="K28" s="286"/>
      <c r="L28" s="223">
        <f t="shared" si="6"/>
        <v>316.8</v>
      </c>
      <c r="M28" s="20"/>
      <c r="N28" s="7"/>
      <c r="O28" s="21">
        <f t="shared" si="7"/>
        <v>316.8</v>
      </c>
      <c r="P28" s="74"/>
      <c r="Q28" s="72">
        <f t="shared" si="1"/>
        <v>316.8</v>
      </c>
    </row>
    <row r="29" spans="1:17" ht="12.75">
      <c r="A29" s="32" t="s">
        <v>137</v>
      </c>
      <c r="B29" s="86"/>
      <c r="C29" s="108">
        <v>29938.9</v>
      </c>
      <c r="D29" s="107"/>
      <c r="E29" s="107"/>
      <c r="F29" s="206">
        <f t="shared" si="3"/>
        <v>29938.9</v>
      </c>
      <c r="G29" s="236"/>
      <c r="H29" s="224"/>
      <c r="I29" s="223">
        <f t="shared" si="4"/>
        <v>29938.9</v>
      </c>
      <c r="J29" s="236"/>
      <c r="K29" s="286"/>
      <c r="L29" s="223">
        <f t="shared" si="6"/>
        <v>29938.9</v>
      </c>
      <c r="M29" s="20"/>
      <c r="N29" s="7"/>
      <c r="O29" s="21">
        <f t="shared" si="7"/>
        <v>29938.9</v>
      </c>
      <c r="P29" s="74"/>
      <c r="Q29" s="72">
        <f>O29+P29</f>
        <v>29938.9</v>
      </c>
    </row>
    <row r="30" spans="1:17" ht="12.75">
      <c r="A30" s="32" t="s">
        <v>298</v>
      </c>
      <c r="B30" s="86"/>
      <c r="C30" s="108"/>
      <c r="D30" s="129">
        <f>599.97+969.05+896.26+162.48+2449.23+127.25+2087.5+1031.02+29.07+906.91+486.94+19.89</f>
        <v>9765.57</v>
      </c>
      <c r="E30" s="107"/>
      <c r="F30" s="206">
        <f t="shared" si="3"/>
        <v>9765.57</v>
      </c>
      <c r="G30" s="265">
        <f>5846.49+200.96+122.58+42.8+33.11+122.17+35.57+1824.36+914.8+127.5+3753.21+1203.18+174.49+248.65+3287.21+451.08+850.25</f>
        <v>19238.41</v>
      </c>
      <c r="H30" s="249"/>
      <c r="I30" s="223">
        <f t="shared" si="4"/>
        <v>29003.98</v>
      </c>
      <c r="J30" s="265">
        <f>11063.69+778.62+7.7+999.8+1791+720.82+863.64+992.12+472.83+40.27+300.77+15989.93+57.48+171.36+101.8+2.24+1000+354.82+3032.86+180.99</f>
        <v>38922.740000000005</v>
      </c>
      <c r="K30" s="287"/>
      <c r="L30" s="223">
        <f t="shared" si="6"/>
        <v>67926.72</v>
      </c>
      <c r="M30" s="161"/>
      <c r="N30" s="161"/>
      <c r="O30" s="161"/>
      <c r="P30" s="161"/>
      <c r="Q30" s="71"/>
    </row>
    <row r="31" spans="1:17" ht="12.75">
      <c r="A31" s="33" t="s">
        <v>204</v>
      </c>
      <c r="B31" s="87"/>
      <c r="C31" s="109">
        <f>SUM(C33:C37)</f>
        <v>5000</v>
      </c>
      <c r="D31" s="110">
        <f aca="true" t="shared" si="8" ref="D31:Q31">SUM(D33:D37)</f>
        <v>7574.7</v>
      </c>
      <c r="E31" s="110">
        <f t="shared" si="8"/>
        <v>0</v>
      </c>
      <c r="F31" s="207">
        <f t="shared" si="8"/>
        <v>12574.7</v>
      </c>
      <c r="G31" s="266">
        <f t="shared" si="8"/>
        <v>-1314.62</v>
      </c>
      <c r="H31" s="250">
        <f t="shared" si="8"/>
        <v>0</v>
      </c>
      <c r="I31" s="225">
        <f t="shared" si="8"/>
        <v>11260.080000000002</v>
      </c>
      <c r="J31" s="266">
        <f t="shared" si="8"/>
        <v>1109.8</v>
      </c>
      <c r="K31" s="288">
        <f t="shared" si="8"/>
        <v>0</v>
      </c>
      <c r="L31" s="225">
        <f t="shared" si="8"/>
        <v>12369.880000000001</v>
      </c>
      <c r="M31" s="109">
        <f t="shared" si="8"/>
        <v>0</v>
      </c>
      <c r="N31" s="109">
        <f t="shared" si="8"/>
        <v>0</v>
      </c>
      <c r="O31" s="109">
        <f t="shared" si="8"/>
        <v>12369.880000000001</v>
      </c>
      <c r="P31" s="109">
        <f t="shared" si="8"/>
        <v>0</v>
      </c>
      <c r="Q31" s="162">
        <f t="shared" si="8"/>
        <v>12369.880000000001</v>
      </c>
    </row>
    <row r="32" spans="1:17" ht="11.25" customHeight="1">
      <c r="A32" s="30" t="s">
        <v>20</v>
      </c>
      <c r="B32" s="84"/>
      <c r="C32" s="108"/>
      <c r="D32" s="107"/>
      <c r="E32" s="107"/>
      <c r="F32" s="206"/>
      <c r="G32" s="236"/>
      <c r="H32" s="224"/>
      <c r="I32" s="223"/>
      <c r="J32" s="236"/>
      <c r="K32" s="286"/>
      <c r="L32" s="223"/>
      <c r="M32" s="20"/>
      <c r="N32" s="7"/>
      <c r="O32" s="21"/>
      <c r="P32" s="74"/>
      <c r="Q32" s="72"/>
    </row>
    <row r="33" spans="1:17" ht="12.75">
      <c r="A33" s="92" t="s">
        <v>105</v>
      </c>
      <c r="B33" s="85"/>
      <c r="C33" s="108"/>
      <c r="D33" s="107"/>
      <c r="E33" s="107"/>
      <c r="F33" s="206">
        <f>C33+D33+E33</f>
        <v>0</v>
      </c>
      <c r="G33" s="236"/>
      <c r="H33" s="224"/>
      <c r="I33" s="223">
        <f>F33+G33+H33</f>
        <v>0</v>
      </c>
      <c r="J33" s="236">
        <f>1109.8</f>
        <v>1109.8</v>
      </c>
      <c r="K33" s="286"/>
      <c r="L33" s="223">
        <f>I33+J33+K33</f>
        <v>1109.8</v>
      </c>
      <c r="M33" s="20"/>
      <c r="N33" s="7"/>
      <c r="O33" s="21">
        <f>L33+M33+N33</f>
        <v>1109.8</v>
      </c>
      <c r="P33" s="74"/>
      <c r="Q33" s="72">
        <f t="shared" si="1"/>
        <v>1109.8</v>
      </c>
    </row>
    <row r="34" spans="1:17" ht="12.75" hidden="1">
      <c r="A34" s="32" t="s">
        <v>101</v>
      </c>
      <c r="B34" s="86"/>
      <c r="C34" s="108"/>
      <c r="D34" s="107"/>
      <c r="E34" s="107"/>
      <c r="F34" s="206">
        <f>C34+D34+E34</f>
        <v>0</v>
      </c>
      <c r="G34" s="236"/>
      <c r="H34" s="224"/>
      <c r="I34" s="223">
        <f>F34+G34+H34</f>
        <v>0</v>
      </c>
      <c r="J34" s="269"/>
      <c r="K34" s="286"/>
      <c r="L34" s="223">
        <f>I34+J34+K34</f>
        <v>0</v>
      </c>
      <c r="M34" s="28"/>
      <c r="N34" s="7"/>
      <c r="O34" s="21">
        <f>L34+M34+N34</f>
        <v>0</v>
      </c>
      <c r="P34" s="74"/>
      <c r="Q34" s="72">
        <f t="shared" si="1"/>
        <v>0</v>
      </c>
    </row>
    <row r="35" spans="1:17" ht="12.75" hidden="1">
      <c r="A35" s="32" t="s">
        <v>103</v>
      </c>
      <c r="B35" s="86"/>
      <c r="C35" s="108"/>
      <c r="D35" s="107"/>
      <c r="E35" s="107"/>
      <c r="F35" s="206">
        <f>C35+D35+E35</f>
        <v>0</v>
      </c>
      <c r="G35" s="236"/>
      <c r="H35" s="224"/>
      <c r="I35" s="223"/>
      <c r="J35" s="269"/>
      <c r="K35" s="286"/>
      <c r="L35" s="223"/>
      <c r="M35" s="28"/>
      <c r="N35" s="7"/>
      <c r="O35" s="21"/>
      <c r="P35" s="74"/>
      <c r="Q35" s="72"/>
    </row>
    <row r="36" spans="1:17" ht="12.75" hidden="1">
      <c r="A36" s="32" t="s">
        <v>109</v>
      </c>
      <c r="B36" s="86"/>
      <c r="C36" s="108"/>
      <c r="D36" s="107"/>
      <c r="E36" s="107"/>
      <c r="F36" s="206">
        <f>C36+D36+E36</f>
        <v>0</v>
      </c>
      <c r="G36" s="236"/>
      <c r="H36" s="224"/>
      <c r="I36" s="223">
        <f>F36+G36+H36</f>
        <v>0</v>
      </c>
      <c r="J36" s="269"/>
      <c r="K36" s="286"/>
      <c r="L36" s="223">
        <f>I36+J36+K36</f>
        <v>0</v>
      </c>
      <c r="M36" s="28"/>
      <c r="N36" s="7"/>
      <c r="O36" s="21">
        <f>L36+M36+N36</f>
        <v>0</v>
      </c>
      <c r="P36" s="74"/>
      <c r="Q36" s="72">
        <f t="shared" si="1"/>
        <v>0</v>
      </c>
    </row>
    <row r="37" spans="1:17" ht="12.75">
      <c r="A37" s="92" t="s">
        <v>227</v>
      </c>
      <c r="B37" s="85"/>
      <c r="C37" s="108">
        <v>5000</v>
      </c>
      <c r="D37" s="107">
        <f>7574.7</f>
        <v>7574.7</v>
      </c>
      <c r="E37" s="107"/>
      <c r="F37" s="206">
        <f>C37+D37+E37</f>
        <v>12574.7</v>
      </c>
      <c r="G37" s="236">
        <f>-1314.62</f>
        <v>-1314.62</v>
      </c>
      <c r="H37" s="224"/>
      <c r="I37" s="223">
        <f>F37+G37+H37</f>
        <v>11260.080000000002</v>
      </c>
      <c r="J37" s="236"/>
      <c r="K37" s="286"/>
      <c r="L37" s="223">
        <f>I37+J37+K37</f>
        <v>11260.080000000002</v>
      </c>
      <c r="M37" s="20"/>
      <c r="N37" s="7"/>
      <c r="O37" s="21">
        <f>L37+M37+N37</f>
        <v>11260.080000000002</v>
      </c>
      <c r="P37" s="74"/>
      <c r="Q37" s="72">
        <f t="shared" si="1"/>
        <v>11260.080000000002</v>
      </c>
    </row>
    <row r="38" spans="1:17" ht="12.75">
      <c r="A38" s="33" t="s">
        <v>205</v>
      </c>
      <c r="B38" s="85"/>
      <c r="C38" s="108"/>
      <c r="D38" s="107"/>
      <c r="E38" s="107"/>
      <c r="F38" s="206"/>
      <c r="G38" s="236"/>
      <c r="H38" s="224"/>
      <c r="I38" s="223"/>
      <c r="J38" s="236"/>
      <c r="K38" s="286"/>
      <c r="L38" s="223"/>
      <c r="M38" s="20"/>
      <c r="N38" s="7"/>
      <c r="O38" s="21"/>
      <c r="P38" s="74"/>
      <c r="Q38" s="72"/>
    </row>
    <row r="39" spans="1:18" ht="12.75">
      <c r="A39" s="29" t="s">
        <v>25</v>
      </c>
      <c r="B39" s="83"/>
      <c r="C39" s="105">
        <f>SUM(C41:C62)</f>
        <v>119059</v>
      </c>
      <c r="D39" s="106">
        <f aca="true" t="shared" si="9" ref="D39:Q39">SUM(D41:D62)</f>
        <v>1899071.45</v>
      </c>
      <c r="E39" s="106">
        <f t="shared" si="9"/>
        <v>0</v>
      </c>
      <c r="F39" s="205">
        <f t="shared" si="9"/>
        <v>2018130.45</v>
      </c>
      <c r="G39" s="232">
        <f t="shared" si="9"/>
        <v>8868552.12</v>
      </c>
      <c r="H39" s="248">
        <f t="shared" si="9"/>
        <v>0</v>
      </c>
      <c r="I39" s="222">
        <f t="shared" si="9"/>
        <v>10886682.57</v>
      </c>
      <c r="J39" s="232">
        <f t="shared" si="9"/>
        <v>435593.66</v>
      </c>
      <c r="K39" s="285">
        <f t="shared" si="9"/>
        <v>0</v>
      </c>
      <c r="L39" s="222">
        <f t="shared" si="9"/>
        <v>11322276.229999999</v>
      </c>
      <c r="M39" s="105">
        <f t="shared" si="9"/>
        <v>0</v>
      </c>
      <c r="N39" s="105">
        <f t="shared" si="9"/>
        <v>0</v>
      </c>
      <c r="O39" s="105">
        <f t="shared" si="9"/>
        <v>11319938.719999999</v>
      </c>
      <c r="P39" s="105">
        <f t="shared" si="9"/>
        <v>0</v>
      </c>
      <c r="Q39" s="159">
        <f t="shared" si="9"/>
        <v>11319938.719999999</v>
      </c>
      <c r="R39" s="307"/>
    </row>
    <row r="40" spans="1:17" ht="10.5" customHeight="1">
      <c r="A40" s="34" t="s">
        <v>26</v>
      </c>
      <c r="B40" s="88"/>
      <c r="C40" s="108"/>
      <c r="D40" s="107"/>
      <c r="E40" s="107"/>
      <c r="F40" s="206"/>
      <c r="G40" s="236"/>
      <c r="H40" s="224"/>
      <c r="I40" s="223"/>
      <c r="J40" s="236"/>
      <c r="K40" s="286"/>
      <c r="L40" s="223"/>
      <c r="M40" s="20"/>
      <c r="N40" s="7"/>
      <c r="O40" s="21"/>
      <c r="P40" s="74"/>
      <c r="Q40" s="72"/>
    </row>
    <row r="41" spans="1:17" ht="12.75">
      <c r="A41" s="32" t="s">
        <v>27</v>
      </c>
      <c r="B41" s="86"/>
      <c r="C41" s="108">
        <v>118809</v>
      </c>
      <c r="D41" s="107"/>
      <c r="E41" s="107"/>
      <c r="F41" s="206">
        <f aca="true" t="shared" si="10" ref="F41:F62">C41+D41+E41</f>
        <v>118809</v>
      </c>
      <c r="G41" s="236"/>
      <c r="H41" s="224"/>
      <c r="I41" s="223">
        <f>F41+G41+H41</f>
        <v>118809</v>
      </c>
      <c r="J41" s="236"/>
      <c r="K41" s="286"/>
      <c r="L41" s="223">
        <f>I41+J41+K41</f>
        <v>118809</v>
      </c>
      <c r="M41" s="20"/>
      <c r="N41" s="7"/>
      <c r="O41" s="21">
        <f>L41+M41+N41</f>
        <v>118809</v>
      </c>
      <c r="P41" s="74"/>
      <c r="Q41" s="72">
        <f t="shared" si="1"/>
        <v>118809</v>
      </c>
    </row>
    <row r="42" spans="1:17" ht="12.75">
      <c r="A42" s="32" t="s">
        <v>28</v>
      </c>
      <c r="B42" s="86"/>
      <c r="C42" s="108"/>
      <c r="D42" s="107"/>
      <c r="E42" s="107"/>
      <c r="F42" s="206">
        <f t="shared" si="10"/>
        <v>0</v>
      </c>
      <c r="G42" s="236">
        <f>20349.31+1435.13</f>
        <v>21784.440000000002</v>
      </c>
      <c r="H42" s="224"/>
      <c r="I42" s="223">
        <f aca="true" t="shared" si="11" ref="I42:I62">F42+G42+H42</f>
        <v>21784.440000000002</v>
      </c>
      <c r="J42" s="236">
        <f>10625.02+764.95+23578.3+23551.11</f>
        <v>58519.380000000005</v>
      </c>
      <c r="K42" s="286"/>
      <c r="L42" s="223">
        <f aca="true" t="shared" si="12" ref="L42:L62">I42+J42+K42</f>
        <v>80303.82</v>
      </c>
      <c r="M42" s="20"/>
      <c r="N42" s="7"/>
      <c r="O42" s="21">
        <f aca="true" t="shared" si="13" ref="O42:O62">L42+M42+N42</f>
        <v>80303.82</v>
      </c>
      <c r="P42" s="74"/>
      <c r="Q42" s="72">
        <f t="shared" si="1"/>
        <v>80303.82</v>
      </c>
    </row>
    <row r="43" spans="1:17" ht="12.75">
      <c r="A43" s="32" t="s">
        <v>29</v>
      </c>
      <c r="B43" s="86"/>
      <c r="C43" s="108"/>
      <c r="D43" s="107">
        <f>772855.17+41253.78+18081.7+41301.16+772855.17</f>
        <v>1646346.98</v>
      </c>
      <c r="E43" s="107"/>
      <c r="F43" s="206">
        <f t="shared" si="10"/>
        <v>1646346.98</v>
      </c>
      <c r="G43" s="236">
        <f>13698.4+21681+772855.17+2133+41885.67+480.4+6925868.2+980.4+149383.17+32526+3064.67+425.46-248.2</f>
        <v>7964733.34</v>
      </c>
      <c r="H43" s="224"/>
      <c r="I43" s="223">
        <f t="shared" si="11"/>
        <v>9611080.32</v>
      </c>
      <c r="J43" s="236">
        <f>14844.55+136819.92+976.13+7172.57-147.49+102.38+330.8</f>
        <v>160098.86000000002</v>
      </c>
      <c r="K43" s="286"/>
      <c r="L43" s="223">
        <f t="shared" si="12"/>
        <v>9771179.18</v>
      </c>
      <c r="M43" s="20"/>
      <c r="N43" s="7"/>
      <c r="O43" s="21">
        <f t="shared" si="13"/>
        <v>9771179.18</v>
      </c>
      <c r="P43" s="74"/>
      <c r="Q43" s="72">
        <f t="shared" si="1"/>
        <v>9771179.18</v>
      </c>
    </row>
    <row r="44" spans="1:17" ht="12.75">
      <c r="A44" s="32" t="s">
        <v>30</v>
      </c>
      <c r="B44" s="86"/>
      <c r="C44" s="108"/>
      <c r="D44" s="107">
        <f>29773.34+1600+206235.5+3000+1449.15</f>
        <v>242057.99</v>
      </c>
      <c r="E44" s="107"/>
      <c r="F44" s="206">
        <f t="shared" si="10"/>
        <v>242057.99</v>
      </c>
      <c r="G44" s="236">
        <f>103117.75+1290.41+645.2-29773.34+7000+744849+1001.13+17341.72+1391.46</f>
        <v>846863.33</v>
      </c>
      <c r="H44" s="224"/>
      <c r="I44" s="223">
        <f t="shared" si="11"/>
        <v>1088921.3199999998</v>
      </c>
      <c r="J44" s="236">
        <f>29.89+4752.48+2000</f>
        <v>6782.37</v>
      </c>
      <c r="K44" s="286"/>
      <c r="L44" s="223">
        <f t="shared" si="12"/>
        <v>1095703.69</v>
      </c>
      <c r="M44" s="20"/>
      <c r="N44" s="7"/>
      <c r="O44" s="21">
        <f t="shared" si="13"/>
        <v>1095703.69</v>
      </c>
      <c r="P44" s="74"/>
      <c r="Q44" s="72">
        <f t="shared" si="1"/>
        <v>1095703.69</v>
      </c>
    </row>
    <row r="45" spans="1:17" ht="12.75">
      <c r="A45" s="32" t="s">
        <v>31</v>
      </c>
      <c r="B45" s="86"/>
      <c r="C45" s="108"/>
      <c r="D45" s="107">
        <f>13.8+16.41+13.64+9566+659.56</f>
        <v>10269.41</v>
      </c>
      <c r="E45" s="107"/>
      <c r="F45" s="206">
        <f t="shared" si="10"/>
        <v>10269.41</v>
      </c>
      <c r="G45" s="236">
        <f>16.99+1316.39+6.93+7.72+14.14+21.2+1151.87+45.74</f>
        <v>2580.98</v>
      </c>
      <c r="H45" s="224"/>
      <c r="I45" s="223">
        <f t="shared" si="11"/>
        <v>12850.39</v>
      </c>
      <c r="J45" s="236">
        <f>621.96+20.05+2345.11+7.93+13.12+18.28+17.52</f>
        <v>3043.97</v>
      </c>
      <c r="K45" s="286"/>
      <c r="L45" s="223">
        <f t="shared" si="12"/>
        <v>15894.359999999999</v>
      </c>
      <c r="M45" s="20"/>
      <c r="N45" s="7"/>
      <c r="O45" s="21">
        <f t="shared" si="13"/>
        <v>15894.359999999999</v>
      </c>
      <c r="P45" s="74"/>
      <c r="Q45" s="72">
        <f t="shared" si="1"/>
        <v>15894.359999999999</v>
      </c>
    </row>
    <row r="46" spans="1:17" ht="12.75">
      <c r="A46" s="32" t="s">
        <v>32</v>
      </c>
      <c r="B46" s="86"/>
      <c r="C46" s="108"/>
      <c r="D46" s="107"/>
      <c r="E46" s="107"/>
      <c r="F46" s="206">
        <f t="shared" si="10"/>
        <v>0</v>
      </c>
      <c r="G46" s="236">
        <f>810</f>
        <v>810</v>
      </c>
      <c r="H46" s="224"/>
      <c r="I46" s="223">
        <f t="shared" si="11"/>
        <v>810</v>
      </c>
      <c r="J46" s="236">
        <f>27.5+34.16+83+345+140+60+50+69+135+32+65+28+69+63+126+130+215+97+100+200+92+117+90</f>
        <v>2367.66</v>
      </c>
      <c r="K46" s="286"/>
      <c r="L46" s="223">
        <f t="shared" si="12"/>
        <v>3177.66</v>
      </c>
      <c r="M46" s="20"/>
      <c r="N46" s="7"/>
      <c r="O46" s="21">
        <f t="shared" si="13"/>
        <v>3177.66</v>
      </c>
      <c r="P46" s="74"/>
      <c r="Q46" s="72">
        <f t="shared" si="1"/>
        <v>3177.66</v>
      </c>
    </row>
    <row r="47" spans="1:17" ht="12.75">
      <c r="A47" s="32" t="s">
        <v>33</v>
      </c>
      <c r="B47" s="86"/>
      <c r="C47" s="108"/>
      <c r="D47" s="107"/>
      <c r="E47" s="107"/>
      <c r="F47" s="206">
        <f t="shared" si="10"/>
        <v>0</v>
      </c>
      <c r="G47" s="236">
        <f>1900+3524.8</f>
        <v>5424.8</v>
      </c>
      <c r="H47" s="224"/>
      <c r="I47" s="223">
        <f t="shared" si="11"/>
        <v>5424.8</v>
      </c>
      <c r="J47" s="236">
        <f>180</f>
        <v>180</v>
      </c>
      <c r="K47" s="286"/>
      <c r="L47" s="223">
        <f t="shared" si="12"/>
        <v>5604.8</v>
      </c>
      <c r="M47" s="20"/>
      <c r="N47" s="7"/>
      <c r="O47" s="21">
        <f t="shared" si="13"/>
        <v>5604.8</v>
      </c>
      <c r="P47" s="74"/>
      <c r="Q47" s="72">
        <f t="shared" si="1"/>
        <v>5604.8</v>
      </c>
    </row>
    <row r="48" spans="1:17" ht="12.75" hidden="1">
      <c r="A48" s="32" t="s">
        <v>34</v>
      </c>
      <c r="B48" s="86"/>
      <c r="C48" s="108"/>
      <c r="D48" s="107"/>
      <c r="E48" s="107"/>
      <c r="F48" s="206">
        <f t="shared" si="10"/>
        <v>0</v>
      </c>
      <c r="G48" s="236"/>
      <c r="H48" s="224"/>
      <c r="I48" s="223">
        <f t="shared" si="11"/>
        <v>0</v>
      </c>
      <c r="J48" s="236"/>
      <c r="K48" s="286"/>
      <c r="L48" s="223">
        <f t="shared" si="12"/>
        <v>0</v>
      </c>
      <c r="M48" s="20"/>
      <c r="N48" s="7"/>
      <c r="O48" s="21">
        <f t="shared" si="13"/>
        <v>0</v>
      </c>
      <c r="P48" s="74"/>
      <c r="Q48" s="72">
        <f t="shared" si="1"/>
        <v>0</v>
      </c>
    </row>
    <row r="49" spans="1:17" ht="12.75">
      <c r="A49" s="32" t="s">
        <v>130</v>
      </c>
      <c r="B49" s="86"/>
      <c r="C49" s="108"/>
      <c r="D49" s="107"/>
      <c r="E49" s="107"/>
      <c r="F49" s="206">
        <f t="shared" si="10"/>
        <v>0</v>
      </c>
      <c r="G49" s="236"/>
      <c r="H49" s="224"/>
      <c r="I49" s="223">
        <f t="shared" si="11"/>
        <v>0</v>
      </c>
      <c r="J49" s="236">
        <f>214113.36</f>
        <v>214113.36</v>
      </c>
      <c r="K49" s="286"/>
      <c r="L49" s="223">
        <f t="shared" si="12"/>
        <v>214113.36</v>
      </c>
      <c r="M49" s="20"/>
      <c r="N49" s="7"/>
      <c r="O49" s="21">
        <f t="shared" si="13"/>
        <v>214113.36</v>
      </c>
      <c r="P49" s="74"/>
      <c r="Q49" s="72">
        <f t="shared" si="1"/>
        <v>214113.36</v>
      </c>
    </row>
    <row r="50" spans="1:17" ht="12.75">
      <c r="A50" s="32" t="s">
        <v>141</v>
      </c>
      <c r="B50" s="86"/>
      <c r="C50" s="108"/>
      <c r="D50" s="107"/>
      <c r="E50" s="107"/>
      <c r="F50" s="206">
        <f t="shared" si="10"/>
        <v>0</v>
      </c>
      <c r="G50" s="236">
        <f>10140</f>
        <v>10140</v>
      </c>
      <c r="H50" s="224"/>
      <c r="I50" s="223">
        <f t="shared" si="11"/>
        <v>10140</v>
      </c>
      <c r="J50" s="236"/>
      <c r="K50" s="286"/>
      <c r="L50" s="223">
        <f t="shared" si="12"/>
        <v>10140</v>
      </c>
      <c r="M50" s="20"/>
      <c r="N50" s="7"/>
      <c r="O50" s="21">
        <f t="shared" si="13"/>
        <v>10140</v>
      </c>
      <c r="P50" s="74"/>
      <c r="Q50" s="72">
        <f t="shared" si="1"/>
        <v>10140</v>
      </c>
    </row>
    <row r="51" spans="1:17" ht="12.75">
      <c r="A51" s="36" t="s">
        <v>42</v>
      </c>
      <c r="B51" s="86"/>
      <c r="C51" s="108"/>
      <c r="D51" s="107"/>
      <c r="E51" s="107"/>
      <c r="F51" s="206">
        <f t="shared" si="10"/>
        <v>0</v>
      </c>
      <c r="G51" s="236">
        <f>1916.76</f>
        <v>1916.76</v>
      </c>
      <c r="H51" s="224"/>
      <c r="I51" s="223">
        <f t="shared" si="11"/>
        <v>1916.76</v>
      </c>
      <c r="J51" s="236"/>
      <c r="K51" s="286"/>
      <c r="L51" s="223">
        <f t="shared" si="12"/>
        <v>1916.76</v>
      </c>
      <c r="M51" s="20"/>
      <c r="N51" s="7"/>
      <c r="O51" s="21"/>
      <c r="P51" s="74"/>
      <c r="Q51" s="72"/>
    </row>
    <row r="52" spans="1:17" ht="12.75">
      <c r="A52" s="36" t="s">
        <v>354</v>
      </c>
      <c r="B52" s="86"/>
      <c r="C52" s="108"/>
      <c r="D52" s="107"/>
      <c r="E52" s="107"/>
      <c r="F52" s="206"/>
      <c r="G52" s="236"/>
      <c r="H52" s="224"/>
      <c r="I52" s="223">
        <f t="shared" si="11"/>
        <v>0</v>
      </c>
      <c r="J52" s="236">
        <f>420.75</f>
        <v>420.75</v>
      </c>
      <c r="K52" s="286"/>
      <c r="L52" s="223">
        <f t="shared" si="12"/>
        <v>420.75</v>
      </c>
      <c r="M52" s="20"/>
      <c r="N52" s="7"/>
      <c r="O52" s="21"/>
      <c r="P52" s="74"/>
      <c r="Q52" s="72"/>
    </row>
    <row r="53" spans="1:17" ht="12.75">
      <c r="A53" s="32" t="s">
        <v>35</v>
      </c>
      <c r="B53" s="86"/>
      <c r="C53" s="108"/>
      <c r="D53" s="107">
        <f>389.37</f>
        <v>389.37</v>
      </c>
      <c r="E53" s="107"/>
      <c r="F53" s="206">
        <f t="shared" si="10"/>
        <v>389.37</v>
      </c>
      <c r="G53" s="236">
        <f>288.83</f>
        <v>288.83</v>
      </c>
      <c r="H53" s="224"/>
      <c r="I53" s="223">
        <f t="shared" si="11"/>
        <v>678.2</v>
      </c>
      <c r="J53" s="236">
        <f>340.85+297.85</f>
        <v>638.7</v>
      </c>
      <c r="K53" s="286"/>
      <c r="L53" s="223">
        <f t="shared" si="12"/>
        <v>1316.9</v>
      </c>
      <c r="M53" s="20"/>
      <c r="N53" s="7"/>
      <c r="O53" s="21">
        <f t="shared" si="13"/>
        <v>1316.9</v>
      </c>
      <c r="P53" s="79"/>
      <c r="Q53" s="72">
        <f t="shared" si="1"/>
        <v>1316.9</v>
      </c>
    </row>
    <row r="54" spans="1:17" ht="12.75">
      <c r="A54" s="32" t="s">
        <v>36</v>
      </c>
      <c r="B54" s="86"/>
      <c r="C54" s="108"/>
      <c r="D54" s="107"/>
      <c r="E54" s="107"/>
      <c r="F54" s="206">
        <f t="shared" si="10"/>
        <v>0</v>
      </c>
      <c r="G54" s="236">
        <f>603+492</f>
        <v>1095</v>
      </c>
      <c r="H54" s="224"/>
      <c r="I54" s="223">
        <f t="shared" si="11"/>
        <v>1095</v>
      </c>
      <c r="J54" s="269">
        <f>500</f>
        <v>500</v>
      </c>
      <c r="K54" s="286"/>
      <c r="L54" s="223">
        <f t="shared" si="12"/>
        <v>1595</v>
      </c>
      <c r="M54" s="20"/>
      <c r="N54" s="7"/>
      <c r="O54" s="21">
        <f t="shared" si="13"/>
        <v>1595</v>
      </c>
      <c r="P54" s="74"/>
      <c r="Q54" s="72">
        <f t="shared" si="1"/>
        <v>1595</v>
      </c>
    </row>
    <row r="55" spans="1:17" ht="12.75" hidden="1">
      <c r="A55" s="32" t="s">
        <v>184</v>
      </c>
      <c r="B55" s="86"/>
      <c r="C55" s="108"/>
      <c r="D55" s="107"/>
      <c r="E55" s="107"/>
      <c r="F55" s="206">
        <f t="shared" si="10"/>
        <v>0</v>
      </c>
      <c r="G55" s="236"/>
      <c r="H55" s="224"/>
      <c r="I55" s="223">
        <f t="shared" si="11"/>
        <v>0</v>
      </c>
      <c r="J55" s="269"/>
      <c r="K55" s="286"/>
      <c r="L55" s="223"/>
      <c r="M55" s="20"/>
      <c r="N55" s="7"/>
      <c r="O55" s="21"/>
      <c r="P55" s="74"/>
      <c r="Q55" s="72"/>
    </row>
    <row r="56" spans="1:17" ht="12.75" hidden="1">
      <c r="A56" s="32" t="s">
        <v>142</v>
      </c>
      <c r="B56" s="86"/>
      <c r="C56" s="108"/>
      <c r="D56" s="107"/>
      <c r="E56" s="107"/>
      <c r="F56" s="206">
        <f t="shared" si="10"/>
        <v>0</v>
      </c>
      <c r="G56" s="236"/>
      <c r="H56" s="224"/>
      <c r="I56" s="223">
        <f t="shared" si="11"/>
        <v>0</v>
      </c>
      <c r="J56" s="269"/>
      <c r="K56" s="286"/>
      <c r="L56" s="223"/>
      <c r="M56" s="20"/>
      <c r="N56" s="7"/>
      <c r="O56" s="21">
        <f t="shared" si="13"/>
        <v>0</v>
      </c>
      <c r="P56" s="74"/>
      <c r="Q56" s="72">
        <f t="shared" si="1"/>
        <v>0</v>
      </c>
    </row>
    <row r="57" spans="1:17" ht="12.75" hidden="1">
      <c r="A57" s="32" t="s">
        <v>37</v>
      </c>
      <c r="B57" s="86"/>
      <c r="C57" s="108"/>
      <c r="D57" s="107"/>
      <c r="E57" s="107"/>
      <c r="F57" s="206">
        <f t="shared" si="10"/>
        <v>0</v>
      </c>
      <c r="G57" s="236"/>
      <c r="H57" s="224"/>
      <c r="I57" s="223">
        <f t="shared" si="11"/>
        <v>0</v>
      </c>
      <c r="J57" s="236"/>
      <c r="K57" s="286"/>
      <c r="L57" s="223">
        <f t="shared" si="12"/>
        <v>0</v>
      </c>
      <c r="M57" s="20"/>
      <c r="N57" s="7"/>
      <c r="O57" s="21">
        <f t="shared" si="13"/>
        <v>0</v>
      </c>
      <c r="P57" s="74"/>
      <c r="Q57" s="72">
        <f t="shared" si="1"/>
        <v>0</v>
      </c>
    </row>
    <row r="58" spans="1:17" ht="12.75" hidden="1">
      <c r="A58" s="32" t="s">
        <v>44</v>
      </c>
      <c r="B58" s="86"/>
      <c r="C58" s="108"/>
      <c r="D58" s="107"/>
      <c r="E58" s="107"/>
      <c r="F58" s="206">
        <f t="shared" si="10"/>
        <v>0</v>
      </c>
      <c r="G58" s="236"/>
      <c r="H58" s="224"/>
      <c r="I58" s="223">
        <f t="shared" si="11"/>
        <v>0</v>
      </c>
      <c r="J58" s="236"/>
      <c r="K58" s="286"/>
      <c r="L58" s="223">
        <f t="shared" si="12"/>
        <v>0</v>
      </c>
      <c r="M58" s="20"/>
      <c r="N58" s="7"/>
      <c r="O58" s="21">
        <f t="shared" si="13"/>
        <v>0</v>
      </c>
      <c r="P58" s="74"/>
      <c r="Q58" s="72">
        <f t="shared" si="1"/>
        <v>0</v>
      </c>
    </row>
    <row r="59" spans="1:17" ht="12.75" hidden="1">
      <c r="A59" s="32" t="s">
        <v>38</v>
      </c>
      <c r="B59" s="86"/>
      <c r="C59" s="108"/>
      <c r="D59" s="107"/>
      <c r="E59" s="107"/>
      <c r="F59" s="206">
        <f t="shared" si="10"/>
        <v>0</v>
      </c>
      <c r="G59" s="236"/>
      <c r="H59" s="224"/>
      <c r="I59" s="223">
        <f t="shared" si="11"/>
        <v>0</v>
      </c>
      <c r="J59" s="236"/>
      <c r="K59" s="286"/>
      <c r="L59" s="223">
        <f t="shared" si="12"/>
        <v>0</v>
      </c>
      <c r="M59" s="20"/>
      <c r="N59" s="7"/>
      <c r="O59" s="21">
        <f t="shared" si="13"/>
        <v>0</v>
      </c>
      <c r="P59" s="74"/>
      <c r="Q59" s="72">
        <f t="shared" si="1"/>
        <v>0</v>
      </c>
    </row>
    <row r="60" spans="1:17" ht="12.75" hidden="1">
      <c r="A60" s="32" t="s">
        <v>39</v>
      </c>
      <c r="B60" s="86"/>
      <c r="C60" s="108"/>
      <c r="D60" s="107"/>
      <c r="E60" s="107"/>
      <c r="F60" s="206">
        <f t="shared" si="10"/>
        <v>0</v>
      </c>
      <c r="G60" s="236"/>
      <c r="H60" s="224"/>
      <c r="I60" s="223">
        <f t="shared" si="11"/>
        <v>0</v>
      </c>
      <c r="J60" s="236"/>
      <c r="K60" s="286"/>
      <c r="L60" s="223">
        <f t="shared" si="12"/>
        <v>0</v>
      </c>
      <c r="M60" s="20"/>
      <c r="N60" s="7"/>
      <c r="O60" s="21">
        <f t="shared" si="13"/>
        <v>0</v>
      </c>
      <c r="P60" s="74"/>
      <c r="Q60" s="72">
        <f t="shared" si="1"/>
        <v>0</v>
      </c>
    </row>
    <row r="61" spans="1:17" ht="12.75">
      <c r="A61" s="32" t="s">
        <v>40</v>
      </c>
      <c r="B61" s="86"/>
      <c r="C61" s="108">
        <v>250</v>
      </c>
      <c r="D61" s="107">
        <f>7.7</f>
        <v>7.7</v>
      </c>
      <c r="E61" s="107"/>
      <c r="F61" s="206">
        <f t="shared" si="10"/>
        <v>257.7</v>
      </c>
      <c r="G61" s="236">
        <f>1850.95</f>
        <v>1850.95</v>
      </c>
      <c r="H61" s="224"/>
      <c r="I61" s="223">
        <f t="shared" si="11"/>
        <v>2108.65</v>
      </c>
      <c r="J61" s="236">
        <f>-7.7</f>
        <v>-7.7</v>
      </c>
      <c r="K61" s="286"/>
      <c r="L61" s="223">
        <f t="shared" si="12"/>
        <v>2100.9500000000003</v>
      </c>
      <c r="M61" s="20"/>
      <c r="N61" s="7"/>
      <c r="O61" s="21">
        <f t="shared" si="13"/>
        <v>2100.9500000000003</v>
      </c>
      <c r="P61" s="74"/>
      <c r="Q61" s="72">
        <f t="shared" si="1"/>
        <v>2100.9500000000003</v>
      </c>
    </row>
    <row r="62" spans="1:17" ht="12.75">
      <c r="A62" s="32" t="s">
        <v>145</v>
      </c>
      <c r="B62" s="86"/>
      <c r="C62" s="108"/>
      <c r="D62" s="107"/>
      <c r="E62" s="107"/>
      <c r="F62" s="206">
        <f t="shared" si="10"/>
        <v>0</v>
      </c>
      <c r="G62" s="236">
        <f>11063.69</f>
        <v>11063.69</v>
      </c>
      <c r="H62" s="224"/>
      <c r="I62" s="223">
        <f t="shared" si="11"/>
        <v>11063.69</v>
      </c>
      <c r="J62" s="236">
        <f>-11063.69</f>
        <v>-11063.69</v>
      </c>
      <c r="K62" s="286"/>
      <c r="L62" s="223">
        <f t="shared" si="12"/>
        <v>0</v>
      </c>
      <c r="M62" s="20"/>
      <c r="N62" s="7"/>
      <c r="O62" s="21">
        <f t="shared" si="13"/>
        <v>0</v>
      </c>
      <c r="P62" s="74"/>
      <c r="Q62" s="72">
        <f t="shared" si="1"/>
        <v>0</v>
      </c>
    </row>
    <row r="63" spans="1:17" ht="12.75">
      <c r="A63" s="29" t="s">
        <v>41</v>
      </c>
      <c r="B63" s="83"/>
      <c r="C63" s="105">
        <f>SUM(C65:C79)</f>
        <v>0</v>
      </c>
      <c r="D63" s="106">
        <f aca="true" t="shared" si="14" ref="D63:Q63">SUM(D65:D79)</f>
        <v>50153.369999999995</v>
      </c>
      <c r="E63" s="106">
        <f t="shared" si="14"/>
        <v>0</v>
      </c>
      <c r="F63" s="205">
        <f t="shared" si="14"/>
        <v>50153.369999999995</v>
      </c>
      <c r="G63" s="232">
        <f t="shared" si="14"/>
        <v>701627.75</v>
      </c>
      <c r="H63" s="248">
        <f t="shared" si="14"/>
        <v>0</v>
      </c>
      <c r="I63" s="222">
        <f t="shared" si="14"/>
        <v>751781.12</v>
      </c>
      <c r="J63" s="232">
        <f t="shared" si="14"/>
        <v>49604.37</v>
      </c>
      <c r="K63" s="285">
        <f t="shared" si="14"/>
        <v>0</v>
      </c>
      <c r="L63" s="222">
        <f t="shared" si="14"/>
        <v>801385.4900000001</v>
      </c>
      <c r="M63" s="105">
        <f t="shared" si="14"/>
        <v>0</v>
      </c>
      <c r="N63" s="105">
        <f t="shared" si="14"/>
        <v>0</v>
      </c>
      <c r="O63" s="105">
        <f t="shared" si="14"/>
        <v>800945.4900000001</v>
      </c>
      <c r="P63" s="105">
        <f t="shared" si="14"/>
        <v>0</v>
      </c>
      <c r="Q63" s="159">
        <f t="shared" si="14"/>
        <v>800945.4900000001</v>
      </c>
    </row>
    <row r="64" spans="1:17" ht="12.75">
      <c r="A64" s="34" t="s">
        <v>26</v>
      </c>
      <c r="B64" s="88"/>
      <c r="C64" s="108"/>
      <c r="D64" s="107"/>
      <c r="E64" s="107"/>
      <c r="F64" s="206"/>
      <c r="G64" s="236"/>
      <c r="H64" s="224"/>
      <c r="I64" s="223"/>
      <c r="J64" s="236"/>
      <c r="K64" s="286"/>
      <c r="L64" s="223"/>
      <c r="M64" s="20"/>
      <c r="N64" s="7"/>
      <c r="O64" s="21"/>
      <c r="P64" s="74"/>
      <c r="Q64" s="72"/>
    </row>
    <row r="65" spans="1:17" ht="12.75" hidden="1">
      <c r="A65" s="32" t="s">
        <v>29</v>
      </c>
      <c r="B65" s="86"/>
      <c r="C65" s="108"/>
      <c r="D65" s="107"/>
      <c r="E65" s="107"/>
      <c r="F65" s="206">
        <f aca="true" t="shared" si="15" ref="F65:F79">C65+D65+E65</f>
        <v>0</v>
      </c>
      <c r="G65" s="236"/>
      <c r="H65" s="224"/>
      <c r="I65" s="223">
        <f>F65+G65+H65</f>
        <v>0</v>
      </c>
      <c r="J65" s="236"/>
      <c r="K65" s="286"/>
      <c r="L65" s="223">
        <f>I65+J65+K65</f>
        <v>0</v>
      </c>
      <c r="M65" s="20"/>
      <c r="N65" s="7"/>
      <c r="O65" s="21">
        <f>L65+M65+N65</f>
        <v>0</v>
      </c>
      <c r="P65" s="74"/>
      <c r="Q65" s="72">
        <f t="shared" si="1"/>
        <v>0</v>
      </c>
    </row>
    <row r="66" spans="1:18" ht="12.75">
      <c r="A66" s="36" t="s">
        <v>30</v>
      </c>
      <c r="B66" s="89"/>
      <c r="C66" s="108"/>
      <c r="D66" s="107"/>
      <c r="E66" s="107"/>
      <c r="F66" s="206">
        <f t="shared" si="15"/>
        <v>0</v>
      </c>
      <c r="G66" s="236">
        <f>8107.36+11925.81+12257.92</f>
        <v>32291.089999999997</v>
      </c>
      <c r="H66" s="224"/>
      <c r="I66" s="223">
        <f aca="true" t="shared" si="16" ref="I66:I79">F66+G66+H66</f>
        <v>32291.089999999997</v>
      </c>
      <c r="J66" s="236">
        <f>119.54</f>
        <v>119.54</v>
      </c>
      <c r="K66" s="286"/>
      <c r="L66" s="223">
        <f aca="true" t="shared" si="17" ref="L66:L79">I66+J66+K66</f>
        <v>32410.629999999997</v>
      </c>
      <c r="M66" s="20"/>
      <c r="N66" s="7"/>
      <c r="O66" s="21">
        <f aca="true" t="shared" si="18" ref="O66:O79">L66+M66+N66</f>
        <v>32410.629999999997</v>
      </c>
      <c r="P66" s="74"/>
      <c r="Q66" s="72">
        <f t="shared" si="1"/>
        <v>32410.629999999997</v>
      </c>
      <c r="R66" s="134"/>
    </row>
    <row r="67" spans="1:17" ht="12.75" hidden="1">
      <c r="A67" s="36" t="s">
        <v>28</v>
      </c>
      <c r="B67" s="89"/>
      <c r="C67" s="108"/>
      <c r="D67" s="107"/>
      <c r="E67" s="107"/>
      <c r="F67" s="206">
        <f t="shared" si="15"/>
        <v>0</v>
      </c>
      <c r="G67" s="236"/>
      <c r="H67" s="224"/>
      <c r="I67" s="223">
        <f t="shared" si="16"/>
        <v>0</v>
      </c>
      <c r="J67" s="236"/>
      <c r="K67" s="286"/>
      <c r="L67" s="223">
        <f t="shared" si="17"/>
        <v>0</v>
      </c>
      <c r="M67" s="20"/>
      <c r="N67" s="7"/>
      <c r="O67" s="21">
        <f t="shared" si="18"/>
        <v>0</v>
      </c>
      <c r="P67" s="74"/>
      <c r="Q67" s="72">
        <f t="shared" si="1"/>
        <v>0</v>
      </c>
    </row>
    <row r="68" spans="1:17" ht="12.75" hidden="1">
      <c r="A68" s="36" t="s">
        <v>42</v>
      </c>
      <c r="B68" s="89"/>
      <c r="C68" s="108"/>
      <c r="D68" s="107"/>
      <c r="E68" s="107"/>
      <c r="F68" s="206">
        <f t="shared" si="15"/>
        <v>0</v>
      </c>
      <c r="G68" s="236"/>
      <c r="H68" s="224"/>
      <c r="I68" s="223">
        <f t="shared" si="16"/>
        <v>0</v>
      </c>
      <c r="J68" s="236"/>
      <c r="K68" s="286"/>
      <c r="L68" s="223">
        <f t="shared" si="17"/>
        <v>0</v>
      </c>
      <c r="M68" s="20"/>
      <c r="N68" s="7"/>
      <c r="O68" s="21">
        <f t="shared" si="18"/>
        <v>0</v>
      </c>
      <c r="P68" s="74"/>
      <c r="Q68" s="72">
        <f t="shared" si="1"/>
        <v>0</v>
      </c>
    </row>
    <row r="69" spans="1:18" ht="12.75">
      <c r="A69" s="32" t="s">
        <v>31</v>
      </c>
      <c r="B69" s="86"/>
      <c r="C69" s="108"/>
      <c r="D69" s="107">
        <f>10557.37+21889.3+15539.92+2166.78</f>
        <v>50153.369999999995</v>
      </c>
      <c r="E69" s="107"/>
      <c r="F69" s="206">
        <f t="shared" si="15"/>
        <v>50153.369999999995</v>
      </c>
      <c r="G69" s="236">
        <f>1556.23+4257.22+2057.75+7249.16+739.53+30925.71+2767.29+5056.24</f>
        <v>54609.13</v>
      </c>
      <c r="H69" s="224"/>
      <c r="I69" s="223">
        <f t="shared" si="16"/>
        <v>104762.5</v>
      </c>
      <c r="J69" s="236">
        <f>780.74+7152.84+3161.87+17954.49</f>
        <v>29049.940000000002</v>
      </c>
      <c r="K69" s="286"/>
      <c r="L69" s="223">
        <f t="shared" si="17"/>
        <v>133812.44</v>
      </c>
      <c r="M69" s="20"/>
      <c r="N69" s="7"/>
      <c r="O69" s="21">
        <f t="shared" si="18"/>
        <v>133812.44</v>
      </c>
      <c r="P69" s="74"/>
      <c r="Q69" s="72">
        <f t="shared" si="1"/>
        <v>133812.44</v>
      </c>
      <c r="R69" s="134"/>
    </row>
    <row r="70" spans="1:18" ht="12.75">
      <c r="A70" s="32" t="s">
        <v>32</v>
      </c>
      <c r="B70" s="86"/>
      <c r="C70" s="108"/>
      <c r="D70" s="107"/>
      <c r="E70" s="107"/>
      <c r="F70" s="206"/>
      <c r="G70" s="236"/>
      <c r="H70" s="224"/>
      <c r="I70" s="223">
        <f t="shared" si="16"/>
        <v>0</v>
      </c>
      <c r="J70" s="236">
        <f>440</f>
        <v>440</v>
      </c>
      <c r="K70" s="286"/>
      <c r="L70" s="223">
        <f t="shared" si="17"/>
        <v>440</v>
      </c>
      <c r="M70" s="20"/>
      <c r="N70" s="7"/>
      <c r="O70" s="21"/>
      <c r="P70" s="74"/>
      <c r="Q70" s="72"/>
      <c r="R70" s="134"/>
    </row>
    <row r="71" spans="1:17" ht="12.75" hidden="1">
      <c r="A71" s="32" t="s">
        <v>197</v>
      </c>
      <c r="B71" s="86"/>
      <c r="C71" s="108"/>
      <c r="D71" s="107"/>
      <c r="E71" s="107"/>
      <c r="F71" s="206">
        <f t="shared" si="15"/>
        <v>0</v>
      </c>
      <c r="G71" s="236"/>
      <c r="H71" s="224"/>
      <c r="I71" s="223">
        <f t="shared" si="16"/>
        <v>0</v>
      </c>
      <c r="J71" s="236"/>
      <c r="K71" s="286"/>
      <c r="L71" s="223">
        <f t="shared" si="17"/>
        <v>0</v>
      </c>
      <c r="M71" s="20"/>
      <c r="N71" s="7"/>
      <c r="O71" s="21"/>
      <c r="P71" s="74"/>
      <c r="Q71" s="72"/>
    </row>
    <row r="72" spans="1:18" ht="12.75">
      <c r="A72" s="32" t="s">
        <v>141</v>
      </c>
      <c r="B72" s="86"/>
      <c r="C72" s="108"/>
      <c r="D72" s="107"/>
      <c r="E72" s="107"/>
      <c r="F72" s="206">
        <f t="shared" si="15"/>
        <v>0</v>
      </c>
      <c r="G72" s="236">
        <f>6293.92+135200</f>
        <v>141493.92</v>
      </c>
      <c r="H72" s="224"/>
      <c r="I72" s="223">
        <f t="shared" si="16"/>
        <v>141493.92</v>
      </c>
      <c r="J72" s="236">
        <f>4000+67.75+1127.35+814.93+712.19</f>
        <v>6722.220000000001</v>
      </c>
      <c r="K72" s="286"/>
      <c r="L72" s="223">
        <f t="shared" si="17"/>
        <v>148216.14</v>
      </c>
      <c r="M72" s="20"/>
      <c r="N72" s="7"/>
      <c r="O72" s="21">
        <f t="shared" si="18"/>
        <v>148216.14</v>
      </c>
      <c r="P72" s="74"/>
      <c r="Q72" s="72">
        <f t="shared" si="1"/>
        <v>148216.14</v>
      </c>
      <c r="R72" s="134"/>
    </row>
    <row r="73" spans="1:17" ht="12.75" hidden="1">
      <c r="A73" s="32" t="s">
        <v>142</v>
      </c>
      <c r="B73" s="86"/>
      <c r="C73" s="108"/>
      <c r="D73" s="107"/>
      <c r="E73" s="107"/>
      <c r="F73" s="206">
        <f t="shared" si="15"/>
        <v>0</v>
      </c>
      <c r="G73" s="236"/>
      <c r="H73" s="224"/>
      <c r="I73" s="223">
        <f t="shared" si="16"/>
        <v>0</v>
      </c>
      <c r="J73" s="236"/>
      <c r="K73" s="286"/>
      <c r="L73" s="223">
        <f t="shared" si="17"/>
        <v>0</v>
      </c>
      <c r="M73" s="20"/>
      <c r="N73" s="7"/>
      <c r="O73" s="21">
        <f t="shared" si="18"/>
        <v>0</v>
      </c>
      <c r="P73" s="74"/>
      <c r="Q73" s="72">
        <f t="shared" si="1"/>
        <v>0</v>
      </c>
    </row>
    <row r="74" spans="1:17" ht="12.75">
      <c r="A74" s="32" t="s">
        <v>43</v>
      </c>
      <c r="B74" s="86"/>
      <c r="C74" s="108"/>
      <c r="D74" s="107"/>
      <c r="E74" s="107"/>
      <c r="F74" s="206">
        <f t="shared" si="15"/>
        <v>0</v>
      </c>
      <c r="G74" s="236">
        <f>29678.61+7665+258127+177763</f>
        <v>473233.61</v>
      </c>
      <c r="H74" s="224"/>
      <c r="I74" s="223">
        <f t="shared" si="16"/>
        <v>473233.61</v>
      </c>
      <c r="J74" s="236"/>
      <c r="K74" s="286"/>
      <c r="L74" s="223">
        <f t="shared" si="17"/>
        <v>473233.61</v>
      </c>
      <c r="M74" s="20"/>
      <c r="N74" s="7"/>
      <c r="O74" s="21">
        <f t="shared" si="18"/>
        <v>473233.61</v>
      </c>
      <c r="P74" s="74"/>
      <c r="Q74" s="72">
        <f t="shared" si="1"/>
        <v>473233.61</v>
      </c>
    </row>
    <row r="75" spans="1:17" ht="12.75" hidden="1">
      <c r="A75" s="32" t="s">
        <v>44</v>
      </c>
      <c r="B75" s="86"/>
      <c r="C75" s="108"/>
      <c r="D75" s="107"/>
      <c r="E75" s="107"/>
      <c r="F75" s="206">
        <f t="shared" si="15"/>
        <v>0</v>
      </c>
      <c r="G75" s="236"/>
      <c r="H75" s="224"/>
      <c r="I75" s="223">
        <f t="shared" si="16"/>
        <v>0</v>
      </c>
      <c r="J75" s="236"/>
      <c r="K75" s="286"/>
      <c r="L75" s="223">
        <f t="shared" si="17"/>
        <v>0</v>
      </c>
      <c r="M75" s="20"/>
      <c r="N75" s="7"/>
      <c r="O75" s="21">
        <f t="shared" si="18"/>
        <v>0</v>
      </c>
      <c r="P75" s="74"/>
      <c r="Q75" s="72">
        <f t="shared" si="1"/>
        <v>0</v>
      </c>
    </row>
    <row r="76" spans="1:17" ht="12.75" hidden="1">
      <c r="A76" s="32" t="s">
        <v>45</v>
      </c>
      <c r="B76" s="86"/>
      <c r="C76" s="108"/>
      <c r="D76" s="107"/>
      <c r="E76" s="107"/>
      <c r="F76" s="206">
        <f t="shared" si="15"/>
        <v>0</v>
      </c>
      <c r="G76" s="236"/>
      <c r="H76" s="224"/>
      <c r="I76" s="223">
        <f t="shared" si="16"/>
        <v>0</v>
      </c>
      <c r="J76" s="236"/>
      <c r="K76" s="286"/>
      <c r="L76" s="223">
        <f t="shared" si="17"/>
        <v>0</v>
      </c>
      <c r="M76" s="20"/>
      <c r="N76" s="7"/>
      <c r="O76" s="21">
        <f t="shared" si="18"/>
        <v>0</v>
      </c>
      <c r="P76" s="74"/>
      <c r="Q76" s="72">
        <f t="shared" si="1"/>
        <v>0</v>
      </c>
    </row>
    <row r="77" spans="1:18" ht="12.75">
      <c r="A77" s="32" t="s">
        <v>35</v>
      </c>
      <c r="B77" s="86"/>
      <c r="C77" s="108"/>
      <c r="D77" s="107"/>
      <c r="E77" s="107"/>
      <c r="F77" s="206">
        <f t="shared" si="15"/>
        <v>0</v>
      </c>
      <c r="G77" s="236"/>
      <c r="H77" s="224"/>
      <c r="I77" s="223">
        <f t="shared" si="16"/>
        <v>0</v>
      </c>
      <c r="J77" s="236">
        <f>13272.67</f>
        <v>13272.67</v>
      </c>
      <c r="K77" s="286"/>
      <c r="L77" s="223">
        <f t="shared" si="17"/>
        <v>13272.67</v>
      </c>
      <c r="M77" s="20"/>
      <c r="N77" s="7"/>
      <c r="O77" s="21">
        <f t="shared" si="18"/>
        <v>13272.67</v>
      </c>
      <c r="P77" s="79"/>
      <c r="Q77" s="72">
        <f t="shared" si="1"/>
        <v>13272.67</v>
      </c>
      <c r="R77" s="134"/>
    </row>
    <row r="78" spans="1:17" ht="12.75" hidden="1">
      <c r="A78" s="32" t="s">
        <v>39</v>
      </c>
      <c r="B78" s="86"/>
      <c r="C78" s="108"/>
      <c r="D78" s="107"/>
      <c r="E78" s="107"/>
      <c r="F78" s="206">
        <f t="shared" si="15"/>
        <v>0</v>
      </c>
      <c r="G78" s="236"/>
      <c r="H78" s="224"/>
      <c r="I78" s="223">
        <f t="shared" si="16"/>
        <v>0</v>
      </c>
      <c r="J78" s="236"/>
      <c r="K78" s="286"/>
      <c r="L78" s="223">
        <f t="shared" si="17"/>
        <v>0</v>
      </c>
      <c r="M78" s="20"/>
      <c r="N78" s="7"/>
      <c r="O78" s="21"/>
      <c r="P78" s="79"/>
      <c r="Q78" s="72"/>
    </row>
    <row r="79" spans="1:17" ht="12.75" hidden="1">
      <c r="A79" s="32" t="s">
        <v>145</v>
      </c>
      <c r="B79" s="86"/>
      <c r="C79" s="108"/>
      <c r="D79" s="107"/>
      <c r="E79" s="107"/>
      <c r="F79" s="206">
        <f t="shared" si="15"/>
        <v>0</v>
      </c>
      <c r="G79" s="236"/>
      <c r="H79" s="224"/>
      <c r="I79" s="223">
        <f t="shared" si="16"/>
        <v>0</v>
      </c>
      <c r="J79" s="236"/>
      <c r="K79" s="286"/>
      <c r="L79" s="223">
        <f t="shared" si="17"/>
        <v>0</v>
      </c>
      <c r="M79" s="20"/>
      <c r="N79" s="7"/>
      <c r="O79" s="21">
        <f t="shared" si="18"/>
        <v>0</v>
      </c>
      <c r="P79" s="74"/>
      <c r="Q79" s="72">
        <f t="shared" si="1"/>
        <v>0</v>
      </c>
    </row>
    <row r="80" spans="1:17" ht="16.5" thickBot="1">
      <c r="A80" s="37" t="s">
        <v>46</v>
      </c>
      <c r="B80" s="90"/>
      <c r="C80" s="111">
        <f aca="true" t="shared" si="19" ref="C80:L80">C11+C17+C39+C63+C31</f>
        <v>5115469.62</v>
      </c>
      <c r="D80" s="112">
        <f t="shared" si="19"/>
        <v>2012950.9999999998</v>
      </c>
      <c r="E80" s="112">
        <f t="shared" si="19"/>
        <v>32165.7</v>
      </c>
      <c r="F80" s="208">
        <f t="shared" si="19"/>
        <v>7160586.32</v>
      </c>
      <c r="G80" s="226">
        <f t="shared" si="19"/>
        <v>9823533.39</v>
      </c>
      <c r="H80" s="227">
        <f t="shared" si="19"/>
        <v>35201.369999999995</v>
      </c>
      <c r="I80" s="228">
        <f t="shared" si="19"/>
        <v>17019321.08</v>
      </c>
      <c r="J80" s="226">
        <f t="shared" si="19"/>
        <v>986724.2100000001</v>
      </c>
      <c r="K80" s="296">
        <f t="shared" si="19"/>
        <v>0</v>
      </c>
      <c r="L80" s="228">
        <f t="shared" si="19"/>
        <v>18006045.289999995</v>
      </c>
      <c r="M80" s="111" t="e">
        <f>M11+M17+M39+M63+M31+#REF!</f>
        <v>#REF!</v>
      </c>
      <c r="N80" s="111" t="e">
        <f>N11+N17+N39+N63+N31+#REF!</f>
        <v>#REF!</v>
      </c>
      <c r="O80" s="111" t="e">
        <f>O11+O17+O39+O63+O31+#REF!</f>
        <v>#REF!</v>
      </c>
      <c r="P80" s="111" t="e">
        <f>P11+P17+P39+P63+P31+#REF!</f>
        <v>#REF!</v>
      </c>
      <c r="Q80" s="163" t="e">
        <f>Q11+Q17+Q39+Q63+Q31+#REF!</f>
        <v>#REF!</v>
      </c>
    </row>
    <row r="81" spans="1:17" ht="12.75">
      <c r="A81" s="29" t="s">
        <v>47</v>
      </c>
      <c r="B81" s="83"/>
      <c r="C81" s="105"/>
      <c r="D81" s="107"/>
      <c r="E81" s="107"/>
      <c r="F81" s="206"/>
      <c r="G81" s="236"/>
      <c r="H81" s="224"/>
      <c r="I81" s="223"/>
      <c r="J81" s="236"/>
      <c r="K81" s="286"/>
      <c r="L81" s="223"/>
      <c r="M81" s="20"/>
      <c r="N81" s="7"/>
      <c r="O81" s="21"/>
      <c r="P81" s="74"/>
      <c r="Q81" s="72"/>
    </row>
    <row r="82" spans="1:17" ht="12.75">
      <c r="A82" s="29" t="s">
        <v>62</v>
      </c>
      <c r="B82" s="95"/>
      <c r="C82" s="105">
        <f aca="true" t="shared" si="20" ref="C82:Q82">C83+C91</f>
        <v>122277</v>
      </c>
      <c r="D82" s="106">
        <f t="shared" si="20"/>
        <v>43316.020000000004</v>
      </c>
      <c r="E82" s="106">
        <f t="shared" si="20"/>
        <v>0</v>
      </c>
      <c r="F82" s="205">
        <f t="shared" si="20"/>
        <v>165593.02000000002</v>
      </c>
      <c r="G82" s="232">
        <f t="shared" si="20"/>
        <v>4638.54</v>
      </c>
      <c r="H82" s="248">
        <f t="shared" si="20"/>
        <v>19145.3</v>
      </c>
      <c r="I82" s="222">
        <f t="shared" si="20"/>
        <v>189376.86</v>
      </c>
      <c r="J82" s="232">
        <f>J83+J91</f>
        <v>354.82</v>
      </c>
      <c r="K82" s="285">
        <f>K83+K91</f>
        <v>0</v>
      </c>
      <c r="L82" s="222">
        <f>L83+L91</f>
        <v>189731.68</v>
      </c>
      <c r="M82" s="105">
        <f t="shared" si="20"/>
        <v>0</v>
      </c>
      <c r="N82" s="105">
        <f t="shared" si="20"/>
        <v>0</v>
      </c>
      <c r="O82" s="105">
        <f t="shared" si="20"/>
        <v>91343.68000000001</v>
      </c>
      <c r="P82" s="105">
        <f t="shared" si="20"/>
        <v>0</v>
      </c>
      <c r="Q82" s="159">
        <f t="shared" si="20"/>
        <v>91343.68000000001</v>
      </c>
    </row>
    <row r="83" spans="1:17" ht="12.75">
      <c r="A83" s="38" t="s">
        <v>49</v>
      </c>
      <c r="B83" s="95"/>
      <c r="C83" s="113">
        <f aca="true" t="shared" si="21" ref="C83:Q83">SUM(C85:C89)</f>
        <v>69277</v>
      </c>
      <c r="D83" s="114">
        <f t="shared" si="21"/>
        <v>13168.96</v>
      </c>
      <c r="E83" s="114">
        <f t="shared" si="21"/>
        <v>0</v>
      </c>
      <c r="F83" s="209">
        <f t="shared" si="21"/>
        <v>82445.96</v>
      </c>
      <c r="G83" s="233">
        <f t="shared" si="21"/>
        <v>597.74</v>
      </c>
      <c r="H83" s="251">
        <f t="shared" si="21"/>
        <v>0</v>
      </c>
      <c r="I83" s="229">
        <f t="shared" si="21"/>
        <v>83043.7</v>
      </c>
      <c r="J83" s="233">
        <f>SUM(J85:J89)</f>
        <v>0</v>
      </c>
      <c r="K83" s="290">
        <f>SUM(K85:K89)</f>
        <v>0</v>
      </c>
      <c r="L83" s="229">
        <f>SUM(L85:L89)</f>
        <v>83043.7</v>
      </c>
      <c r="M83" s="113">
        <f t="shared" si="21"/>
        <v>0</v>
      </c>
      <c r="N83" s="113">
        <f t="shared" si="21"/>
        <v>0</v>
      </c>
      <c r="O83" s="113">
        <f t="shared" si="21"/>
        <v>12655.7</v>
      </c>
      <c r="P83" s="113">
        <f t="shared" si="21"/>
        <v>0</v>
      </c>
      <c r="Q83" s="164">
        <f t="shared" si="21"/>
        <v>12655.7</v>
      </c>
    </row>
    <row r="84" spans="1:17" ht="12.75">
      <c r="A84" s="34" t="s">
        <v>26</v>
      </c>
      <c r="B84" s="91"/>
      <c r="C84" s="108"/>
      <c r="D84" s="107"/>
      <c r="E84" s="107"/>
      <c r="F84" s="205"/>
      <c r="G84" s="236"/>
      <c r="H84" s="224"/>
      <c r="I84" s="222"/>
      <c r="J84" s="236"/>
      <c r="K84" s="286"/>
      <c r="L84" s="222"/>
      <c r="M84" s="20"/>
      <c r="N84" s="7"/>
      <c r="O84" s="19"/>
      <c r="P84" s="74"/>
      <c r="Q84" s="72"/>
    </row>
    <row r="85" spans="1:17" ht="12.75">
      <c r="A85" s="32" t="s">
        <v>51</v>
      </c>
      <c r="B85" s="91"/>
      <c r="C85" s="108">
        <v>7889</v>
      </c>
      <c r="D85" s="107"/>
      <c r="E85" s="107"/>
      <c r="F85" s="206">
        <f aca="true" t="shared" si="22" ref="F85:F90">C85+D85+E85</f>
        <v>7889</v>
      </c>
      <c r="G85" s="236"/>
      <c r="H85" s="224"/>
      <c r="I85" s="223">
        <f aca="true" t="shared" si="23" ref="I85:I90">F85+G85+H85</f>
        <v>7889</v>
      </c>
      <c r="J85" s="236"/>
      <c r="K85" s="286"/>
      <c r="L85" s="223">
        <f aca="true" t="shared" si="24" ref="L85:L90">I85+J85+K85</f>
        <v>7889</v>
      </c>
      <c r="M85" s="20"/>
      <c r="N85" s="7"/>
      <c r="O85" s="21">
        <f aca="true" t="shared" si="25" ref="O85:O90">L85+M85+N85</f>
        <v>7889</v>
      </c>
      <c r="P85" s="74"/>
      <c r="Q85" s="72">
        <f>O85+P85</f>
        <v>7889</v>
      </c>
    </row>
    <row r="86" spans="1:17" ht="12.75" hidden="1">
      <c r="A86" s="32" t="s">
        <v>64</v>
      </c>
      <c r="B86" s="91"/>
      <c r="C86" s="108"/>
      <c r="D86" s="107"/>
      <c r="E86" s="107"/>
      <c r="F86" s="206">
        <f t="shared" si="22"/>
        <v>0</v>
      </c>
      <c r="G86" s="236"/>
      <c r="H86" s="224"/>
      <c r="I86" s="223">
        <f t="shared" si="23"/>
        <v>0</v>
      </c>
      <c r="J86" s="236"/>
      <c r="K86" s="286"/>
      <c r="L86" s="223">
        <f t="shared" si="24"/>
        <v>0</v>
      </c>
      <c r="M86" s="20"/>
      <c r="N86" s="7"/>
      <c r="O86" s="21">
        <f t="shared" si="25"/>
        <v>0</v>
      </c>
      <c r="P86" s="74"/>
      <c r="Q86" s="72">
        <f>O86+P86</f>
        <v>0</v>
      </c>
    </row>
    <row r="87" spans="1:17" ht="12.75">
      <c r="A87" s="36" t="s">
        <v>189</v>
      </c>
      <c r="B87" s="91"/>
      <c r="C87" s="108">
        <v>61388</v>
      </c>
      <c r="D87" s="107">
        <f>9000</f>
        <v>9000</v>
      </c>
      <c r="E87" s="107"/>
      <c r="F87" s="206">
        <f t="shared" si="22"/>
        <v>70388</v>
      </c>
      <c r="G87" s="236"/>
      <c r="H87" s="224"/>
      <c r="I87" s="223">
        <f t="shared" si="23"/>
        <v>70388</v>
      </c>
      <c r="J87" s="236"/>
      <c r="K87" s="286"/>
      <c r="L87" s="223">
        <f t="shared" si="24"/>
        <v>70388</v>
      </c>
      <c r="M87" s="20"/>
      <c r="N87" s="7"/>
      <c r="O87" s="21"/>
      <c r="P87" s="74"/>
      <c r="Q87" s="72"/>
    </row>
    <row r="88" spans="1:17" ht="12.75" hidden="1">
      <c r="A88" s="32" t="s">
        <v>75</v>
      </c>
      <c r="B88" s="91"/>
      <c r="C88" s="108"/>
      <c r="D88" s="107"/>
      <c r="E88" s="107"/>
      <c r="F88" s="206">
        <f t="shared" si="22"/>
        <v>0</v>
      </c>
      <c r="G88" s="236"/>
      <c r="H88" s="224"/>
      <c r="I88" s="223">
        <f t="shared" si="23"/>
        <v>0</v>
      </c>
      <c r="J88" s="236"/>
      <c r="K88" s="286"/>
      <c r="L88" s="223">
        <f t="shared" si="24"/>
        <v>0</v>
      </c>
      <c r="M88" s="20"/>
      <c r="N88" s="7"/>
      <c r="O88" s="21">
        <f t="shared" si="25"/>
        <v>0</v>
      </c>
      <c r="P88" s="74"/>
      <c r="Q88" s="72">
        <f>O88+P88</f>
        <v>0</v>
      </c>
    </row>
    <row r="89" spans="1:17" ht="13.5" thickBot="1">
      <c r="A89" s="309" t="s">
        <v>65</v>
      </c>
      <c r="B89" s="130"/>
      <c r="C89" s="188"/>
      <c r="D89" s="131">
        <f>4168.96</f>
        <v>4168.96</v>
      </c>
      <c r="E89" s="131"/>
      <c r="F89" s="212">
        <f t="shared" si="22"/>
        <v>4168.96</v>
      </c>
      <c r="G89" s="310">
        <f>597.74</f>
        <v>597.74</v>
      </c>
      <c r="H89" s="311"/>
      <c r="I89" s="312">
        <f t="shared" si="23"/>
        <v>4766.7</v>
      </c>
      <c r="J89" s="310"/>
      <c r="K89" s="313"/>
      <c r="L89" s="312">
        <f t="shared" si="24"/>
        <v>4766.7</v>
      </c>
      <c r="M89" s="20"/>
      <c r="N89" s="7"/>
      <c r="O89" s="21">
        <f t="shared" si="25"/>
        <v>4766.7</v>
      </c>
      <c r="P89" s="74"/>
      <c r="Q89" s="72">
        <f>O89+P89</f>
        <v>4766.7</v>
      </c>
    </row>
    <row r="90" spans="1:17" ht="12.75" hidden="1">
      <c r="A90" s="31" t="s">
        <v>66</v>
      </c>
      <c r="B90" s="91"/>
      <c r="C90" s="108"/>
      <c r="D90" s="107"/>
      <c r="E90" s="107"/>
      <c r="F90" s="206">
        <f t="shared" si="22"/>
        <v>0</v>
      </c>
      <c r="G90" s="236"/>
      <c r="H90" s="224"/>
      <c r="I90" s="223">
        <f t="shared" si="23"/>
        <v>0</v>
      </c>
      <c r="J90" s="236"/>
      <c r="K90" s="286"/>
      <c r="L90" s="223">
        <f t="shared" si="24"/>
        <v>0</v>
      </c>
      <c r="M90" s="20"/>
      <c r="N90" s="7"/>
      <c r="O90" s="21">
        <f t="shared" si="25"/>
        <v>0</v>
      </c>
      <c r="P90" s="74"/>
      <c r="Q90" s="72">
        <f>O90+P90</f>
        <v>0</v>
      </c>
    </row>
    <row r="91" spans="1:17" ht="12.75">
      <c r="A91" s="39" t="s">
        <v>53</v>
      </c>
      <c r="B91" s="95"/>
      <c r="C91" s="116">
        <f>SUM(C93:C99)</f>
        <v>53000</v>
      </c>
      <c r="D91" s="117">
        <f aca="true" t="shared" si="26" ref="D91:Q91">SUM(D93:D99)</f>
        <v>30147.06</v>
      </c>
      <c r="E91" s="117">
        <f t="shared" si="26"/>
        <v>0</v>
      </c>
      <c r="F91" s="210">
        <f t="shared" si="26"/>
        <v>83147.06</v>
      </c>
      <c r="G91" s="267">
        <f t="shared" si="26"/>
        <v>4040.8</v>
      </c>
      <c r="H91" s="252">
        <f t="shared" si="26"/>
        <v>19145.3</v>
      </c>
      <c r="I91" s="230">
        <f t="shared" si="26"/>
        <v>106333.16</v>
      </c>
      <c r="J91" s="267">
        <f t="shared" si="26"/>
        <v>354.82</v>
      </c>
      <c r="K91" s="297">
        <f t="shared" si="26"/>
        <v>0</v>
      </c>
      <c r="L91" s="230">
        <f t="shared" si="26"/>
        <v>106687.98000000001</v>
      </c>
      <c r="M91" s="116">
        <f t="shared" si="26"/>
        <v>0</v>
      </c>
      <c r="N91" s="116">
        <f t="shared" si="26"/>
        <v>0</v>
      </c>
      <c r="O91" s="116">
        <f t="shared" si="26"/>
        <v>78687.98000000001</v>
      </c>
      <c r="P91" s="116">
        <f t="shared" si="26"/>
        <v>0</v>
      </c>
      <c r="Q91" s="165">
        <f t="shared" si="26"/>
        <v>78687.98000000001</v>
      </c>
    </row>
    <row r="92" spans="1:17" ht="12.75">
      <c r="A92" s="30" t="s">
        <v>26</v>
      </c>
      <c r="B92" s="91"/>
      <c r="C92" s="109"/>
      <c r="D92" s="110"/>
      <c r="E92" s="110"/>
      <c r="F92" s="207"/>
      <c r="G92" s="266"/>
      <c r="H92" s="250"/>
      <c r="I92" s="225"/>
      <c r="J92" s="266"/>
      <c r="K92" s="288"/>
      <c r="L92" s="225"/>
      <c r="M92" s="22"/>
      <c r="N92" s="8"/>
      <c r="O92" s="23"/>
      <c r="P92" s="74"/>
      <c r="Q92" s="72"/>
    </row>
    <row r="93" spans="1:17" ht="12.75">
      <c r="A93" s="92" t="s">
        <v>267</v>
      </c>
      <c r="B93" s="280"/>
      <c r="C93" s="108"/>
      <c r="D93" s="107">
        <f>8098.52</f>
        <v>8098.52</v>
      </c>
      <c r="E93" s="107"/>
      <c r="F93" s="206">
        <f aca="true" t="shared" si="27" ref="F93:F100">C93+D93+E93</f>
        <v>8098.52</v>
      </c>
      <c r="G93" s="236">
        <f>4638.54</f>
        <v>4638.54</v>
      </c>
      <c r="H93" s="224">
        <f>8436</f>
        <v>8436</v>
      </c>
      <c r="I93" s="223">
        <f>F93+G93+H93</f>
        <v>21173.06</v>
      </c>
      <c r="J93" s="236">
        <f>354.82</f>
        <v>354.82</v>
      </c>
      <c r="K93" s="286"/>
      <c r="L93" s="223">
        <f>I93+J93+K93</f>
        <v>21527.88</v>
      </c>
      <c r="M93" s="20"/>
      <c r="N93" s="7"/>
      <c r="O93" s="21">
        <f>L93+M93+N93</f>
        <v>21527.88</v>
      </c>
      <c r="P93" s="74"/>
      <c r="Q93" s="72">
        <f>O93+P93</f>
        <v>21527.88</v>
      </c>
    </row>
    <row r="94" spans="1:17" ht="12.75">
      <c r="A94" s="36" t="s">
        <v>222</v>
      </c>
      <c r="B94" s="91"/>
      <c r="C94" s="108">
        <v>20000</v>
      </c>
      <c r="D94" s="107">
        <f>5000</f>
        <v>5000</v>
      </c>
      <c r="E94" s="107"/>
      <c r="F94" s="206">
        <f t="shared" si="27"/>
        <v>25000</v>
      </c>
      <c r="G94" s="236"/>
      <c r="H94" s="224"/>
      <c r="I94" s="223">
        <f aca="true" t="shared" si="28" ref="I94:I99">F94+G94+H94</f>
        <v>25000</v>
      </c>
      <c r="J94" s="236"/>
      <c r="K94" s="286"/>
      <c r="L94" s="223">
        <f aca="true" t="shared" si="29" ref="L94:L99">I94+J94+K94</f>
        <v>25000</v>
      </c>
      <c r="M94" s="20"/>
      <c r="N94" s="7"/>
      <c r="O94" s="21"/>
      <c r="P94" s="74"/>
      <c r="Q94" s="72"/>
    </row>
    <row r="95" spans="1:17" ht="12.75" hidden="1">
      <c r="A95" s="31" t="s">
        <v>54</v>
      </c>
      <c r="B95" s="91"/>
      <c r="C95" s="108"/>
      <c r="D95" s="107"/>
      <c r="E95" s="107"/>
      <c r="F95" s="206">
        <f t="shared" si="27"/>
        <v>0</v>
      </c>
      <c r="G95" s="236"/>
      <c r="H95" s="224"/>
      <c r="I95" s="223">
        <f t="shared" si="28"/>
        <v>0</v>
      </c>
      <c r="J95" s="236"/>
      <c r="K95" s="286"/>
      <c r="L95" s="223">
        <f t="shared" si="29"/>
        <v>0</v>
      </c>
      <c r="M95" s="20"/>
      <c r="N95" s="7"/>
      <c r="O95" s="21"/>
      <c r="P95" s="74"/>
      <c r="Q95" s="72"/>
    </row>
    <row r="96" spans="1:17" ht="12.75" hidden="1">
      <c r="A96" s="32" t="s">
        <v>188</v>
      </c>
      <c r="B96" s="91"/>
      <c r="C96" s="108"/>
      <c r="D96" s="107"/>
      <c r="E96" s="107"/>
      <c r="F96" s="206">
        <f t="shared" si="27"/>
        <v>0</v>
      </c>
      <c r="G96" s="236"/>
      <c r="H96" s="224"/>
      <c r="I96" s="223">
        <f t="shared" si="28"/>
        <v>0</v>
      </c>
      <c r="J96" s="236"/>
      <c r="K96" s="286"/>
      <c r="L96" s="223">
        <f t="shared" si="29"/>
        <v>0</v>
      </c>
      <c r="M96" s="20"/>
      <c r="N96" s="7"/>
      <c r="O96" s="21"/>
      <c r="P96" s="74"/>
      <c r="Q96" s="72"/>
    </row>
    <row r="97" spans="1:17" ht="12.75" hidden="1">
      <c r="A97" s="32" t="s">
        <v>75</v>
      </c>
      <c r="B97" s="91"/>
      <c r="C97" s="108"/>
      <c r="D97" s="107"/>
      <c r="E97" s="107"/>
      <c r="F97" s="206">
        <f t="shared" si="27"/>
        <v>0</v>
      </c>
      <c r="G97" s="236"/>
      <c r="H97" s="224"/>
      <c r="I97" s="223">
        <f t="shared" si="28"/>
        <v>0</v>
      </c>
      <c r="J97" s="236"/>
      <c r="K97" s="286"/>
      <c r="L97" s="223">
        <f t="shared" si="29"/>
        <v>0</v>
      </c>
      <c r="M97" s="20"/>
      <c r="N97" s="7"/>
      <c r="O97" s="21">
        <f>L97+M97+N97</f>
        <v>0</v>
      </c>
      <c r="P97" s="74"/>
      <c r="Q97" s="72">
        <f>O97+P97</f>
        <v>0</v>
      </c>
    </row>
    <row r="98" spans="1:17" ht="12.75">
      <c r="A98" s="32" t="s">
        <v>228</v>
      </c>
      <c r="B98" s="91"/>
      <c r="C98" s="108">
        <v>3000</v>
      </c>
      <c r="D98" s="107"/>
      <c r="E98" s="107"/>
      <c r="F98" s="206">
        <f t="shared" si="27"/>
        <v>3000</v>
      </c>
      <c r="G98" s="236"/>
      <c r="H98" s="224"/>
      <c r="I98" s="223">
        <f t="shared" si="28"/>
        <v>3000</v>
      </c>
      <c r="J98" s="236"/>
      <c r="K98" s="286"/>
      <c r="L98" s="223">
        <f t="shared" si="29"/>
        <v>3000</v>
      </c>
      <c r="M98" s="20"/>
      <c r="N98" s="7"/>
      <c r="O98" s="21"/>
      <c r="P98" s="74"/>
      <c r="Q98" s="72"/>
    </row>
    <row r="99" spans="1:17" ht="12.75">
      <c r="A99" s="40" t="s">
        <v>65</v>
      </c>
      <c r="B99" s="94"/>
      <c r="C99" s="186">
        <v>30000</v>
      </c>
      <c r="D99" s="115">
        <f>17048.54</f>
        <v>17048.54</v>
      </c>
      <c r="E99" s="115"/>
      <c r="F99" s="211">
        <f t="shared" si="27"/>
        <v>47048.54</v>
      </c>
      <c r="G99" s="235">
        <f>-597.74</f>
        <v>-597.74</v>
      </c>
      <c r="H99" s="253">
        <f>10709.3</f>
        <v>10709.3</v>
      </c>
      <c r="I99" s="231">
        <f t="shared" si="28"/>
        <v>57160.100000000006</v>
      </c>
      <c r="J99" s="235"/>
      <c r="K99" s="289"/>
      <c r="L99" s="231">
        <f t="shared" si="29"/>
        <v>57160.100000000006</v>
      </c>
      <c r="M99" s="20"/>
      <c r="N99" s="7"/>
      <c r="O99" s="21">
        <f>L99+M99+N99</f>
        <v>57160.100000000006</v>
      </c>
      <c r="P99" s="74"/>
      <c r="Q99" s="72">
        <f>O99+P99</f>
        <v>57160.100000000006</v>
      </c>
    </row>
    <row r="100" spans="1:17" ht="12.75" hidden="1">
      <c r="A100" s="40" t="s">
        <v>68</v>
      </c>
      <c r="B100" s="94"/>
      <c r="C100" s="186"/>
      <c r="D100" s="115"/>
      <c r="E100" s="115"/>
      <c r="F100" s="211">
        <f t="shared" si="27"/>
        <v>0</v>
      </c>
      <c r="G100" s="235"/>
      <c r="H100" s="253"/>
      <c r="I100" s="231">
        <f>F100+G100+H100</f>
        <v>0</v>
      </c>
      <c r="J100" s="235"/>
      <c r="K100" s="289"/>
      <c r="L100" s="231">
        <f>I100+J100+K100</f>
        <v>0</v>
      </c>
      <c r="M100" s="24"/>
      <c r="N100" s="9"/>
      <c r="O100" s="25">
        <f>L100+M100+N100</f>
        <v>0</v>
      </c>
      <c r="P100" s="77"/>
      <c r="Q100" s="78">
        <f>O100+P100</f>
        <v>0</v>
      </c>
    </row>
    <row r="101" spans="1:17" ht="12.75">
      <c r="A101" s="29" t="s">
        <v>295</v>
      </c>
      <c r="B101" s="95"/>
      <c r="C101" s="105">
        <f aca="true" t="shared" si="30" ref="C101:I101">C102+C105</f>
        <v>0</v>
      </c>
      <c r="D101" s="106">
        <f t="shared" si="30"/>
        <v>45060.35</v>
      </c>
      <c r="E101" s="106">
        <f t="shared" si="30"/>
        <v>0</v>
      </c>
      <c r="F101" s="205">
        <f t="shared" si="30"/>
        <v>45060.35</v>
      </c>
      <c r="G101" s="232">
        <f t="shared" si="30"/>
        <v>-14500</v>
      </c>
      <c r="H101" s="248">
        <f t="shared" si="30"/>
        <v>0</v>
      </c>
      <c r="I101" s="222">
        <f t="shared" si="30"/>
        <v>30560.35</v>
      </c>
      <c r="J101" s="232">
        <f>J102+J105</f>
        <v>1613.3200000000002</v>
      </c>
      <c r="K101" s="285">
        <f>K102+K105</f>
        <v>0</v>
      </c>
      <c r="L101" s="222">
        <f>L102+L105</f>
        <v>32173.67</v>
      </c>
      <c r="M101" s="20"/>
      <c r="N101" s="125"/>
      <c r="O101" s="80"/>
      <c r="P101" s="74"/>
      <c r="Q101" s="72"/>
    </row>
    <row r="102" spans="1:17" ht="12.75">
      <c r="A102" s="38" t="s">
        <v>49</v>
      </c>
      <c r="B102" s="95"/>
      <c r="C102" s="113">
        <f aca="true" t="shared" si="31" ref="C102:I102">SUM(C104:C104)</f>
        <v>0</v>
      </c>
      <c r="D102" s="114">
        <f t="shared" si="31"/>
        <v>45060.35</v>
      </c>
      <c r="E102" s="114">
        <f t="shared" si="31"/>
        <v>0</v>
      </c>
      <c r="F102" s="209">
        <f t="shared" si="31"/>
        <v>45060.35</v>
      </c>
      <c r="G102" s="233">
        <f t="shared" si="31"/>
        <v>-14500</v>
      </c>
      <c r="H102" s="251">
        <f t="shared" si="31"/>
        <v>0</v>
      </c>
      <c r="I102" s="229">
        <f t="shared" si="31"/>
        <v>30560.35</v>
      </c>
      <c r="J102" s="233">
        <f>SUM(J104:J104)</f>
        <v>1613.3200000000002</v>
      </c>
      <c r="K102" s="290">
        <f>SUM(K104:K104)</f>
        <v>0</v>
      </c>
      <c r="L102" s="229">
        <f>SUM(L104:L104)</f>
        <v>32173.67</v>
      </c>
      <c r="M102" s="20"/>
      <c r="N102" s="125"/>
      <c r="O102" s="80"/>
      <c r="P102" s="74"/>
      <c r="Q102" s="72"/>
    </row>
    <row r="103" spans="1:17" ht="12.75">
      <c r="A103" s="34" t="s">
        <v>26</v>
      </c>
      <c r="B103" s="91"/>
      <c r="C103" s="108"/>
      <c r="D103" s="107"/>
      <c r="E103" s="107"/>
      <c r="F103" s="206"/>
      <c r="G103" s="236"/>
      <c r="H103" s="224"/>
      <c r="I103" s="223"/>
      <c r="J103" s="236"/>
      <c r="K103" s="286"/>
      <c r="L103" s="223"/>
      <c r="M103" s="20"/>
      <c r="N103" s="125"/>
      <c r="O103" s="80"/>
      <c r="P103" s="74"/>
      <c r="Q103" s="72"/>
    </row>
    <row r="104" spans="1:17" ht="12.75" customHeight="1">
      <c r="A104" s="35" t="s">
        <v>51</v>
      </c>
      <c r="B104" s="94"/>
      <c r="C104" s="186"/>
      <c r="D104" s="115">
        <f>25455+19605.35</f>
        <v>45060.35</v>
      </c>
      <c r="E104" s="115"/>
      <c r="F104" s="211">
        <f>C104+D104+E104</f>
        <v>45060.35</v>
      </c>
      <c r="G104" s="235">
        <f>-14500</f>
        <v>-14500</v>
      </c>
      <c r="H104" s="253"/>
      <c r="I104" s="231">
        <f>F104+G104+H104</f>
        <v>30560.35</v>
      </c>
      <c r="J104" s="235">
        <f>613.32+1000</f>
        <v>1613.3200000000002</v>
      </c>
      <c r="K104" s="289"/>
      <c r="L104" s="231">
        <f>I104+J104+K104</f>
        <v>32173.67</v>
      </c>
      <c r="M104" s="20"/>
      <c r="N104" s="125"/>
      <c r="O104" s="80"/>
      <c r="P104" s="74"/>
      <c r="Q104" s="72"/>
    </row>
    <row r="105" spans="1:17" ht="12.75" hidden="1">
      <c r="A105" s="38" t="s">
        <v>53</v>
      </c>
      <c r="B105" s="95"/>
      <c r="C105" s="113">
        <f>C107</f>
        <v>0</v>
      </c>
      <c r="D105" s="114">
        <f>D107</f>
        <v>0</v>
      </c>
      <c r="E105" s="114">
        <f>SUM(E107:E108)</f>
        <v>0</v>
      </c>
      <c r="F105" s="209">
        <f>F107</f>
        <v>0</v>
      </c>
      <c r="G105" s="236"/>
      <c r="H105" s="224"/>
      <c r="I105" s="223"/>
      <c r="J105" s="236"/>
      <c r="K105" s="286"/>
      <c r="L105" s="223"/>
      <c r="M105" s="20"/>
      <c r="N105" s="125"/>
      <c r="O105" s="80"/>
      <c r="P105" s="74"/>
      <c r="Q105" s="72"/>
    </row>
    <row r="106" spans="1:17" ht="12.75" hidden="1">
      <c r="A106" s="34" t="s">
        <v>26</v>
      </c>
      <c r="B106" s="91"/>
      <c r="C106" s="108"/>
      <c r="D106" s="107"/>
      <c r="E106" s="107"/>
      <c r="F106" s="206"/>
      <c r="G106" s="236"/>
      <c r="H106" s="224"/>
      <c r="I106" s="223"/>
      <c r="J106" s="236"/>
      <c r="K106" s="286"/>
      <c r="L106" s="223"/>
      <c r="M106" s="20"/>
      <c r="N106" s="125"/>
      <c r="O106" s="80"/>
      <c r="P106" s="74"/>
      <c r="Q106" s="72"/>
    </row>
    <row r="107" spans="1:17" ht="12.75" hidden="1">
      <c r="A107" s="158" t="s">
        <v>54</v>
      </c>
      <c r="B107" s="94"/>
      <c r="C107" s="186"/>
      <c r="D107" s="115"/>
      <c r="E107" s="115"/>
      <c r="F107" s="211">
        <f>C107+D107+E107</f>
        <v>0</v>
      </c>
      <c r="G107" s="236"/>
      <c r="H107" s="224"/>
      <c r="I107" s="223"/>
      <c r="J107" s="236"/>
      <c r="K107" s="286"/>
      <c r="L107" s="223"/>
      <c r="M107" s="20"/>
      <c r="N107" s="125"/>
      <c r="O107" s="80"/>
      <c r="P107" s="74"/>
      <c r="Q107" s="72"/>
    </row>
    <row r="108" spans="1:17" ht="12.75">
      <c r="A108" s="33" t="s">
        <v>69</v>
      </c>
      <c r="B108" s="95"/>
      <c r="C108" s="109">
        <f>C109+C116</f>
        <v>17401.86</v>
      </c>
      <c r="D108" s="110">
        <f aca="true" t="shared" si="32" ref="D108:Q108">D109+D116</f>
        <v>-3293.4</v>
      </c>
      <c r="E108" s="110">
        <f t="shared" si="32"/>
        <v>0</v>
      </c>
      <c r="F108" s="207">
        <f t="shared" si="32"/>
        <v>14108.460000000001</v>
      </c>
      <c r="G108" s="266">
        <f t="shared" si="32"/>
        <v>2133</v>
      </c>
      <c r="H108" s="250">
        <f t="shared" si="32"/>
        <v>0</v>
      </c>
      <c r="I108" s="225">
        <f t="shared" si="32"/>
        <v>16241.460000000001</v>
      </c>
      <c r="J108" s="266">
        <f>J109+J116</f>
        <v>0</v>
      </c>
      <c r="K108" s="288">
        <f>K109+K116</f>
        <v>0</v>
      </c>
      <c r="L108" s="225">
        <f>L109+L116</f>
        <v>16241.460000000001</v>
      </c>
      <c r="M108" s="109">
        <f t="shared" si="32"/>
        <v>0</v>
      </c>
      <c r="N108" s="109">
        <f t="shared" si="32"/>
        <v>0</v>
      </c>
      <c r="O108" s="109">
        <f t="shared" si="32"/>
        <v>16241.460000000001</v>
      </c>
      <c r="P108" s="109">
        <f t="shared" si="32"/>
        <v>0</v>
      </c>
      <c r="Q108" s="162">
        <f t="shared" si="32"/>
        <v>16241.460000000001</v>
      </c>
    </row>
    <row r="109" spans="1:17" ht="12.75">
      <c r="A109" s="38" t="s">
        <v>49</v>
      </c>
      <c r="B109" s="95"/>
      <c r="C109" s="113">
        <f>SUM(C111:C115)</f>
        <v>17401.86</v>
      </c>
      <c r="D109" s="114">
        <f aca="true" t="shared" si="33" ref="D109:Q109">SUM(D111:D115)</f>
        <v>-3293.4</v>
      </c>
      <c r="E109" s="114">
        <f t="shared" si="33"/>
        <v>0</v>
      </c>
      <c r="F109" s="209">
        <f t="shared" si="33"/>
        <v>14108.460000000001</v>
      </c>
      <c r="G109" s="233">
        <f t="shared" si="33"/>
        <v>2133</v>
      </c>
      <c r="H109" s="251">
        <f t="shared" si="33"/>
        <v>0</v>
      </c>
      <c r="I109" s="229">
        <f t="shared" si="33"/>
        <v>16241.460000000001</v>
      </c>
      <c r="J109" s="233">
        <f>SUM(J111:J115)</f>
        <v>0</v>
      </c>
      <c r="K109" s="290">
        <f>SUM(K111:K115)</f>
        <v>0</v>
      </c>
      <c r="L109" s="229">
        <f>SUM(L111:L115)</f>
        <v>16241.460000000001</v>
      </c>
      <c r="M109" s="113">
        <f t="shared" si="33"/>
        <v>0</v>
      </c>
      <c r="N109" s="113">
        <f t="shared" si="33"/>
        <v>0</v>
      </c>
      <c r="O109" s="113">
        <f t="shared" si="33"/>
        <v>16241.460000000001</v>
      </c>
      <c r="P109" s="113">
        <f t="shared" si="33"/>
        <v>0</v>
      </c>
      <c r="Q109" s="164">
        <f t="shared" si="33"/>
        <v>16241.460000000001</v>
      </c>
    </row>
    <row r="110" spans="1:17" ht="12.75">
      <c r="A110" s="34" t="s">
        <v>26</v>
      </c>
      <c r="B110" s="91"/>
      <c r="C110" s="108"/>
      <c r="D110" s="107"/>
      <c r="E110" s="107"/>
      <c r="F110" s="205"/>
      <c r="G110" s="236"/>
      <c r="H110" s="224"/>
      <c r="I110" s="222"/>
      <c r="J110" s="236"/>
      <c r="K110" s="286"/>
      <c r="L110" s="222"/>
      <c r="M110" s="20"/>
      <c r="N110" s="7"/>
      <c r="O110" s="19"/>
      <c r="P110" s="74"/>
      <c r="Q110" s="72"/>
    </row>
    <row r="111" spans="1:17" ht="12.75">
      <c r="A111" s="32" t="s">
        <v>51</v>
      </c>
      <c r="B111" s="91"/>
      <c r="C111" s="108">
        <v>17401.86</v>
      </c>
      <c r="D111" s="107">
        <f>-6500+3206.6</f>
        <v>-3293.4</v>
      </c>
      <c r="E111" s="107"/>
      <c r="F111" s="206">
        <f>C111+D111+E111</f>
        <v>14108.460000000001</v>
      </c>
      <c r="G111" s="236"/>
      <c r="H111" s="224"/>
      <c r="I111" s="223">
        <f>SUM(F111:H111)</f>
        <v>14108.460000000001</v>
      </c>
      <c r="J111" s="236"/>
      <c r="K111" s="286"/>
      <c r="L111" s="223">
        <f>I111+J111+K111</f>
        <v>14108.460000000001</v>
      </c>
      <c r="M111" s="20"/>
      <c r="N111" s="7"/>
      <c r="O111" s="21">
        <f>L111+M111+N111</f>
        <v>14108.460000000001</v>
      </c>
      <c r="P111" s="74"/>
      <c r="Q111" s="72">
        <f>O111+P111</f>
        <v>14108.460000000001</v>
      </c>
    </row>
    <row r="112" spans="1:17" ht="12.75" hidden="1">
      <c r="A112" s="179" t="s">
        <v>76</v>
      </c>
      <c r="B112" s="91">
        <v>1245</v>
      </c>
      <c r="C112" s="108"/>
      <c r="D112" s="107"/>
      <c r="E112" s="107"/>
      <c r="F112" s="206">
        <f>C112+D112+E112</f>
        <v>0</v>
      </c>
      <c r="G112" s="236"/>
      <c r="H112" s="224"/>
      <c r="I112" s="223">
        <f>SUM(F112:H112)</f>
        <v>0</v>
      </c>
      <c r="J112" s="236"/>
      <c r="K112" s="286"/>
      <c r="L112" s="223"/>
      <c r="M112" s="20"/>
      <c r="N112" s="7"/>
      <c r="O112" s="21"/>
      <c r="P112" s="74"/>
      <c r="Q112" s="72"/>
    </row>
    <row r="113" spans="1:17" ht="12.75">
      <c r="A113" s="43" t="s">
        <v>70</v>
      </c>
      <c r="B113" s="94">
        <v>33166</v>
      </c>
      <c r="C113" s="186"/>
      <c r="D113" s="115"/>
      <c r="E113" s="115"/>
      <c r="F113" s="211">
        <f>C113+D113+E113</f>
        <v>0</v>
      </c>
      <c r="G113" s="235">
        <f>2133</f>
        <v>2133</v>
      </c>
      <c r="H113" s="253"/>
      <c r="I113" s="231">
        <f>SUM(F113:H113)</f>
        <v>2133</v>
      </c>
      <c r="J113" s="235"/>
      <c r="K113" s="289"/>
      <c r="L113" s="231">
        <f>I113+J113+K113</f>
        <v>2133</v>
      </c>
      <c r="M113" s="20"/>
      <c r="N113" s="7"/>
      <c r="O113" s="21">
        <f>L113+M113+N113</f>
        <v>2133</v>
      </c>
      <c r="P113" s="74"/>
      <c r="Q113" s="72">
        <f>O113+P113</f>
        <v>2133</v>
      </c>
    </row>
    <row r="114" spans="1:17" ht="12.75" hidden="1">
      <c r="A114" s="36" t="s">
        <v>255</v>
      </c>
      <c r="B114" s="91">
        <v>33064</v>
      </c>
      <c r="C114" s="108"/>
      <c r="D114" s="107"/>
      <c r="E114" s="107"/>
      <c r="F114" s="206">
        <f>C114+D114+E114</f>
        <v>0</v>
      </c>
      <c r="G114" s="236"/>
      <c r="H114" s="224"/>
      <c r="I114" s="223">
        <f>SUM(F114:H114)</f>
        <v>0</v>
      </c>
      <c r="J114" s="236"/>
      <c r="K114" s="286"/>
      <c r="L114" s="223"/>
      <c r="M114" s="20"/>
      <c r="N114" s="7"/>
      <c r="O114" s="21"/>
      <c r="P114" s="74"/>
      <c r="Q114" s="72"/>
    </row>
    <row r="115" spans="1:17" ht="12.75" hidden="1">
      <c r="A115" s="36" t="s">
        <v>64</v>
      </c>
      <c r="B115" s="91"/>
      <c r="C115" s="108"/>
      <c r="D115" s="107"/>
      <c r="E115" s="107"/>
      <c r="F115" s="206">
        <f>C115+D115+E115</f>
        <v>0</v>
      </c>
      <c r="G115" s="236"/>
      <c r="H115" s="224"/>
      <c r="I115" s="223">
        <f>SUM(F115:H115)</f>
        <v>0</v>
      </c>
      <c r="J115" s="236"/>
      <c r="K115" s="286"/>
      <c r="L115" s="223">
        <f>I115+J115+K115</f>
        <v>0</v>
      </c>
      <c r="M115" s="20"/>
      <c r="N115" s="7"/>
      <c r="O115" s="21">
        <f>L115+M115+N115</f>
        <v>0</v>
      </c>
      <c r="P115" s="74"/>
      <c r="Q115" s="72">
        <f>O115+P115</f>
        <v>0</v>
      </c>
    </row>
    <row r="116" spans="1:17" ht="12.75" hidden="1">
      <c r="A116" s="38" t="s">
        <v>53</v>
      </c>
      <c r="B116" s="95"/>
      <c r="C116" s="113">
        <f>C118</f>
        <v>0</v>
      </c>
      <c r="D116" s="114">
        <f aca="true" t="shared" si="34" ref="D116:Q116">D118</f>
        <v>0</v>
      </c>
      <c r="E116" s="114">
        <f t="shared" si="34"/>
        <v>0</v>
      </c>
      <c r="F116" s="209">
        <f t="shared" si="34"/>
        <v>0</v>
      </c>
      <c r="G116" s="233">
        <f t="shared" si="34"/>
        <v>0</v>
      </c>
      <c r="H116" s="251">
        <f t="shared" si="34"/>
        <v>0</v>
      </c>
      <c r="I116" s="229">
        <f t="shared" si="34"/>
        <v>0</v>
      </c>
      <c r="J116" s="233">
        <f t="shared" si="34"/>
        <v>0</v>
      </c>
      <c r="K116" s="290">
        <f t="shared" si="34"/>
        <v>0</v>
      </c>
      <c r="L116" s="229">
        <f t="shared" si="34"/>
        <v>0</v>
      </c>
      <c r="M116" s="113">
        <f t="shared" si="34"/>
        <v>0</v>
      </c>
      <c r="N116" s="113">
        <f t="shared" si="34"/>
        <v>0</v>
      </c>
      <c r="O116" s="113">
        <f t="shared" si="34"/>
        <v>0</v>
      </c>
      <c r="P116" s="113">
        <f t="shared" si="34"/>
        <v>0</v>
      </c>
      <c r="Q116" s="164">
        <f t="shared" si="34"/>
        <v>0</v>
      </c>
    </row>
    <row r="117" spans="1:17" ht="12.75" hidden="1">
      <c r="A117" s="34" t="s">
        <v>26</v>
      </c>
      <c r="B117" s="91"/>
      <c r="C117" s="108"/>
      <c r="D117" s="107"/>
      <c r="E117" s="107"/>
      <c r="F117" s="205"/>
      <c r="G117" s="236"/>
      <c r="H117" s="224"/>
      <c r="I117" s="222"/>
      <c r="J117" s="236"/>
      <c r="K117" s="286"/>
      <c r="L117" s="222"/>
      <c r="M117" s="20"/>
      <c r="N117" s="7"/>
      <c r="O117" s="19"/>
      <c r="P117" s="74"/>
      <c r="Q117" s="72"/>
    </row>
    <row r="118" spans="1:17" ht="12.75" hidden="1">
      <c r="A118" s="35" t="s">
        <v>151</v>
      </c>
      <c r="B118" s="94"/>
      <c r="C118" s="186"/>
      <c r="D118" s="115"/>
      <c r="E118" s="115"/>
      <c r="F118" s="211">
        <f>C118+D118+E118</f>
        <v>0</v>
      </c>
      <c r="G118" s="235"/>
      <c r="H118" s="253"/>
      <c r="I118" s="231">
        <f>SUM(F118:H118)</f>
        <v>0</v>
      </c>
      <c r="J118" s="235"/>
      <c r="K118" s="289"/>
      <c r="L118" s="231">
        <f>I118+J118+K118</f>
        <v>0</v>
      </c>
      <c r="M118" s="24"/>
      <c r="N118" s="9"/>
      <c r="O118" s="25">
        <f>L118+M118+N118</f>
        <v>0</v>
      </c>
      <c r="P118" s="77"/>
      <c r="Q118" s="78">
        <f>O118+P118</f>
        <v>0</v>
      </c>
    </row>
    <row r="119" spans="1:17" ht="12.75">
      <c r="A119" s="29" t="s">
        <v>71</v>
      </c>
      <c r="B119" s="95"/>
      <c r="C119" s="105">
        <f>C120+C132</f>
        <v>1528562.62</v>
      </c>
      <c r="D119" s="106">
        <f aca="true" t="shared" si="35" ref="D119:Q119">D120+D132</f>
        <v>32851.14</v>
      </c>
      <c r="E119" s="106">
        <f t="shared" si="35"/>
        <v>0</v>
      </c>
      <c r="F119" s="205">
        <f t="shared" si="35"/>
        <v>1561413.76</v>
      </c>
      <c r="G119" s="232">
        <f t="shared" si="35"/>
        <v>22751.83</v>
      </c>
      <c r="H119" s="248">
        <f t="shared" si="35"/>
        <v>0</v>
      </c>
      <c r="I119" s="222">
        <f t="shared" si="35"/>
        <v>1584165.5899999999</v>
      </c>
      <c r="J119" s="232">
        <f>J120+J132</f>
        <v>299599.33999999997</v>
      </c>
      <c r="K119" s="285">
        <f>K120+K132</f>
        <v>0</v>
      </c>
      <c r="L119" s="222">
        <f>L120+L132</f>
        <v>1883764.9300000002</v>
      </c>
      <c r="M119" s="105">
        <f t="shared" si="35"/>
        <v>0</v>
      </c>
      <c r="N119" s="105">
        <f t="shared" si="35"/>
        <v>0</v>
      </c>
      <c r="O119" s="105">
        <f t="shared" si="35"/>
        <v>1883764.9300000002</v>
      </c>
      <c r="P119" s="105">
        <f t="shared" si="35"/>
        <v>0</v>
      </c>
      <c r="Q119" s="159">
        <f t="shared" si="35"/>
        <v>1883764.9300000002</v>
      </c>
    </row>
    <row r="120" spans="1:17" ht="12.75">
      <c r="A120" s="38" t="s">
        <v>49</v>
      </c>
      <c r="B120" s="95"/>
      <c r="C120" s="113">
        <f>SUM(C123:C131)</f>
        <v>1518562.62</v>
      </c>
      <c r="D120" s="114">
        <f aca="true" t="shared" si="36" ref="D120:Q120">SUM(D123:D131)</f>
        <v>32851.14</v>
      </c>
      <c r="E120" s="114">
        <f t="shared" si="36"/>
        <v>0</v>
      </c>
      <c r="F120" s="209">
        <f t="shared" si="36"/>
        <v>1551413.76</v>
      </c>
      <c r="G120" s="233">
        <f t="shared" si="36"/>
        <v>22751.83</v>
      </c>
      <c r="H120" s="251">
        <f t="shared" si="36"/>
        <v>0</v>
      </c>
      <c r="I120" s="229">
        <f t="shared" si="36"/>
        <v>1574165.5899999999</v>
      </c>
      <c r="J120" s="233">
        <f>SUM(J123:J131)</f>
        <v>299599.33999999997</v>
      </c>
      <c r="K120" s="290">
        <f>SUM(K123:K131)</f>
        <v>0</v>
      </c>
      <c r="L120" s="229">
        <f>SUM(L123:L131)</f>
        <v>1873764.9300000002</v>
      </c>
      <c r="M120" s="113">
        <f t="shared" si="36"/>
        <v>0</v>
      </c>
      <c r="N120" s="113">
        <f t="shared" si="36"/>
        <v>0</v>
      </c>
      <c r="O120" s="113">
        <f t="shared" si="36"/>
        <v>1873764.9300000002</v>
      </c>
      <c r="P120" s="113">
        <f t="shared" si="36"/>
        <v>0</v>
      </c>
      <c r="Q120" s="164">
        <f t="shared" si="36"/>
        <v>1873764.9300000002</v>
      </c>
    </row>
    <row r="121" spans="1:17" ht="12.75">
      <c r="A121" s="34" t="s">
        <v>26</v>
      </c>
      <c r="B121" s="91"/>
      <c r="C121" s="108"/>
      <c r="D121" s="107"/>
      <c r="E121" s="107"/>
      <c r="F121" s="205"/>
      <c r="G121" s="236"/>
      <c r="H121" s="224"/>
      <c r="I121" s="222"/>
      <c r="J121" s="236"/>
      <c r="K121" s="286"/>
      <c r="L121" s="222"/>
      <c r="M121" s="20"/>
      <c r="N121" s="7"/>
      <c r="O121" s="19"/>
      <c r="P121" s="74"/>
      <c r="Q121" s="72"/>
    </row>
    <row r="122" spans="1:17" ht="12.75">
      <c r="A122" s="36" t="s">
        <v>276</v>
      </c>
      <c r="B122" s="91"/>
      <c r="C122" s="108">
        <f>C123+C124</f>
        <v>966122.62</v>
      </c>
      <c r="D122" s="107">
        <f>D123+D124</f>
        <v>32538.890000000003</v>
      </c>
      <c r="E122" s="107">
        <f>E123+E124</f>
        <v>0</v>
      </c>
      <c r="F122" s="206">
        <f>F123+F124</f>
        <v>998661.51</v>
      </c>
      <c r="G122" s="236">
        <f>G123+G124</f>
        <v>13304.960000000001</v>
      </c>
      <c r="H122" s="224"/>
      <c r="I122" s="223">
        <f>I123+I124</f>
        <v>1011966.47</v>
      </c>
      <c r="J122" s="236">
        <f>J123+J124</f>
        <v>59365.39</v>
      </c>
      <c r="K122" s="286">
        <f>K123+K124</f>
        <v>0</v>
      </c>
      <c r="L122" s="223">
        <f>L123+L124</f>
        <v>1071331.8599999999</v>
      </c>
      <c r="M122" s="20"/>
      <c r="N122" s="7"/>
      <c r="O122" s="21">
        <f>O123+O124</f>
        <v>1071331.8599999999</v>
      </c>
      <c r="P122" s="74"/>
      <c r="Q122" s="72">
        <f aca="true" t="shared" si="37" ref="Q122:Q131">O122+P122</f>
        <v>1071331.8599999999</v>
      </c>
    </row>
    <row r="123" spans="1:17" ht="12.75">
      <c r="A123" s="36" t="s">
        <v>277</v>
      </c>
      <c r="B123" s="91"/>
      <c r="C123" s="108">
        <v>468060</v>
      </c>
      <c r="D123" s="118">
        <f>10556.31+1031.02+29.07+7.7+24.84+16200</f>
        <v>27848.940000000002</v>
      </c>
      <c r="E123" s="107"/>
      <c r="F123" s="206">
        <f aca="true" t="shared" si="38" ref="F123:F131">C123+D123+E123</f>
        <v>495908.94</v>
      </c>
      <c r="G123" s="236">
        <f>-2198.22+451.08+1850.95-2000</f>
        <v>-1896.1899999999998</v>
      </c>
      <c r="H123" s="254"/>
      <c r="I123" s="223">
        <f aca="true" t="shared" si="39" ref="I123:I131">F123+G123+H123</f>
        <v>494012.75</v>
      </c>
      <c r="J123" s="236">
        <f>863.64+40000</f>
        <v>40863.64</v>
      </c>
      <c r="K123" s="286"/>
      <c r="L123" s="223">
        <f aca="true" t="shared" si="40" ref="L123:L131">I123+J123+K123</f>
        <v>534876.39</v>
      </c>
      <c r="M123" s="20"/>
      <c r="N123" s="7"/>
      <c r="O123" s="21">
        <f aca="true" t="shared" si="41" ref="O123:O131">L123+M123+N123</f>
        <v>534876.39</v>
      </c>
      <c r="P123" s="74"/>
      <c r="Q123" s="72">
        <f t="shared" si="37"/>
        <v>534876.39</v>
      </c>
    </row>
    <row r="124" spans="1:17" ht="12.75">
      <c r="A124" s="32" t="s">
        <v>278</v>
      </c>
      <c r="B124" s="91"/>
      <c r="C124" s="108">
        <v>498062.62</v>
      </c>
      <c r="D124" s="107">
        <f>1720.38+2087.5+882.07</f>
        <v>4689.95</v>
      </c>
      <c r="E124" s="107"/>
      <c r="F124" s="206">
        <f t="shared" si="38"/>
        <v>502752.57</v>
      </c>
      <c r="G124" s="236">
        <f>3287.21+850.25+11063.69</f>
        <v>15201.150000000001</v>
      </c>
      <c r="H124" s="254"/>
      <c r="I124" s="223">
        <f t="shared" si="39"/>
        <v>517953.72000000003</v>
      </c>
      <c r="J124" s="236">
        <f>1791+720.82+15989.93</f>
        <v>18501.75</v>
      </c>
      <c r="K124" s="286"/>
      <c r="L124" s="223">
        <f t="shared" si="40"/>
        <v>536455.47</v>
      </c>
      <c r="M124" s="20"/>
      <c r="N124" s="7"/>
      <c r="O124" s="21">
        <f t="shared" si="41"/>
        <v>536455.47</v>
      </c>
      <c r="P124" s="74"/>
      <c r="Q124" s="72">
        <f t="shared" si="37"/>
        <v>536455.47</v>
      </c>
    </row>
    <row r="125" spans="1:17" ht="12.75">
      <c r="A125" s="36" t="s">
        <v>72</v>
      </c>
      <c r="B125" s="91"/>
      <c r="C125" s="108">
        <v>27440</v>
      </c>
      <c r="D125" s="107">
        <f>185</f>
        <v>185</v>
      </c>
      <c r="E125" s="107"/>
      <c r="F125" s="206">
        <f t="shared" si="38"/>
        <v>27625</v>
      </c>
      <c r="G125" s="236"/>
      <c r="H125" s="224"/>
      <c r="I125" s="223">
        <f t="shared" si="39"/>
        <v>27625</v>
      </c>
      <c r="J125" s="236">
        <f>120.79</f>
        <v>120.79</v>
      </c>
      <c r="K125" s="286"/>
      <c r="L125" s="223">
        <f t="shared" si="40"/>
        <v>27745.79</v>
      </c>
      <c r="M125" s="20"/>
      <c r="N125" s="7"/>
      <c r="O125" s="21">
        <f t="shared" si="41"/>
        <v>27745.79</v>
      </c>
      <c r="P125" s="74"/>
      <c r="Q125" s="72">
        <f t="shared" si="37"/>
        <v>27745.79</v>
      </c>
    </row>
    <row r="126" spans="1:17" ht="12.75" hidden="1">
      <c r="A126" s="32" t="s">
        <v>73</v>
      </c>
      <c r="B126" s="91"/>
      <c r="C126" s="108"/>
      <c r="D126" s="107"/>
      <c r="E126" s="107"/>
      <c r="F126" s="206">
        <f t="shared" si="38"/>
        <v>0</v>
      </c>
      <c r="G126" s="236"/>
      <c r="H126" s="224"/>
      <c r="I126" s="223">
        <f t="shared" si="39"/>
        <v>0</v>
      </c>
      <c r="J126" s="236"/>
      <c r="K126" s="286"/>
      <c r="L126" s="223">
        <f t="shared" si="40"/>
        <v>0</v>
      </c>
      <c r="M126" s="20"/>
      <c r="N126" s="7"/>
      <c r="O126" s="21">
        <f t="shared" si="41"/>
        <v>0</v>
      </c>
      <c r="P126" s="74"/>
      <c r="Q126" s="72">
        <f t="shared" si="37"/>
        <v>0</v>
      </c>
    </row>
    <row r="127" spans="1:17" ht="12.75">
      <c r="A127" s="32" t="s">
        <v>64</v>
      </c>
      <c r="B127" s="91"/>
      <c r="C127" s="108"/>
      <c r="D127" s="107"/>
      <c r="E127" s="107"/>
      <c r="F127" s="206">
        <f t="shared" si="38"/>
        <v>0</v>
      </c>
      <c r="G127" s="236">
        <f>2198.22</f>
        <v>2198.22</v>
      </c>
      <c r="H127" s="224"/>
      <c r="I127" s="223">
        <f t="shared" si="39"/>
        <v>2198.22</v>
      </c>
      <c r="J127" s="236"/>
      <c r="K127" s="286"/>
      <c r="L127" s="223">
        <f t="shared" si="40"/>
        <v>2198.22</v>
      </c>
      <c r="M127" s="20"/>
      <c r="N127" s="7"/>
      <c r="O127" s="21">
        <f t="shared" si="41"/>
        <v>2198.22</v>
      </c>
      <c r="P127" s="74"/>
      <c r="Q127" s="72">
        <f t="shared" si="37"/>
        <v>2198.22</v>
      </c>
    </row>
    <row r="128" spans="1:17" ht="12.75" hidden="1">
      <c r="A128" s="32" t="s">
        <v>74</v>
      </c>
      <c r="B128" s="91">
        <v>91252</v>
      </c>
      <c r="C128" s="108"/>
      <c r="D128" s="107"/>
      <c r="E128" s="107"/>
      <c r="F128" s="206">
        <f t="shared" si="38"/>
        <v>0</v>
      </c>
      <c r="G128" s="236"/>
      <c r="H128" s="224"/>
      <c r="I128" s="223">
        <f t="shared" si="39"/>
        <v>0</v>
      </c>
      <c r="J128" s="236"/>
      <c r="K128" s="286"/>
      <c r="L128" s="223">
        <f t="shared" si="40"/>
        <v>0</v>
      </c>
      <c r="M128" s="20"/>
      <c r="N128" s="7"/>
      <c r="O128" s="21">
        <f t="shared" si="41"/>
        <v>0</v>
      </c>
      <c r="P128" s="74"/>
      <c r="Q128" s="72">
        <f t="shared" si="37"/>
        <v>0</v>
      </c>
    </row>
    <row r="129" spans="1:17" ht="12.75">
      <c r="A129" s="32" t="s">
        <v>131</v>
      </c>
      <c r="B129" s="91">
        <v>27355</v>
      </c>
      <c r="C129" s="108"/>
      <c r="D129" s="107"/>
      <c r="E129" s="107"/>
      <c r="F129" s="206">
        <f t="shared" si="38"/>
        <v>0</v>
      </c>
      <c r="G129" s="236"/>
      <c r="H129" s="224"/>
      <c r="I129" s="223">
        <f t="shared" si="39"/>
        <v>0</v>
      </c>
      <c r="J129" s="236">
        <f>214113.36</f>
        <v>214113.36</v>
      </c>
      <c r="K129" s="286"/>
      <c r="L129" s="223">
        <f t="shared" si="40"/>
        <v>214113.36</v>
      </c>
      <c r="M129" s="20"/>
      <c r="N129" s="7"/>
      <c r="O129" s="21">
        <f t="shared" si="41"/>
        <v>214113.36</v>
      </c>
      <c r="P129" s="74"/>
      <c r="Q129" s="72">
        <f t="shared" si="37"/>
        <v>214113.36</v>
      </c>
    </row>
    <row r="130" spans="1:17" ht="12.75">
      <c r="A130" s="32" t="s">
        <v>51</v>
      </c>
      <c r="B130" s="91"/>
      <c r="C130" s="108">
        <v>525000</v>
      </c>
      <c r="D130" s="107">
        <f>127.25</f>
        <v>127.25</v>
      </c>
      <c r="E130" s="107"/>
      <c r="F130" s="206">
        <f t="shared" si="38"/>
        <v>525127.25</v>
      </c>
      <c r="G130" s="236">
        <f>248.65+2000+5000</f>
        <v>7248.65</v>
      </c>
      <c r="H130" s="224"/>
      <c r="I130" s="223">
        <f t="shared" si="39"/>
        <v>532375.9</v>
      </c>
      <c r="J130" s="236">
        <f>999.8+25000</f>
        <v>25999.8</v>
      </c>
      <c r="K130" s="286"/>
      <c r="L130" s="223">
        <f t="shared" si="40"/>
        <v>558375.7000000001</v>
      </c>
      <c r="M130" s="20"/>
      <c r="N130" s="7"/>
      <c r="O130" s="21">
        <f t="shared" si="41"/>
        <v>558375.7000000001</v>
      </c>
      <c r="P130" s="74"/>
      <c r="Q130" s="72">
        <f t="shared" si="37"/>
        <v>558375.7000000001</v>
      </c>
    </row>
    <row r="131" spans="1:17" ht="12" customHeight="1" hidden="1">
      <c r="A131" s="32" t="s">
        <v>75</v>
      </c>
      <c r="B131" s="91"/>
      <c r="C131" s="108"/>
      <c r="D131" s="107"/>
      <c r="E131" s="107"/>
      <c r="F131" s="206">
        <f t="shared" si="38"/>
        <v>0</v>
      </c>
      <c r="G131" s="236"/>
      <c r="H131" s="224"/>
      <c r="I131" s="223">
        <f t="shared" si="39"/>
        <v>0</v>
      </c>
      <c r="J131" s="236"/>
      <c r="K131" s="286"/>
      <c r="L131" s="223">
        <f t="shared" si="40"/>
        <v>0</v>
      </c>
      <c r="M131" s="20"/>
      <c r="N131" s="7"/>
      <c r="O131" s="21">
        <f t="shared" si="41"/>
        <v>0</v>
      </c>
      <c r="P131" s="74"/>
      <c r="Q131" s="72">
        <f t="shared" si="37"/>
        <v>0</v>
      </c>
    </row>
    <row r="132" spans="1:17" ht="12.75">
      <c r="A132" s="39" t="s">
        <v>53</v>
      </c>
      <c r="B132" s="95"/>
      <c r="C132" s="116">
        <f>SUM(C134:C136)</f>
        <v>10000</v>
      </c>
      <c r="D132" s="117">
        <f aca="true" t="shared" si="42" ref="D132:Q132">SUM(D134:D136)</f>
        <v>0</v>
      </c>
      <c r="E132" s="117">
        <f t="shared" si="42"/>
        <v>0</v>
      </c>
      <c r="F132" s="210">
        <f t="shared" si="42"/>
        <v>10000</v>
      </c>
      <c r="G132" s="267">
        <f t="shared" si="42"/>
        <v>0</v>
      </c>
      <c r="H132" s="252">
        <f t="shared" si="42"/>
        <v>0</v>
      </c>
      <c r="I132" s="230">
        <f t="shared" si="42"/>
        <v>10000</v>
      </c>
      <c r="J132" s="267">
        <f t="shared" si="42"/>
        <v>0</v>
      </c>
      <c r="K132" s="297">
        <f t="shared" si="42"/>
        <v>0</v>
      </c>
      <c r="L132" s="230">
        <f t="shared" si="42"/>
        <v>10000</v>
      </c>
      <c r="M132" s="116">
        <f t="shared" si="42"/>
        <v>0</v>
      </c>
      <c r="N132" s="116">
        <f t="shared" si="42"/>
        <v>0</v>
      </c>
      <c r="O132" s="116">
        <f t="shared" si="42"/>
        <v>10000</v>
      </c>
      <c r="P132" s="116">
        <f t="shared" si="42"/>
        <v>0</v>
      </c>
      <c r="Q132" s="165">
        <f t="shared" si="42"/>
        <v>10000</v>
      </c>
    </row>
    <row r="133" spans="1:17" ht="12.75">
      <c r="A133" s="30" t="s">
        <v>26</v>
      </c>
      <c r="B133" s="91"/>
      <c r="C133" s="109"/>
      <c r="D133" s="110"/>
      <c r="E133" s="110"/>
      <c r="F133" s="207"/>
      <c r="G133" s="266"/>
      <c r="H133" s="250"/>
      <c r="I133" s="225"/>
      <c r="J133" s="266"/>
      <c r="K133" s="288"/>
      <c r="L133" s="225"/>
      <c r="M133" s="22"/>
      <c r="N133" s="8"/>
      <c r="O133" s="23"/>
      <c r="P133" s="74"/>
      <c r="Q133" s="72"/>
    </row>
    <row r="134" spans="1:17" ht="12.75" hidden="1">
      <c r="A134" s="31" t="s">
        <v>54</v>
      </c>
      <c r="B134" s="91"/>
      <c r="C134" s="108"/>
      <c r="D134" s="107"/>
      <c r="E134" s="107"/>
      <c r="F134" s="206">
        <f>C134+D134+E134</f>
        <v>0</v>
      </c>
      <c r="G134" s="236"/>
      <c r="H134" s="224"/>
      <c r="I134" s="223">
        <f>F134+G134+H134</f>
        <v>0</v>
      </c>
      <c r="J134" s="236"/>
      <c r="K134" s="286"/>
      <c r="L134" s="223">
        <f>I134+J134+K134</f>
        <v>0</v>
      </c>
      <c r="M134" s="20"/>
      <c r="N134" s="7"/>
      <c r="O134" s="21">
        <f>L134+M134+N134</f>
        <v>0</v>
      </c>
      <c r="P134" s="74"/>
      <c r="Q134" s="72">
        <f>O134+P134</f>
        <v>0</v>
      </c>
    </row>
    <row r="135" spans="1:17" ht="12.75">
      <c r="A135" s="35" t="s">
        <v>83</v>
      </c>
      <c r="B135" s="94"/>
      <c r="C135" s="186">
        <v>10000</v>
      </c>
      <c r="D135" s="115"/>
      <c r="E135" s="115"/>
      <c r="F135" s="211">
        <f>C135+D135+E135</f>
        <v>10000</v>
      </c>
      <c r="G135" s="235"/>
      <c r="H135" s="253"/>
      <c r="I135" s="231">
        <f>F135+G135+H135</f>
        <v>10000</v>
      </c>
      <c r="J135" s="235"/>
      <c r="K135" s="289"/>
      <c r="L135" s="231">
        <f>I135+J135+K135</f>
        <v>10000</v>
      </c>
      <c r="M135" s="20"/>
      <c r="N135" s="7"/>
      <c r="O135" s="21">
        <f>L135+M135+N135</f>
        <v>10000</v>
      </c>
      <c r="P135" s="74"/>
      <c r="Q135" s="72">
        <f>O135+P135</f>
        <v>10000</v>
      </c>
    </row>
    <row r="136" spans="1:17" ht="12.75" hidden="1">
      <c r="A136" s="35" t="s">
        <v>76</v>
      </c>
      <c r="B136" s="94"/>
      <c r="C136" s="186"/>
      <c r="D136" s="115"/>
      <c r="E136" s="115"/>
      <c r="F136" s="211">
        <f>C136+D136+E136</f>
        <v>0</v>
      </c>
      <c r="G136" s="235"/>
      <c r="H136" s="253"/>
      <c r="I136" s="231">
        <f>F136+G136+H136</f>
        <v>0</v>
      </c>
      <c r="J136" s="235"/>
      <c r="K136" s="289"/>
      <c r="L136" s="231">
        <f>I136+J136+K136</f>
        <v>0</v>
      </c>
      <c r="M136" s="24"/>
      <c r="N136" s="9"/>
      <c r="O136" s="25">
        <f>L136+M136+N136</f>
        <v>0</v>
      </c>
      <c r="P136" s="77"/>
      <c r="Q136" s="78">
        <f>O136+P136</f>
        <v>0</v>
      </c>
    </row>
    <row r="137" spans="1:17" ht="12.75">
      <c r="A137" s="33" t="s">
        <v>77</v>
      </c>
      <c r="B137" s="95"/>
      <c r="C137" s="109">
        <f>C138+C143</f>
        <v>71560</v>
      </c>
      <c r="D137" s="110">
        <f aca="true" t="shared" si="43" ref="D137:Q137">D138+D143</f>
        <v>66402.59</v>
      </c>
      <c r="E137" s="110">
        <f t="shared" si="43"/>
        <v>0</v>
      </c>
      <c r="F137" s="207">
        <f t="shared" si="43"/>
        <v>137962.59000000003</v>
      </c>
      <c r="G137" s="266">
        <f t="shared" si="43"/>
        <v>2718.18</v>
      </c>
      <c r="H137" s="250">
        <f t="shared" si="43"/>
        <v>0</v>
      </c>
      <c r="I137" s="225">
        <f t="shared" si="43"/>
        <v>140680.77000000002</v>
      </c>
      <c r="J137" s="266">
        <f>J138+J143</f>
        <v>25803.190000000002</v>
      </c>
      <c r="K137" s="288">
        <f>K138+K143</f>
        <v>0</v>
      </c>
      <c r="L137" s="225">
        <f>L138+L143</f>
        <v>166483.96000000002</v>
      </c>
      <c r="M137" s="109">
        <f t="shared" si="43"/>
        <v>0</v>
      </c>
      <c r="N137" s="109">
        <f t="shared" si="43"/>
        <v>0</v>
      </c>
      <c r="O137" s="109">
        <f t="shared" si="43"/>
        <v>166483.96000000002</v>
      </c>
      <c r="P137" s="109">
        <f t="shared" si="43"/>
        <v>0</v>
      </c>
      <c r="Q137" s="162">
        <f t="shared" si="43"/>
        <v>166483.96000000002</v>
      </c>
    </row>
    <row r="138" spans="1:17" ht="12.75">
      <c r="A138" s="38" t="s">
        <v>49</v>
      </c>
      <c r="B138" s="95"/>
      <c r="C138" s="113">
        <f>SUM(C140:C142)</f>
        <v>43060</v>
      </c>
      <c r="D138" s="114">
        <f aca="true" t="shared" si="44" ref="D138:Q138">SUM(D140:D142)</f>
        <v>21673.05</v>
      </c>
      <c r="E138" s="114">
        <f t="shared" si="44"/>
        <v>0</v>
      </c>
      <c r="F138" s="209">
        <f t="shared" si="44"/>
        <v>64733.05</v>
      </c>
      <c r="G138" s="233">
        <f t="shared" si="44"/>
        <v>1203.1799999999998</v>
      </c>
      <c r="H138" s="251">
        <f t="shared" si="44"/>
        <v>0</v>
      </c>
      <c r="I138" s="229">
        <f t="shared" si="44"/>
        <v>65936.23</v>
      </c>
      <c r="J138" s="233">
        <f>SUM(J140:J142)</f>
        <v>7803.1900000000005</v>
      </c>
      <c r="K138" s="290">
        <f>SUM(K140:K142)</f>
        <v>0</v>
      </c>
      <c r="L138" s="229">
        <f>SUM(L140:L142)</f>
        <v>73739.42</v>
      </c>
      <c r="M138" s="113">
        <f t="shared" si="44"/>
        <v>0</v>
      </c>
      <c r="N138" s="113">
        <f t="shared" si="44"/>
        <v>0</v>
      </c>
      <c r="O138" s="113">
        <f t="shared" si="44"/>
        <v>73739.42</v>
      </c>
      <c r="P138" s="113">
        <f t="shared" si="44"/>
        <v>0</v>
      </c>
      <c r="Q138" s="164">
        <f t="shared" si="44"/>
        <v>73739.42</v>
      </c>
    </row>
    <row r="139" spans="1:17" ht="12.75">
      <c r="A139" s="34" t="s">
        <v>26</v>
      </c>
      <c r="B139" s="91"/>
      <c r="C139" s="108"/>
      <c r="D139" s="107"/>
      <c r="E139" s="107"/>
      <c r="F139" s="205"/>
      <c r="G139" s="236"/>
      <c r="H139" s="224"/>
      <c r="I139" s="222"/>
      <c r="J139" s="236"/>
      <c r="K139" s="286"/>
      <c r="L139" s="222"/>
      <c r="M139" s="20"/>
      <c r="N139" s="7"/>
      <c r="O139" s="19"/>
      <c r="P139" s="74"/>
      <c r="Q139" s="72"/>
    </row>
    <row r="140" spans="1:17" ht="12.75">
      <c r="A140" s="32" t="s">
        <v>51</v>
      </c>
      <c r="B140" s="91"/>
      <c r="C140" s="108">
        <v>19060</v>
      </c>
      <c r="D140" s="107">
        <f>17802.6+3197</f>
        <v>20999.6</v>
      </c>
      <c r="E140" s="107"/>
      <c r="F140" s="206">
        <f>C140+D140+E140</f>
        <v>40059.6</v>
      </c>
      <c r="G140" s="236">
        <f>703.18</f>
        <v>703.18</v>
      </c>
      <c r="H140" s="224"/>
      <c r="I140" s="223">
        <f>F140+G140+H140</f>
        <v>40762.78</v>
      </c>
      <c r="J140" s="236">
        <f>-3196.81+11000</f>
        <v>7803.1900000000005</v>
      </c>
      <c r="K140" s="286"/>
      <c r="L140" s="223">
        <f>I140+J140+K140</f>
        <v>48565.97</v>
      </c>
      <c r="M140" s="20"/>
      <c r="N140" s="7"/>
      <c r="O140" s="21">
        <f>L140+M140+N140</f>
        <v>48565.97</v>
      </c>
      <c r="P140" s="74"/>
      <c r="Q140" s="72">
        <f>O140+P140</f>
        <v>48565.97</v>
      </c>
    </row>
    <row r="141" spans="1:17" ht="12.75" hidden="1">
      <c r="A141" s="32" t="s">
        <v>76</v>
      </c>
      <c r="B141" s="91"/>
      <c r="C141" s="108"/>
      <c r="D141" s="107"/>
      <c r="E141" s="107"/>
      <c r="F141" s="206">
        <f>C141+D141+E141</f>
        <v>0</v>
      </c>
      <c r="G141" s="236"/>
      <c r="H141" s="224"/>
      <c r="I141" s="223"/>
      <c r="J141" s="236"/>
      <c r="K141" s="286"/>
      <c r="L141" s="223"/>
      <c r="M141" s="20"/>
      <c r="N141" s="7"/>
      <c r="O141" s="21">
        <f>L141+M141+N141</f>
        <v>0</v>
      </c>
      <c r="P141" s="74"/>
      <c r="Q141" s="72">
        <f>O141+P141</f>
        <v>0</v>
      </c>
    </row>
    <row r="142" spans="1:17" ht="12.75">
      <c r="A142" s="32" t="s">
        <v>78</v>
      </c>
      <c r="B142" s="91"/>
      <c r="C142" s="108">
        <v>24000</v>
      </c>
      <c r="D142" s="107">
        <f>673.45</f>
        <v>673.45</v>
      </c>
      <c r="E142" s="107"/>
      <c r="F142" s="206">
        <f>C142+D142+E142</f>
        <v>24673.45</v>
      </c>
      <c r="G142" s="236">
        <f>500</f>
        <v>500</v>
      </c>
      <c r="H142" s="224"/>
      <c r="I142" s="223">
        <f>F142+G142+H142</f>
        <v>25173.45</v>
      </c>
      <c r="J142" s="236"/>
      <c r="K142" s="286"/>
      <c r="L142" s="223">
        <f>I142+J142+K142</f>
        <v>25173.45</v>
      </c>
      <c r="M142" s="20"/>
      <c r="N142" s="7"/>
      <c r="O142" s="21">
        <f>L142+M142+N142</f>
        <v>25173.45</v>
      </c>
      <c r="P142" s="74"/>
      <c r="Q142" s="72">
        <f>O142+P142</f>
        <v>25173.45</v>
      </c>
    </row>
    <row r="143" spans="1:17" ht="12.75">
      <c r="A143" s="39" t="s">
        <v>53</v>
      </c>
      <c r="B143" s="95"/>
      <c r="C143" s="116">
        <f>SUM(C145:C148)</f>
        <v>28500</v>
      </c>
      <c r="D143" s="117">
        <f aca="true" t="shared" si="45" ref="D143:Q143">SUM(D145:D148)</f>
        <v>44729.54</v>
      </c>
      <c r="E143" s="117">
        <f t="shared" si="45"/>
        <v>0</v>
      </c>
      <c r="F143" s="210">
        <f t="shared" si="45"/>
        <v>73229.54000000001</v>
      </c>
      <c r="G143" s="267">
        <f t="shared" si="45"/>
        <v>1515</v>
      </c>
      <c r="H143" s="252">
        <f t="shared" si="45"/>
        <v>0</v>
      </c>
      <c r="I143" s="230">
        <f t="shared" si="45"/>
        <v>74744.54000000001</v>
      </c>
      <c r="J143" s="267">
        <f t="shared" si="45"/>
        <v>18000</v>
      </c>
      <c r="K143" s="297">
        <f t="shared" si="45"/>
        <v>0</v>
      </c>
      <c r="L143" s="230">
        <f t="shared" si="45"/>
        <v>92744.54000000001</v>
      </c>
      <c r="M143" s="116">
        <f t="shared" si="45"/>
        <v>0</v>
      </c>
      <c r="N143" s="116">
        <f t="shared" si="45"/>
        <v>0</v>
      </c>
      <c r="O143" s="116">
        <f t="shared" si="45"/>
        <v>92744.54000000001</v>
      </c>
      <c r="P143" s="116">
        <f t="shared" si="45"/>
        <v>0</v>
      </c>
      <c r="Q143" s="165">
        <f t="shared" si="45"/>
        <v>92744.54000000001</v>
      </c>
    </row>
    <row r="144" spans="1:17" ht="12.75">
      <c r="A144" s="30" t="s">
        <v>26</v>
      </c>
      <c r="B144" s="91"/>
      <c r="C144" s="109"/>
      <c r="D144" s="110"/>
      <c r="E144" s="110"/>
      <c r="F144" s="207"/>
      <c r="G144" s="266"/>
      <c r="H144" s="250"/>
      <c r="I144" s="225"/>
      <c r="J144" s="266"/>
      <c r="K144" s="288"/>
      <c r="L144" s="225"/>
      <c r="M144" s="22"/>
      <c r="N144" s="8"/>
      <c r="O144" s="23"/>
      <c r="P144" s="74"/>
      <c r="Q144" s="72"/>
    </row>
    <row r="145" spans="1:17" ht="12.75" hidden="1">
      <c r="A145" s="32" t="s">
        <v>149</v>
      </c>
      <c r="B145" s="91">
        <v>98861</v>
      </c>
      <c r="C145" s="108"/>
      <c r="D145" s="107"/>
      <c r="E145" s="107"/>
      <c r="F145" s="206">
        <f>C145+D145+E145</f>
        <v>0</v>
      </c>
      <c r="G145" s="266"/>
      <c r="H145" s="250"/>
      <c r="I145" s="223"/>
      <c r="J145" s="266"/>
      <c r="K145" s="288"/>
      <c r="L145" s="223"/>
      <c r="M145" s="22"/>
      <c r="N145" s="8"/>
      <c r="O145" s="21">
        <f>L145+M145+N145</f>
        <v>0</v>
      </c>
      <c r="P145" s="74"/>
      <c r="Q145" s="72">
        <f>O145+P145</f>
        <v>0</v>
      </c>
    </row>
    <row r="146" spans="1:17" ht="12.75" hidden="1">
      <c r="A146" s="32" t="s">
        <v>198</v>
      </c>
      <c r="B146" s="91">
        <v>7938</v>
      </c>
      <c r="C146" s="108"/>
      <c r="D146" s="107"/>
      <c r="E146" s="107"/>
      <c r="F146" s="206">
        <f>C146+D146+E146</f>
        <v>0</v>
      </c>
      <c r="G146" s="266"/>
      <c r="H146" s="250"/>
      <c r="I146" s="223"/>
      <c r="J146" s="266"/>
      <c r="K146" s="288"/>
      <c r="L146" s="223"/>
      <c r="M146" s="22"/>
      <c r="N146" s="8"/>
      <c r="O146" s="21"/>
      <c r="P146" s="74"/>
      <c r="Q146" s="72"/>
    </row>
    <row r="147" spans="1:17" ht="12.75" hidden="1">
      <c r="A147" s="32" t="s">
        <v>224</v>
      </c>
      <c r="B147" s="91"/>
      <c r="C147" s="108"/>
      <c r="D147" s="107"/>
      <c r="E147" s="107"/>
      <c r="F147" s="206">
        <f>C147+D147+E147</f>
        <v>0</v>
      </c>
      <c r="G147" s="266"/>
      <c r="H147" s="250"/>
      <c r="I147" s="223"/>
      <c r="J147" s="266"/>
      <c r="K147" s="288"/>
      <c r="L147" s="223"/>
      <c r="M147" s="22"/>
      <c r="N147" s="8"/>
      <c r="O147" s="21"/>
      <c r="P147" s="74"/>
      <c r="Q147" s="72"/>
    </row>
    <row r="148" spans="1:17" ht="12.75">
      <c r="A148" s="43" t="s">
        <v>54</v>
      </c>
      <c r="B148" s="94"/>
      <c r="C148" s="186">
        <v>28500</v>
      </c>
      <c r="D148" s="115">
        <f>26540.54+3850+14339</f>
        <v>44729.54</v>
      </c>
      <c r="E148" s="115"/>
      <c r="F148" s="211">
        <f>C148+D148+E148</f>
        <v>73229.54000000001</v>
      </c>
      <c r="G148" s="235">
        <f>1515</f>
        <v>1515</v>
      </c>
      <c r="H148" s="253"/>
      <c r="I148" s="231">
        <f>F148+G148+H148</f>
        <v>74744.54000000001</v>
      </c>
      <c r="J148" s="235">
        <f>8000+6500+3500</f>
        <v>18000</v>
      </c>
      <c r="K148" s="289"/>
      <c r="L148" s="231">
        <f>I148+J148+K148</f>
        <v>92744.54000000001</v>
      </c>
      <c r="M148" s="24"/>
      <c r="N148" s="9"/>
      <c r="O148" s="25">
        <f>L148+M148+N148</f>
        <v>92744.54000000001</v>
      </c>
      <c r="P148" s="77"/>
      <c r="Q148" s="78">
        <f>O148+P148</f>
        <v>92744.54000000001</v>
      </c>
    </row>
    <row r="149" spans="1:17" ht="12.75">
      <c r="A149" s="29" t="s">
        <v>243</v>
      </c>
      <c r="B149" s="95"/>
      <c r="C149" s="105">
        <f aca="true" t="shared" si="46" ref="C149:Q149">C150+C169</f>
        <v>4312.6900000000005</v>
      </c>
      <c r="D149" s="106">
        <f t="shared" si="46"/>
        <v>50410.3</v>
      </c>
      <c r="E149" s="106">
        <f t="shared" si="46"/>
        <v>0</v>
      </c>
      <c r="F149" s="205">
        <f t="shared" si="46"/>
        <v>54722.990000000005</v>
      </c>
      <c r="G149" s="232">
        <f t="shared" si="46"/>
        <v>152303.18000000002</v>
      </c>
      <c r="H149" s="248">
        <f t="shared" si="46"/>
        <v>0</v>
      </c>
      <c r="I149" s="222">
        <f t="shared" si="46"/>
        <v>207026.16999999998</v>
      </c>
      <c r="J149" s="232">
        <f>J150+J169</f>
        <v>1308.23</v>
      </c>
      <c r="K149" s="285">
        <f>K150+K169</f>
        <v>0</v>
      </c>
      <c r="L149" s="222">
        <f>L150+L169</f>
        <v>208334.4</v>
      </c>
      <c r="M149" s="105">
        <f t="shared" si="46"/>
        <v>0</v>
      </c>
      <c r="N149" s="105">
        <f t="shared" si="46"/>
        <v>0</v>
      </c>
      <c r="O149" s="105">
        <f t="shared" si="46"/>
        <v>3962.6900000000005</v>
      </c>
      <c r="P149" s="105">
        <f t="shared" si="46"/>
        <v>0</v>
      </c>
      <c r="Q149" s="159">
        <f t="shared" si="46"/>
        <v>3962.6900000000005</v>
      </c>
    </row>
    <row r="150" spans="1:17" ht="12.75">
      <c r="A150" s="38" t="s">
        <v>49</v>
      </c>
      <c r="B150" s="95"/>
      <c r="C150" s="113">
        <f aca="true" t="shared" si="47" ref="C150:Q150">SUM(C152:C168)</f>
        <v>4312.6900000000005</v>
      </c>
      <c r="D150" s="114">
        <f t="shared" si="47"/>
        <v>16445.55</v>
      </c>
      <c r="E150" s="114">
        <f t="shared" si="47"/>
        <v>0</v>
      </c>
      <c r="F150" s="209">
        <f t="shared" si="47"/>
        <v>20758.24</v>
      </c>
      <c r="G150" s="233">
        <f t="shared" si="47"/>
        <v>10718.76</v>
      </c>
      <c r="H150" s="251">
        <f t="shared" si="47"/>
        <v>0</v>
      </c>
      <c r="I150" s="229">
        <f t="shared" si="47"/>
        <v>31477.000000000004</v>
      </c>
      <c r="J150" s="233">
        <f>SUM(J152:J168)</f>
        <v>1308.23</v>
      </c>
      <c r="K150" s="290">
        <f>SUM(K152:K168)</f>
        <v>0</v>
      </c>
      <c r="L150" s="229">
        <f>SUM(L152:L168)</f>
        <v>32785.23</v>
      </c>
      <c r="M150" s="113">
        <f t="shared" si="47"/>
        <v>0</v>
      </c>
      <c r="N150" s="113">
        <f t="shared" si="47"/>
        <v>0</v>
      </c>
      <c r="O150" s="113">
        <f t="shared" si="47"/>
        <v>3862.6900000000005</v>
      </c>
      <c r="P150" s="113">
        <f t="shared" si="47"/>
        <v>0</v>
      </c>
      <c r="Q150" s="164">
        <f t="shared" si="47"/>
        <v>3862.6900000000005</v>
      </c>
    </row>
    <row r="151" spans="1:17" ht="12.75">
      <c r="A151" s="30" t="s">
        <v>26</v>
      </c>
      <c r="B151" s="91"/>
      <c r="C151" s="109"/>
      <c r="D151" s="110"/>
      <c r="E151" s="110"/>
      <c r="F151" s="207"/>
      <c r="G151" s="266"/>
      <c r="H151" s="250"/>
      <c r="I151" s="225"/>
      <c r="J151" s="266"/>
      <c r="K151" s="288"/>
      <c r="L151" s="225"/>
      <c r="M151" s="22"/>
      <c r="N151" s="8"/>
      <c r="O151" s="23"/>
      <c r="P151" s="74"/>
      <c r="Q151" s="72"/>
    </row>
    <row r="152" spans="1:17" ht="12.75">
      <c r="A152" s="32" t="s">
        <v>51</v>
      </c>
      <c r="B152" s="91"/>
      <c r="C152" s="108">
        <v>3162.69</v>
      </c>
      <c r="D152" s="118">
        <f>1000</f>
        <v>1000</v>
      </c>
      <c r="E152" s="107"/>
      <c r="F152" s="206">
        <f aca="true" t="shared" si="48" ref="F152:F168">C152+D152+E152</f>
        <v>4162.6900000000005</v>
      </c>
      <c r="G152" s="236">
        <f>-300</f>
        <v>-300</v>
      </c>
      <c r="H152" s="224"/>
      <c r="I152" s="223">
        <f>F152+G152+H152</f>
        <v>3862.6900000000005</v>
      </c>
      <c r="J152" s="269"/>
      <c r="K152" s="286"/>
      <c r="L152" s="223">
        <f>I152+J152+K152</f>
        <v>3862.6900000000005</v>
      </c>
      <c r="M152" s="28"/>
      <c r="N152" s="7"/>
      <c r="O152" s="21">
        <f>L152+M152+N152</f>
        <v>3862.6900000000005</v>
      </c>
      <c r="P152" s="74"/>
      <c r="Q152" s="72">
        <f>O152+P152</f>
        <v>3862.6900000000005</v>
      </c>
    </row>
    <row r="153" spans="1:17" ht="12.75">
      <c r="A153" s="92" t="s">
        <v>302</v>
      </c>
      <c r="B153" s="91">
        <v>2046</v>
      </c>
      <c r="C153" s="108"/>
      <c r="D153" s="107">
        <f>3504.96</f>
        <v>3504.96</v>
      </c>
      <c r="E153" s="107"/>
      <c r="F153" s="206">
        <f t="shared" si="48"/>
        <v>3504.96</v>
      </c>
      <c r="G153" s="236"/>
      <c r="H153" s="224"/>
      <c r="I153" s="223">
        <f aca="true" t="shared" si="49" ref="I153:I168">F153+G153+H153</f>
        <v>3504.96</v>
      </c>
      <c r="J153" s="236"/>
      <c r="K153" s="286"/>
      <c r="L153" s="223">
        <f aca="true" t="shared" si="50" ref="L153:L168">I153+J153+K153</f>
        <v>3504.96</v>
      </c>
      <c r="M153" s="20"/>
      <c r="N153" s="7"/>
      <c r="O153" s="21"/>
      <c r="P153" s="74"/>
      <c r="Q153" s="72"/>
    </row>
    <row r="154" spans="1:17" ht="12.75">
      <c r="A154" s="92" t="s">
        <v>303</v>
      </c>
      <c r="B154" s="91">
        <v>2016</v>
      </c>
      <c r="C154" s="108"/>
      <c r="D154" s="107">
        <f>1288.56</f>
        <v>1288.56</v>
      </c>
      <c r="E154" s="107"/>
      <c r="F154" s="206">
        <f t="shared" si="48"/>
        <v>1288.56</v>
      </c>
      <c r="G154" s="236"/>
      <c r="H154" s="224"/>
      <c r="I154" s="223">
        <f t="shared" si="49"/>
        <v>1288.56</v>
      </c>
      <c r="J154" s="236"/>
      <c r="K154" s="286"/>
      <c r="L154" s="223">
        <f t="shared" si="50"/>
        <v>1288.56</v>
      </c>
      <c r="M154" s="20"/>
      <c r="N154" s="7"/>
      <c r="O154" s="21"/>
      <c r="P154" s="74"/>
      <c r="Q154" s="72"/>
    </row>
    <row r="155" spans="1:17" ht="12.75" hidden="1">
      <c r="A155" s="92" t="s">
        <v>285</v>
      </c>
      <c r="B155" s="91"/>
      <c r="C155" s="108"/>
      <c r="D155" s="107"/>
      <c r="E155" s="107"/>
      <c r="F155" s="206">
        <f t="shared" si="48"/>
        <v>0</v>
      </c>
      <c r="G155" s="236"/>
      <c r="H155" s="224"/>
      <c r="I155" s="223">
        <f t="shared" si="49"/>
        <v>0</v>
      </c>
      <c r="J155" s="236"/>
      <c r="K155" s="286"/>
      <c r="L155" s="223">
        <f t="shared" si="50"/>
        <v>0</v>
      </c>
      <c r="M155" s="20"/>
      <c r="N155" s="7"/>
      <c r="O155" s="21"/>
      <c r="P155" s="74"/>
      <c r="Q155" s="72"/>
    </row>
    <row r="156" spans="1:17" ht="12.75" hidden="1">
      <c r="A156" s="41" t="s">
        <v>304</v>
      </c>
      <c r="B156" s="91">
        <v>2064</v>
      </c>
      <c r="C156" s="108"/>
      <c r="D156" s="107"/>
      <c r="E156" s="107"/>
      <c r="F156" s="206">
        <f t="shared" si="48"/>
        <v>0</v>
      </c>
      <c r="G156" s="236"/>
      <c r="H156" s="224"/>
      <c r="I156" s="223">
        <f t="shared" si="49"/>
        <v>0</v>
      </c>
      <c r="J156" s="236"/>
      <c r="K156" s="286"/>
      <c r="L156" s="223">
        <f t="shared" si="50"/>
        <v>0</v>
      </c>
      <c r="M156" s="20"/>
      <c r="N156" s="7"/>
      <c r="O156" s="21"/>
      <c r="P156" s="74"/>
      <c r="Q156" s="72"/>
    </row>
    <row r="157" spans="1:17" ht="12.75">
      <c r="A157" s="41" t="s">
        <v>305</v>
      </c>
      <c r="B157" s="91">
        <v>2079</v>
      </c>
      <c r="C157" s="108"/>
      <c r="D157" s="107">
        <f>17.92</f>
        <v>17.92</v>
      </c>
      <c r="E157" s="107"/>
      <c r="F157" s="206">
        <f t="shared" si="48"/>
        <v>17.92</v>
      </c>
      <c r="G157" s="236">
        <f>54.78</f>
        <v>54.78</v>
      </c>
      <c r="H157" s="224"/>
      <c r="I157" s="223">
        <f t="shared" si="49"/>
        <v>72.7</v>
      </c>
      <c r="J157" s="236">
        <f>31.52</f>
        <v>31.52</v>
      </c>
      <c r="K157" s="286"/>
      <c r="L157" s="223">
        <f t="shared" si="50"/>
        <v>104.22</v>
      </c>
      <c r="M157" s="20"/>
      <c r="N157" s="7"/>
      <c r="O157" s="21"/>
      <c r="P157" s="74"/>
      <c r="Q157" s="72"/>
    </row>
    <row r="158" spans="1:17" ht="12.75" hidden="1">
      <c r="A158" s="92" t="s">
        <v>272</v>
      </c>
      <c r="B158" s="91">
        <v>2079</v>
      </c>
      <c r="C158" s="108"/>
      <c r="D158" s="107"/>
      <c r="E158" s="107"/>
      <c r="F158" s="206">
        <f t="shared" si="48"/>
        <v>0</v>
      </c>
      <c r="G158" s="236"/>
      <c r="H158" s="224"/>
      <c r="I158" s="223">
        <f t="shared" si="49"/>
        <v>0</v>
      </c>
      <c r="J158" s="236"/>
      <c r="K158" s="286"/>
      <c r="L158" s="223">
        <f t="shared" si="50"/>
        <v>0</v>
      </c>
      <c r="M158" s="20"/>
      <c r="N158" s="7"/>
      <c r="O158" s="21"/>
      <c r="P158" s="74"/>
      <c r="Q158" s="72"/>
    </row>
    <row r="159" spans="1:17" ht="12.75">
      <c r="A159" s="92" t="s">
        <v>346</v>
      </c>
      <c r="B159" s="91"/>
      <c r="C159" s="108"/>
      <c r="D159" s="107"/>
      <c r="E159" s="107"/>
      <c r="F159" s="206">
        <f t="shared" si="48"/>
        <v>0</v>
      </c>
      <c r="G159" s="236">
        <f>10140</f>
        <v>10140</v>
      </c>
      <c r="H159" s="224"/>
      <c r="I159" s="223">
        <f t="shared" si="49"/>
        <v>10140</v>
      </c>
      <c r="J159" s="236"/>
      <c r="K159" s="286"/>
      <c r="L159" s="223">
        <f t="shared" si="50"/>
        <v>10140</v>
      </c>
      <c r="M159" s="20"/>
      <c r="N159" s="7"/>
      <c r="O159" s="21"/>
      <c r="P159" s="74"/>
      <c r="Q159" s="72"/>
    </row>
    <row r="160" spans="1:17" ht="12.75" hidden="1">
      <c r="A160" s="92" t="s">
        <v>268</v>
      </c>
      <c r="B160" s="91">
        <v>2067</v>
      </c>
      <c r="C160" s="108"/>
      <c r="D160" s="107"/>
      <c r="E160" s="107"/>
      <c r="F160" s="206">
        <f t="shared" si="48"/>
        <v>0</v>
      </c>
      <c r="G160" s="236"/>
      <c r="H160" s="224"/>
      <c r="I160" s="223">
        <f t="shared" si="49"/>
        <v>0</v>
      </c>
      <c r="J160" s="236"/>
      <c r="K160" s="286"/>
      <c r="L160" s="223">
        <f t="shared" si="50"/>
        <v>0</v>
      </c>
      <c r="M160" s="20"/>
      <c r="N160" s="7"/>
      <c r="O160" s="21"/>
      <c r="P160" s="74"/>
      <c r="Q160" s="72"/>
    </row>
    <row r="161" spans="1:17" ht="12.75" hidden="1">
      <c r="A161" s="92" t="s">
        <v>308</v>
      </c>
      <c r="B161" s="91">
        <v>2074</v>
      </c>
      <c r="C161" s="108"/>
      <c r="D161" s="107"/>
      <c r="E161" s="107"/>
      <c r="F161" s="206">
        <f t="shared" si="48"/>
        <v>0</v>
      </c>
      <c r="G161" s="236"/>
      <c r="H161" s="224"/>
      <c r="I161" s="223">
        <f t="shared" si="49"/>
        <v>0</v>
      </c>
      <c r="J161" s="236"/>
      <c r="K161" s="286"/>
      <c r="L161" s="223">
        <f t="shared" si="50"/>
        <v>0</v>
      </c>
      <c r="M161" s="20"/>
      <c r="N161" s="7"/>
      <c r="O161" s="21"/>
      <c r="P161" s="74"/>
      <c r="Q161" s="72"/>
    </row>
    <row r="162" spans="1:17" ht="12.75" hidden="1">
      <c r="A162" s="92" t="s">
        <v>273</v>
      </c>
      <c r="B162" s="91">
        <v>2074</v>
      </c>
      <c r="C162" s="108"/>
      <c r="D162" s="107"/>
      <c r="E162" s="107"/>
      <c r="F162" s="206">
        <f t="shared" si="48"/>
        <v>0</v>
      </c>
      <c r="G162" s="236"/>
      <c r="H162" s="224"/>
      <c r="I162" s="223">
        <f t="shared" si="49"/>
        <v>0</v>
      </c>
      <c r="J162" s="236"/>
      <c r="K162" s="286"/>
      <c r="L162" s="223">
        <f t="shared" si="50"/>
        <v>0</v>
      </c>
      <c r="M162" s="20"/>
      <c r="N162" s="7"/>
      <c r="O162" s="21"/>
      <c r="P162" s="74"/>
      <c r="Q162" s="72"/>
    </row>
    <row r="163" spans="1:17" ht="12.75">
      <c r="A163" s="41" t="s">
        <v>307</v>
      </c>
      <c r="B163" s="91">
        <v>2071</v>
      </c>
      <c r="C163" s="108"/>
      <c r="D163" s="107">
        <f>4808.32</f>
        <v>4808.32</v>
      </c>
      <c r="E163" s="107"/>
      <c r="F163" s="206">
        <f t="shared" si="48"/>
        <v>4808.32</v>
      </c>
      <c r="G163" s="236"/>
      <c r="H163" s="224"/>
      <c r="I163" s="223">
        <f t="shared" si="49"/>
        <v>4808.32</v>
      </c>
      <c r="J163" s="236"/>
      <c r="K163" s="286"/>
      <c r="L163" s="223">
        <f t="shared" si="50"/>
        <v>4808.32</v>
      </c>
      <c r="M163" s="20"/>
      <c r="N163" s="7"/>
      <c r="O163" s="21"/>
      <c r="P163" s="74"/>
      <c r="Q163" s="72"/>
    </row>
    <row r="164" spans="1:17" ht="12.75" hidden="1">
      <c r="A164" s="92" t="s">
        <v>309</v>
      </c>
      <c r="B164" s="91"/>
      <c r="C164" s="108"/>
      <c r="D164" s="107"/>
      <c r="E164" s="107"/>
      <c r="F164" s="206">
        <f t="shared" si="48"/>
        <v>0</v>
      </c>
      <c r="G164" s="236"/>
      <c r="H164" s="224"/>
      <c r="I164" s="223">
        <f t="shared" si="49"/>
        <v>0</v>
      </c>
      <c r="J164" s="236"/>
      <c r="K164" s="286"/>
      <c r="L164" s="223">
        <f t="shared" si="50"/>
        <v>0</v>
      </c>
      <c r="M164" s="20"/>
      <c r="N164" s="7"/>
      <c r="O164" s="21"/>
      <c r="P164" s="74"/>
      <c r="Q164" s="72"/>
    </row>
    <row r="165" spans="1:17" ht="12.75">
      <c r="A165" s="92" t="s">
        <v>306</v>
      </c>
      <c r="B165" s="91"/>
      <c r="C165" s="108"/>
      <c r="D165" s="107">
        <f>1600</f>
        <v>1600</v>
      </c>
      <c r="E165" s="107"/>
      <c r="F165" s="206">
        <f t="shared" si="48"/>
        <v>1600</v>
      </c>
      <c r="G165" s="236"/>
      <c r="H165" s="224"/>
      <c r="I165" s="223">
        <f t="shared" si="49"/>
        <v>1600</v>
      </c>
      <c r="J165" s="236"/>
      <c r="K165" s="286"/>
      <c r="L165" s="223">
        <f t="shared" si="50"/>
        <v>1600</v>
      </c>
      <c r="M165" s="20"/>
      <c r="N165" s="7"/>
      <c r="O165" s="21"/>
      <c r="P165" s="74"/>
      <c r="Q165" s="72"/>
    </row>
    <row r="166" spans="1:17" ht="12.75" hidden="1">
      <c r="A166" s="92" t="s">
        <v>310</v>
      </c>
      <c r="B166" s="91">
        <v>2058</v>
      </c>
      <c r="C166" s="108"/>
      <c r="D166" s="107"/>
      <c r="E166" s="107"/>
      <c r="F166" s="206">
        <f t="shared" si="48"/>
        <v>0</v>
      </c>
      <c r="G166" s="236"/>
      <c r="H166" s="224"/>
      <c r="I166" s="223">
        <f t="shared" si="49"/>
        <v>0</v>
      </c>
      <c r="J166" s="236"/>
      <c r="K166" s="286"/>
      <c r="L166" s="223">
        <f t="shared" si="50"/>
        <v>0</v>
      </c>
      <c r="M166" s="20"/>
      <c r="N166" s="7"/>
      <c r="O166" s="21"/>
      <c r="P166" s="74"/>
      <c r="Q166" s="72"/>
    </row>
    <row r="167" spans="1:17" ht="12.75" hidden="1">
      <c r="A167" s="92" t="s">
        <v>335</v>
      </c>
      <c r="B167" s="91"/>
      <c r="C167" s="108"/>
      <c r="D167" s="107"/>
      <c r="E167" s="107"/>
      <c r="F167" s="206">
        <f t="shared" si="48"/>
        <v>0</v>
      </c>
      <c r="G167" s="236"/>
      <c r="H167" s="224"/>
      <c r="I167" s="223">
        <f t="shared" si="49"/>
        <v>0</v>
      </c>
      <c r="J167" s="236"/>
      <c r="K167" s="286"/>
      <c r="L167" s="223">
        <f t="shared" si="50"/>
        <v>0</v>
      </c>
      <c r="M167" s="20"/>
      <c r="N167" s="7"/>
      <c r="O167" s="21"/>
      <c r="P167" s="74"/>
      <c r="Q167" s="72"/>
    </row>
    <row r="168" spans="1:17" ht="12.75">
      <c r="A168" s="32" t="s">
        <v>76</v>
      </c>
      <c r="B168" s="91"/>
      <c r="C168" s="108">
        <v>1150</v>
      </c>
      <c r="D168" s="107">
        <f>900.16+500+1051.4+94.65+1404.09+275.49</f>
        <v>4225.79</v>
      </c>
      <c r="E168" s="107"/>
      <c r="F168" s="206">
        <f t="shared" si="48"/>
        <v>5375.79</v>
      </c>
      <c r="G168" s="236">
        <f>135.42+37+300+16.99+288.83+45.74</f>
        <v>823.98</v>
      </c>
      <c r="H168" s="224"/>
      <c r="I168" s="223">
        <f t="shared" si="49"/>
        <v>6199.77</v>
      </c>
      <c r="J168" s="236">
        <f>778.62+2.24+180.48+17.52+297.85</f>
        <v>1276.71</v>
      </c>
      <c r="K168" s="286"/>
      <c r="L168" s="223">
        <f t="shared" si="50"/>
        <v>7476.4800000000005</v>
      </c>
      <c r="M168" s="20"/>
      <c r="N168" s="7"/>
      <c r="O168" s="21"/>
      <c r="P168" s="74"/>
      <c r="Q168" s="72"/>
    </row>
    <row r="169" spans="1:17" ht="12.75">
      <c r="A169" s="39" t="s">
        <v>53</v>
      </c>
      <c r="B169" s="95"/>
      <c r="C169" s="116">
        <f aca="true" t="shared" si="51" ref="C169:Q169">SUM(C171:C178)</f>
        <v>0</v>
      </c>
      <c r="D169" s="117">
        <f t="shared" si="51"/>
        <v>33964.75</v>
      </c>
      <c r="E169" s="117">
        <f t="shared" si="51"/>
        <v>0</v>
      </c>
      <c r="F169" s="210">
        <f t="shared" si="51"/>
        <v>33964.75</v>
      </c>
      <c r="G169" s="267">
        <f t="shared" si="51"/>
        <v>141584.42</v>
      </c>
      <c r="H169" s="252">
        <f t="shared" si="51"/>
        <v>0</v>
      </c>
      <c r="I169" s="230">
        <f t="shared" si="51"/>
        <v>175549.16999999998</v>
      </c>
      <c r="J169" s="267">
        <f t="shared" si="51"/>
        <v>0</v>
      </c>
      <c r="K169" s="297">
        <f t="shared" si="51"/>
        <v>0</v>
      </c>
      <c r="L169" s="230">
        <f t="shared" si="51"/>
        <v>175549.16999999998</v>
      </c>
      <c r="M169" s="116">
        <f t="shared" si="51"/>
        <v>0</v>
      </c>
      <c r="N169" s="116">
        <f t="shared" si="51"/>
        <v>0</v>
      </c>
      <c r="O169" s="116">
        <f t="shared" si="51"/>
        <v>100</v>
      </c>
      <c r="P169" s="116">
        <f t="shared" si="51"/>
        <v>0</v>
      </c>
      <c r="Q169" s="165">
        <f t="shared" si="51"/>
        <v>100</v>
      </c>
    </row>
    <row r="170" spans="1:17" ht="12.75">
      <c r="A170" s="41" t="s">
        <v>26</v>
      </c>
      <c r="B170" s="91"/>
      <c r="C170" s="108"/>
      <c r="D170" s="107"/>
      <c r="E170" s="107"/>
      <c r="F170" s="206"/>
      <c r="G170" s="236"/>
      <c r="H170" s="224"/>
      <c r="I170" s="223"/>
      <c r="J170" s="236"/>
      <c r="K170" s="286"/>
      <c r="L170" s="223"/>
      <c r="M170" s="20"/>
      <c r="N170" s="7"/>
      <c r="O170" s="21"/>
      <c r="P170" s="74"/>
      <c r="Q170" s="72"/>
    </row>
    <row r="171" spans="1:17" ht="12.75">
      <c r="A171" s="41" t="s">
        <v>305</v>
      </c>
      <c r="B171" s="91">
        <v>2079</v>
      </c>
      <c r="C171" s="108"/>
      <c r="D171" s="107">
        <f>10524.88</f>
        <v>10524.88</v>
      </c>
      <c r="E171" s="107"/>
      <c r="F171" s="206">
        <f aca="true" t="shared" si="52" ref="F171:F178">C171+D171+E171</f>
        <v>10524.88</v>
      </c>
      <c r="G171" s="236"/>
      <c r="H171" s="224"/>
      <c r="I171" s="223">
        <f aca="true" t="shared" si="53" ref="I171:I178">F171+G171+H171</f>
        <v>10524.88</v>
      </c>
      <c r="J171" s="236"/>
      <c r="K171" s="286"/>
      <c r="L171" s="223">
        <f aca="true" t="shared" si="54" ref="L171:L178">I171+J171+K171</f>
        <v>10524.88</v>
      </c>
      <c r="M171" s="20"/>
      <c r="N171" s="7"/>
      <c r="O171" s="21"/>
      <c r="P171" s="74"/>
      <c r="Q171" s="72"/>
    </row>
    <row r="172" spans="1:17" ht="12.75" hidden="1">
      <c r="A172" s="92" t="s">
        <v>272</v>
      </c>
      <c r="B172" s="91">
        <v>2079</v>
      </c>
      <c r="C172" s="108"/>
      <c r="D172" s="107"/>
      <c r="E172" s="107"/>
      <c r="F172" s="206">
        <f t="shared" si="52"/>
        <v>0</v>
      </c>
      <c r="G172" s="236"/>
      <c r="H172" s="224"/>
      <c r="I172" s="223">
        <f t="shared" si="53"/>
        <v>0</v>
      </c>
      <c r="J172" s="236"/>
      <c r="K172" s="286"/>
      <c r="L172" s="223">
        <f t="shared" si="54"/>
        <v>0</v>
      </c>
      <c r="M172" s="20"/>
      <c r="N172" s="7"/>
      <c r="O172" s="21"/>
      <c r="P172" s="74"/>
      <c r="Q172" s="72"/>
    </row>
    <row r="173" spans="1:17" ht="12.75">
      <c r="A173" s="92" t="s">
        <v>311</v>
      </c>
      <c r="B173" s="91"/>
      <c r="C173" s="108"/>
      <c r="D173" s="107">
        <f>23302.87</f>
        <v>23302.87</v>
      </c>
      <c r="E173" s="107"/>
      <c r="F173" s="206">
        <f t="shared" si="52"/>
        <v>23302.87</v>
      </c>
      <c r="G173" s="236">
        <f>127.5</f>
        <v>127.5</v>
      </c>
      <c r="H173" s="224"/>
      <c r="I173" s="223">
        <f t="shared" si="53"/>
        <v>23430.37</v>
      </c>
      <c r="J173" s="236"/>
      <c r="K173" s="286"/>
      <c r="L173" s="223">
        <f t="shared" si="54"/>
        <v>23430.37</v>
      </c>
      <c r="M173" s="20"/>
      <c r="N173" s="7"/>
      <c r="O173" s="21"/>
      <c r="P173" s="74"/>
      <c r="Q173" s="72"/>
    </row>
    <row r="174" spans="1:17" ht="12.75">
      <c r="A174" s="92" t="s">
        <v>343</v>
      </c>
      <c r="B174" s="91"/>
      <c r="C174" s="108"/>
      <c r="D174" s="107"/>
      <c r="E174" s="107"/>
      <c r="F174" s="206">
        <f t="shared" si="52"/>
        <v>0</v>
      </c>
      <c r="G174" s="236">
        <f>6293.92</f>
        <v>6293.92</v>
      </c>
      <c r="H174" s="224"/>
      <c r="I174" s="223">
        <f t="shared" si="53"/>
        <v>6293.92</v>
      </c>
      <c r="J174" s="236"/>
      <c r="K174" s="286"/>
      <c r="L174" s="223">
        <f t="shared" si="54"/>
        <v>6293.92</v>
      </c>
      <c r="M174" s="20"/>
      <c r="N174" s="7"/>
      <c r="O174" s="21"/>
      <c r="P174" s="74"/>
      <c r="Q174" s="72"/>
    </row>
    <row r="175" spans="1:17" ht="12.75">
      <c r="A175" s="92" t="s">
        <v>346</v>
      </c>
      <c r="B175" s="91"/>
      <c r="C175" s="108"/>
      <c r="D175" s="107"/>
      <c r="E175" s="107"/>
      <c r="F175" s="206">
        <f t="shared" si="52"/>
        <v>0</v>
      </c>
      <c r="G175" s="236">
        <f>135200</f>
        <v>135200</v>
      </c>
      <c r="H175" s="224"/>
      <c r="I175" s="223">
        <f t="shared" si="53"/>
        <v>135200</v>
      </c>
      <c r="J175" s="236"/>
      <c r="K175" s="286"/>
      <c r="L175" s="223">
        <f t="shared" si="54"/>
        <v>135200</v>
      </c>
      <c r="M175" s="20"/>
      <c r="N175" s="7"/>
      <c r="O175" s="21"/>
      <c r="P175" s="74"/>
      <c r="Q175" s="72"/>
    </row>
    <row r="176" spans="1:17" ht="12.75" hidden="1">
      <c r="A176" s="32" t="s">
        <v>67</v>
      </c>
      <c r="B176" s="91"/>
      <c r="C176" s="108"/>
      <c r="D176" s="107"/>
      <c r="E176" s="107"/>
      <c r="F176" s="206">
        <f t="shared" si="52"/>
        <v>0</v>
      </c>
      <c r="G176" s="236"/>
      <c r="H176" s="224"/>
      <c r="I176" s="223">
        <f t="shared" si="53"/>
        <v>0</v>
      </c>
      <c r="J176" s="236"/>
      <c r="K176" s="286"/>
      <c r="L176" s="223">
        <f t="shared" si="54"/>
        <v>0</v>
      </c>
      <c r="M176" s="20"/>
      <c r="N176" s="7"/>
      <c r="O176" s="21">
        <f>L176+M176+N176</f>
        <v>0</v>
      </c>
      <c r="P176" s="74"/>
      <c r="Q176" s="72">
        <f aca="true" t="shared" si="55" ref="Q176:Q229">O176+P176</f>
        <v>0</v>
      </c>
    </row>
    <row r="177" spans="1:17" ht="12.75" hidden="1">
      <c r="A177" s="32" t="s">
        <v>54</v>
      </c>
      <c r="B177" s="91"/>
      <c r="C177" s="108"/>
      <c r="D177" s="107"/>
      <c r="E177" s="107"/>
      <c r="F177" s="206">
        <f t="shared" si="52"/>
        <v>0</v>
      </c>
      <c r="G177" s="236"/>
      <c r="H177" s="224"/>
      <c r="I177" s="223">
        <f t="shared" si="53"/>
        <v>0</v>
      </c>
      <c r="J177" s="236"/>
      <c r="K177" s="286"/>
      <c r="L177" s="223">
        <f t="shared" si="54"/>
        <v>0</v>
      </c>
      <c r="M177" s="20"/>
      <c r="N177" s="7"/>
      <c r="O177" s="21">
        <f>L177+M177+N177</f>
        <v>0</v>
      </c>
      <c r="P177" s="74"/>
      <c r="Q177" s="72">
        <f t="shared" si="55"/>
        <v>0</v>
      </c>
    </row>
    <row r="178" spans="1:17" ht="12.75">
      <c r="A178" s="35" t="s">
        <v>76</v>
      </c>
      <c r="B178" s="94"/>
      <c r="C178" s="186"/>
      <c r="D178" s="115">
        <f>137</f>
        <v>137</v>
      </c>
      <c r="E178" s="115"/>
      <c r="F178" s="211">
        <f t="shared" si="52"/>
        <v>137</v>
      </c>
      <c r="G178" s="235">
        <f>-37</f>
        <v>-37</v>
      </c>
      <c r="H178" s="253"/>
      <c r="I178" s="231">
        <f t="shared" si="53"/>
        <v>100</v>
      </c>
      <c r="J178" s="235"/>
      <c r="K178" s="289"/>
      <c r="L178" s="231">
        <f t="shared" si="54"/>
        <v>100</v>
      </c>
      <c r="M178" s="24"/>
      <c r="N178" s="9"/>
      <c r="O178" s="25">
        <f>L178+M178+N178</f>
        <v>100</v>
      </c>
      <c r="P178" s="77"/>
      <c r="Q178" s="78">
        <f t="shared" si="55"/>
        <v>100</v>
      </c>
    </row>
    <row r="179" spans="1:17" ht="12.75">
      <c r="A179" s="29" t="s">
        <v>80</v>
      </c>
      <c r="B179" s="95"/>
      <c r="C179" s="105">
        <f aca="true" t="shared" si="56" ref="C179:Q179">C180+C221</f>
        <v>420275.30000000005</v>
      </c>
      <c r="D179" s="106">
        <f t="shared" si="56"/>
        <v>1864828.3899999997</v>
      </c>
      <c r="E179" s="106">
        <f t="shared" si="56"/>
        <v>0</v>
      </c>
      <c r="F179" s="205">
        <f t="shared" si="56"/>
        <v>2285103.69</v>
      </c>
      <c r="G179" s="232">
        <f t="shared" si="56"/>
        <v>7970716.780000001</v>
      </c>
      <c r="H179" s="248">
        <f t="shared" si="56"/>
        <v>0</v>
      </c>
      <c r="I179" s="222">
        <f t="shared" si="56"/>
        <v>10255820.469999995</v>
      </c>
      <c r="J179" s="232">
        <f>J180+J221</f>
        <v>183528.83</v>
      </c>
      <c r="K179" s="285">
        <f>K180+K221</f>
        <v>0</v>
      </c>
      <c r="L179" s="222">
        <f>L180+L221</f>
        <v>10439349.299999997</v>
      </c>
      <c r="M179" s="105">
        <f t="shared" si="56"/>
        <v>0</v>
      </c>
      <c r="N179" s="105">
        <f t="shared" si="56"/>
        <v>0</v>
      </c>
      <c r="O179" s="105">
        <f t="shared" si="56"/>
        <v>1106175.45</v>
      </c>
      <c r="P179" s="105">
        <f t="shared" si="56"/>
        <v>0</v>
      </c>
      <c r="Q179" s="159">
        <f t="shared" si="56"/>
        <v>1106175.45</v>
      </c>
    </row>
    <row r="180" spans="1:17" ht="12.75">
      <c r="A180" s="38" t="s">
        <v>49</v>
      </c>
      <c r="B180" s="95"/>
      <c r="C180" s="113">
        <f aca="true" t="shared" si="57" ref="C180:Q180">SUM(C182:C220)</f>
        <v>419535.30000000005</v>
      </c>
      <c r="D180" s="114">
        <f t="shared" si="57"/>
        <v>1854764.6899999997</v>
      </c>
      <c r="E180" s="114">
        <f t="shared" si="57"/>
        <v>0</v>
      </c>
      <c r="F180" s="209">
        <f t="shared" si="57"/>
        <v>2274299.9899999998</v>
      </c>
      <c r="G180" s="233">
        <f t="shared" si="57"/>
        <v>7962759.780000001</v>
      </c>
      <c r="H180" s="251">
        <f t="shared" si="57"/>
        <v>0</v>
      </c>
      <c r="I180" s="229">
        <f t="shared" si="57"/>
        <v>10237059.769999996</v>
      </c>
      <c r="J180" s="233">
        <f>SUM(J182:J220)</f>
        <v>182660.03</v>
      </c>
      <c r="K180" s="290">
        <f>SUM(K182:K220)</f>
        <v>0</v>
      </c>
      <c r="L180" s="229">
        <f>SUM(L182:L220)</f>
        <v>10419719.799999997</v>
      </c>
      <c r="M180" s="113">
        <f t="shared" si="57"/>
        <v>0</v>
      </c>
      <c r="N180" s="113">
        <f t="shared" si="57"/>
        <v>0</v>
      </c>
      <c r="O180" s="113">
        <f t="shared" si="57"/>
        <v>1090550.51</v>
      </c>
      <c r="P180" s="113">
        <f t="shared" si="57"/>
        <v>0</v>
      </c>
      <c r="Q180" s="164">
        <f t="shared" si="57"/>
        <v>1090550.51</v>
      </c>
    </row>
    <row r="181" spans="1:17" ht="12.75">
      <c r="A181" s="30" t="s">
        <v>26</v>
      </c>
      <c r="B181" s="91"/>
      <c r="C181" s="108"/>
      <c r="D181" s="107"/>
      <c r="E181" s="107"/>
      <c r="F181" s="206"/>
      <c r="G181" s="236"/>
      <c r="H181" s="224"/>
      <c r="I181" s="223"/>
      <c r="J181" s="236"/>
      <c r="K181" s="286"/>
      <c r="L181" s="223"/>
      <c r="M181" s="20"/>
      <c r="N181" s="7"/>
      <c r="O181" s="21"/>
      <c r="P181" s="74"/>
      <c r="Q181" s="72"/>
    </row>
    <row r="182" spans="1:17" ht="12.75">
      <c r="A182" s="36" t="s">
        <v>72</v>
      </c>
      <c r="B182" s="91"/>
      <c r="C182" s="108">
        <v>359419.89</v>
      </c>
      <c r="D182" s="107">
        <f>3798.99+18503.4+207+75880.24+6000+490.69</f>
        <v>104880.32</v>
      </c>
      <c r="E182" s="107"/>
      <c r="F182" s="206">
        <f aca="true" t="shared" si="58" ref="F182:F220">C182+D182+E182</f>
        <v>464300.21</v>
      </c>
      <c r="G182" s="236">
        <f>37393.39+750+6402.5</f>
        <v>44545.89</v>
      </c>
      <c r="H182" s="224"/>
      <c r="I182" s="223">
        <f>F182+G182+H182</f>
        <v>508846.10000000003</v>
      </c>
      <c r="J182" s="236">
        <f>98.69+13410+488.88+1139.89+6.5+329.36+114.1</f>
        <v>15587.42</v>
      </c>
      <c r="K182" s="286"/>
      <c r="L182" s="223">
        <f>I182+J182+K182</f>
        <v>524433.52</v>
      </c>
      <c r="M182" s="20"/>
      <c r="N182" s="7"/>
      <c r="O182" s="21">
        <f>L182+M182+N182</f>
        <v>524433.52</v>
      </c>
      <c r="P182" s="74"/>
      <c r="Q182" s="72">
        <f t="shared" si="55"/>
        <v>524433.52</v>
      </c>
    </row>
    <row r="183" spans="1:17" ht="12.75">
      <c r="A183" s="36" t="s">
        <v>262</v>
      </c>
      <c r="B183" s="91">
        <v>33353</v>
      </c>
      <c r="C183" s="108"/>
      <c r="D183" s="107">
        <f>772855.17+772855.17</f>
        <v>1545710.34</v>
      </c>
      <c r="E183" s="107"/>
      <c r="F183" s="206">
        <f t="shared" si="58"/>
        <v>1545710.34</v>
      </c>
      <c r="G183" s="236">
        <f>772855.17+6925868.2+980.4</f>
        <v>7699703.7700000005</v>
      </c>
      <c r="H183" s="224"/>
      <c r="I183" s="223">
        <f aca="true" t="shared" si="59" ref="I183:I218">F183+G183+H183</f>
        <v>9245414.110000001</v>
      </c>
      <c r="J183" s="236">
        <f>7172.57</f>
        <v>7172.57</v>
      </c>
      <c r="K183" s="286"/>
      <c r="L183" s="223">
        <f aca="true" t="shared" si="60" ref="L183:L220">I183+J183+K183</f>
        <v>9252586.680000002</v>
      </c>
      <c r="M183" s="20"/>
      <c r="N183" s="7"/>
      <c r="O183" s="21"/>
      <c r="P183" s="74"/>
      <c r="Q183" s="72"/>
    </row>
    <row r="184" spans="1:17" ht="12.75">
      <c r="A184" s="36" t="s">
        <v>263</v>
      </c>
      <c r="B184" s="91">
        <v>33155</v>
      </c>
      <c r="C184" s="108"/>
      <c r="D184" s="118">
        <f>41253.78+41301.16</f>
        <v>82554.94</v>
      </c>
      <c r="E184" s="107"/>
      <c r="F184" s="206">
        <f t="shared" si="58"/>
        <v>82554.94</v>
      </c>
      <c r="G184" s="236">
        <f>41885.67+149383.17</f>
        <v>191268.84000000003</v>
      </c>
      <c r="H184" s="224"/>
      <c r="I184" s="223">
        <f t="shared" si="59"/>
        <v>273823.78</v>
      </c>
      <c r="J184" s="236">
        <f>136819.92</f>
        <v>136819.92</v>
      </c>
      <c r="K184" s="286"/>
      <c r="L184" s="223">
        <f t="shared" si="60"/>
        <v>410643.70000000007</v>
      </c>
      <c r="M184" s="20"/>
      <c r="N184" s="7"/>
      <c r="O184" s="21">
        <f aca="true" t="shared" si="61" ref="O184:O220">L184+M184+N184</f>
        <v>410643.70000000007</v>
      </c>
      <c r="P184" s="74"/>
      <c r="Q184" s="72">
        <f t="shared" si="55"/>
        <v>410643.70000000007</v>
      </c>
    </row>
    <row r="185" spans="1:17" ht="12.75">
      <c r="A185" s="36" t="s">
        <v>81</v>
      </c>
      <c r="B185" s="91" t="s">
        <v>196</v>
      </c>
      <c r="C185" s="108"/>
      <c r="D185" s="107"/>
      <c r="E185" s="107"/>
      <c r="F185" s="206">
        <f t="shared" si="58"/>
        <v>0</v>
      </c>
      <c r="G185" s="236"/>
      <c r="H185" s="224"/>
      <c r="I185" s="223">
        <f t="shared" si="59"/>
        <v>0</v>
      </c>
      <c r="J185" s="236">
        <f>102.38+330.8</f>
        <v>433.18</v>
      </c>
      <c r="K185" s="286"/>
      <c r="L185" s="223">
        <f t="shared" si="60"/>
        <v>433.18</v>
      </c>
      <c r="M185" s="20"/>
      <c r="N185" s="7"/>
      <c r="O185" s="21">
        <f t="shared" si="61"/>
        <v>433.18</v>
      </c>
      <c r="P185" s="74"/>
      <c r="Q185" s="72">
        <f t="shared" si="55"/>
        <v>433.18</v>
      </c>
    </row>
    <row r="186" spans="1:17" ht="12.75" hidden="1">
      <c r="A186" s="36" t="s">
        <v>129</v>
      </c>
      <c r="B186" s="91"/>
      <c r="C186" s="108"/>
      <c r="D186" s="107"/>
      <c r="E186" s="107"/>
      <c r="F186" s="206">
        <f t="shared" si="58"/>
        <v>0</v>
      </c>
      <c r="G186" s="236"/>
      <c r="H186" s="224"/>
      <c r="I186" s="223">
        <f t="shared" si="59"/>
        <v>0</v>
      </c>
      <c r="J186" s="236"/>
      <c r="K186" s="286"/>
      <c r="L186" s="223">
        <f t="shared" si="60"/>
        <v>0</v>
      </c>
      <c r="M186" s="20"/>
      <c r="N186" s="7"/>
      <c r="O186" s="21">
        <f t="shared" si="61"/>
        <v>0</v>
      </c>
      <c r="P186" s="74"/>
      <c r="Q186" s="72">
        <f t="shared" si="55"/>
        <v>0</v>
      </c>
    </row>
    <row r="187" spans="1:17" ht="12.75" hidden="1">
      <c r="A187" s="36" t="s">
        <v>193</v>
      </c>
      <c r="B187" s="91">
        <v>33215</v>
      </c>
      <c r="C187" s="108"/>
      <c r="D187" s="107"/>
      <c r="E187" s="107"/>
      <c r="F187" s="206">
        <f t="shared" si="58"/>
        <v>0</v>
      </c>
      <c r="G187" s="236"/>
      <c r="H187" s="224"/>
      <c r="I187" s="223">
        <f t="shared" si="59"/>
        <v>0</v>
      </c>
      <c r="J187" s="236"/>
      <c r="K187" s="286"/>
      <c r="L187" s="223">
        <f t="shared" si="60"/>
        <v>0</v>
      </c>
      <c r="M187" s="20"/>
      <c r="N187" s="7"/>
      <c r="O187" s="21">
        <f t="shared" si="61"/>
        <v>0</v>
      </c>
      <c r="P187" s="74"/>
      <c r="Q187" s="72">
        <f t="shared" si="55"/>
        <v>0</v>
      </c>
    </row>
    <row r="188" spans="1:17" ht="12.75" hidden="1">
      <c r="A188" s="36" t="s">
        <v>194</v>
      </c>
      <c r="B188" s="91">
        <v>33457</v>
      </c>
      <c r="C188" s="108"/>
      <c r="D188" s="107"/>
      <c r="E188" s="107"/>
      <c r="F188" s="206">
        <f t="shared" si="58"/>
        <v>0</v>
      </c>
      <c r="G188" s="236"/>
      <c r="H188" s="224"/>
      <c r="I188" s="223">
        <f t="shared" si="59"/>
        <v>0</v>
      </c>
      <c r="J188" s="236"/>
      <c r="K188" s="286"/>
      <c r="L188" s="223">
        <f t="shared" si="60"/>
        <v>0</v>
      </c>
      <c r="M188" s="20"/>
      <c r="N188" s="7"/>
      <c r="O188" s="21">
        <f t="shared" si="61"/>
        <v>0</v>
      </c>
      <c r="P188" s="74"/>
      <c r="Q188" s="72">
        <f t="shared" si="55"/>
        <v>0</v>
      </c>
    </row>
    <row r="189" spans="1:17" ht="12.75" hidden="1">
      <c r="A189" s="53" t="s">
        <v>179</v>
      </c>
      <c r="B189" s="91">
        <v>33052</v>
      </c>
      <c r="C189" s="108"/>
      <c r="D189" s="107"/>
      <c r="E189" s="107"/>
      <c r="F189" s="206">
        <f t="shared" si="58"/>
        <v>0</v>
      </c>
      <c r="G189" s="236"/>
      <c r="H189" s="224"/>
      <c r="I189" s="223">
        <f t="shared" si="59"/>
        <v>0</v>
      </c>
      <c r="J189" s="236"/>
      <c r="K189" s="286"/>
      <c r="L189" s="223">
        <f t="shared" si="60"/>
        <v>0</v>
      </c>
      <c r="M189" s="20"/>
      <c r="N189" s="7"/>
      <c r="O189" s="21">
        <f t="shared" si="61"/>
        <v>0</v>
      </c>
      <c r="P189" s="74"/>
      <c r="Q189" s="72">
        <f t="shared" si="55"/>
        <v>0</v>
      </c>
    </row>
    <row r="190" spans="1:17" ht="12.75" hidden="1">
      <c r="A190" s="53" t="s">
        <v>251</v>
      </c>
      <c r="B190" s="91">
        <v>33076</v>
      </c>
      <c r="C190" s="108"/>
      <c r="D190" s="107"/>
      <c r="E190" s="107"/>
      <c r="F190" s="206">
        <f t="shared" si="58"/>
        <v>0</v>
      </c>
      <c r="G190" s="236"/>
      <c r="H190" s="224"/>
      <c r="I190" s="223">
        <f t="shared" si="59"/>
        <v>0</v>
      </c>
      <c r="J190" s="236"/>
      <c r="K190" s="286"/>
      <c r="L190" s="223">
        <f t="shared" si="60"/>
        <v>0</v>
      </c>
      <c r="M190" s="20"/>
      <c r="N190" s="7"/>
      <c r="O190" s="21"/>
      <c r="P190" s="74"/>
      <c r="Q190" s="72"/>
    </row>
    <row r="191" spans="1:17" ht="12.75" hidden="1">
      <c r="A191" s="53" t="s">
        <v>211</v>
      </c>
      <c r="B191" s="91">
        <v>33069</v>
      </c>
      <c r="C191" s="108"/>
      <c r="D191" s="107"/>
      <c r="E191" s="107"/>
      <c r="F191" s="206">
        <f t="shared" si="58"/>
        <v>0</v>
      </c>
      <c r="G191" s="236"/>
      <c r="H191" s="224"/>
      <c r="I191" s="223">
        <f t="shared" si="59"/>
        <v>0</v>
      </c>
      <c r="J191" s="236"/>
      <c r="K191" s="286"/>
      <c r="L191" s="223">
        <f t="shared" si="60"/>
        <v>0</v>
      </c>
      <c r="M191" s="20"/>
      <c r="N191" s="7"/>
      <c r="O191" s="21"/>
      <c r="P191" s="74"/>
      <c r="Q191" s="72"/>
    </row>
    <row r="192" spans="1:17" ht="12.75" hidden="1">
      <c r="A192" s="53" t="s">
        <v>242</v>
      </c>
      <c r="B192" s="91">
        <v>33070</v>
      </c>
      <c r="C192" s="108"/>
      <c r="D192" s="107"/>
      <c r="E192" s="107"/>
      <c r="F192" s="206">
        <f t="shared" si="58"/>
        <v>0</v>
      </c>
      <c r="G192" s="236"/>
      <c r="H192" s="224"/>
      <c r="I192" s="223">
        <f t="shared" si="59"/>
        <v>0</v>
      </c>
      <c r="J192" s="236"/>
      <c r="K192" s="286"/>
      <c r="L192" s="223">
        <f t="shared" si="60"/>
        <v>0</v>
      </c>
      <c r="M192" s="20"/>
      <c r="N192" s="7"/>
      <c r="O192" s="21"/>
      <c r="P192" s="74"/>
      <c r="Q192" s="72"/>
    </row>
    <row r="193" spans="1:17" ht="12.75" hidden="1">
      <c r="A193" s="36" t="s">
        <v>235</v>
      </c>
      <c r="B193" s="91">
        <v>33071</v>
      </c>
      <c r="C193" s="108"/>
      <c r="D193" s="107"/>
      <c r="E193" s="107"/>
      <c r="F193" s="206">
        <f t="shared" si="58"/>
        <v>0</v>
      </c>
      <c r="G193" s="236"/>
      <c r="H193" s="224"/>
      <c r="I193" s="223">
        <f t="shared" si="59"/>
        <v>0</v>
      </c>
      <c r="J193" s="236"/>
      <c r="K193" s="286"/>
      <c r="L193" s="223">
        <f t="shared" si="60"/>
        <v>0</v>
      </c>
      <c r="M193" s="20"/>
      <c r="N193" s="7"/>
      <c r="O193" s="21">
        <f t="shared" si="61"/>
        <v>0</v>
      </c>
      <c r="P193" s="74"/>
      <c r="Q193" s="72">
        <f t="shared" si="55"/>
        <v>0</v>
      </c>
    </row>
    <row r="194" spans="1:17" ht="12.75" hidden="1">
      <c r="A194" s="36" t="s">
        <v>180</v>
      </c>
      <c r="B194" s="91">
        <v>33050</v>
      </c>
      <c r="C194" s="108"/>
      <c r="D194" s="107"/>
      <c r="E194" s="107"/>
      <c r="F194" s="206">
        <f t="shared" si="58"/>
        <v>0</v>
      </c>
      <c r="G194" s="236"/>
      <c r="H194" s="224"/>
      <c r="I194" s="223">
        <f t="shared" si="59"/>
        <v>0</v>
      </c>
      <c r="J194" s="236"/>
      <c r="K194" s="286"/>
      <c r="L194" s="223">
        <f t="shared" si="60"/>
        <v>0</v>
      </c>
      <c r="M194" s="20"/>
      <c r="N194" s="7"/>
      <c r="O194" s="21">
        <f t="shared" si="61"/>
        <v>0</v>
      </c>
      <c r="P194" s="74"/>
      <c r="Q194" s="72">
        <f t="shared" si="55"/>
        <v>0</v>
      </c>
    </row>
    <row r="195" spans="1:17" ht="12.75" hidden="1">
      <c r="A195" s="36" t="s">
        <v>139</v>
      </c>
      <c r="B195" s="91">
        <v>33435</v>
      </c>
      <c r="C195" s="108"/>
      <c r="D195" s="107"/>
      <c r="E195" s="107"/>
      <c r="F195" s="206">
        <f t="shared" si="58"/>
        <v>0</v>
      </c>
      <c r="G195" s="236"/>
      <c r="H195" s="224"/>
      <c r="I195" s="223">
        <f t="shared" si="59"/>
        <v>0</v>
      </c>
      <c r="J195" s="236"/>
      <c r="K195" s="286"/>
      <c r="L195" s="223">
        <f t="shared" si="60"/>
        <v>0</v>
      </c>
      <c r="M195" s="20"/>
      <c r="N195" s="7"/>
      <c r="O195" s="21">
        <f t="shared" si="61"/>
        <v>0</v>
      </c>
      <c r="P195" s="74"/>
      <c r="Q195" s="72">
        <f t="shared" si="55"/>
        <v>0</v>
      </c>
    </row>
    <row r="196" spans="1:17" ht="12.75" hidden="1">
      <c r="A196" s="36" t="s">
        <v>199</v>
      </c>
      <c r="B196" s="91">
        <v>33049</v>
      </c>
      <c r="C196" s="108"/>
      <c r="D196" s="107"/>
      <c r="E196" s="107"/>
      <c r="F196" s="206">
        <f t="shared" si="58"/>
        <v>0</v>
      </c>
      <c r="G196" s="236"/>
      <c r="H196" s="224"/>
      <c r="I196" s="223">
        <f t="shared" si="59"/>
        <v>0</v>
      </c>
      <c r="J196" s="236"/>
      <c r="K196" s="286"/>
      <c r="L196" s="223">
        <f t="shared" si="60"/>
        <v>0</v>
      </c>
      <c r="M196" s="20"/>
      <c r="N196" s="7"/>
      <c r="O196" s="21"/>
      <c r="P196" s="74"/>
      <c r="Q196" s="72"/>
    </row>
    <row r="197" spans="1:17" ht="12.75" hidden="1">
      <c r="A197" s="36" t="s">
        <v>181</v>
      </c>
      <c r="B197" s="91">
        <v>33044</v>
      </c>
      <c r="C197" s="108"/>
      <c r="D197" s="107"/>
      <c r="E197" s="107"/>
      <c r="F197" s="206">
        <f t="shared" si="58"/>
        <v>0</v>
      </c>
      <c r="G197" s="236"/>
      <c r="H197" s="224"/>
      <c r="I197" s="223">
        <f t="shared" si="59"/>
        <v>0</v>
      </c>
      <c r="J197" s="236"/>
      <c r="K197" s="286"/>
      <c r="L197" s="223">
        <f t="shared" si="60"/>
        <v>0</v>
      </c>
      <c r="M197" s="20"/>
      <c r="N197" s="7"/>
      <c r="O197" s="21">
        <f t="shared" si="61"/>
        <v>0</v>
      </c>
      <c r="P197" s="74"/>
      <c r="Q197" s="72">
        <f t="shared" si="55"/>
        <v>0</v>
      </c>
    </row>
    <row r="198" spans="1:17" ht="12.75" hidden="1">
      <c r="A198" s="36" t="s">
        <v>185</v>
      </c>
      <c r="B198" s="91">
        <v>33024</v>
      </c>
      <c r="C198" s="108"/>
      <c r="D198" s="107"/>
      <c r="E198" s="107"/>
      <c r="F198" s="206">
        <f t="shared" si="58"/>
        <v>0</v>
      </c>
      <c r="G198" s="236"/>
      <c r="H198" s="224"/>
      <c r="I198" s="223">
        <f t="shared" si="59"/>
        <v>0</v>
      </c>
      <c r="J198" s="236"/>
      <c r="K198" s="286"/>
      <c r="L198" s="223">
        <f t="shared" si="60"/>
        <v>0</v>
      </c>
      <c r="M198" s="20"/>
      <c r="N198" s="7"/>
      <c r="O198" s="21"/>
      <c r="P198" s="74"/>
      <c r="Q198" s="72"/>
    </row>
    <row r="199" spans="1:17" ht="12.75" hidden="1">
      <c r="A199" s="53" t="s">
        <v>144</v>
      </c>
      <c r="B199" s="91">
        <v>33018</v>
      </c>
      <c r="C199" s="108"/>
      <c r="D199" s="107"/>
      <c r="E199" s="107"/>
      <c r="F199" s="206">
        <f t="shared" si="58"/>
        <v>0</v>
      </c>
      <c r="G199" s="236"/>
      <c r="H199" s="224"/>
      <c r="I199" s="223">
        <f t="shared" si="59"/>
        <v>0</v>
      </c>
      <c r="J199" s="236"/>
      <c r="K199" s="286"/>
      <c r="L199" s="223">
        <f t="shared" si="60"/>
        <v>0</v>
      </c>
      <c r="M199" s="20"/>
      <c r="N199" s="7"/>
      <c r="O199" s="21">
        <f t="shared" si="61"/>
        <v>0</v>
      </c>
      <c r="P199" s="74"/>
      <c r="Q199" s="72">
        <f t="shared" si="55"/>
        <v>0</v>
      </c>
    </row>
    <row r="200" spans="1:17" ht="12.75">
      <c r="A200" s="36" t="s">
        <v>334</v>
      </c>
      <c r="B200" s="91">
        <v>33083</v>
      </c>
      <c r="C200" s="108"/>
      <c r="D200" s="107"/>
      <c r="E200" s="107"/>
      <c r="F200" s="206">
        <f t="shared" si="58"/>
        <v>0</v>
      </c>
      <c r="G200" s="236">
        <f>480.4-248.2</f>
        <v>232.2</v>
      </c>
      <c r="H200" s="224"/>
      <c r="I200" s="223">
        <f t="shared" si="59"/>
        <v>232.2</v>
      </c>
      <c r="J200" s="236"/>
      <c r="K200" s="286"/>
      <c r="L200" s="223">
        <f t="shared" si="60"/>
        <v>232.2</v>
      </c>
      <c r="M200" s="20"/>
      <c r="N200" s="7"/>
      <c r="O200" s="21">
        <f t="shared" si="61"/>
        <v>232.2</v>
      </c>
      <c r="P200" s="74"/>
      <c r="Q200" s="72">
        <f t="shared" si="55"/>
        <v>232.2</v>
      </c>
    </row>
    <row r="201" spans="1:17" ht="12.75" hidden="1">
      <c r="A201" s="53" t="s">
        <v>163</v>
      </c>
      <c r="B201" s="91">
        <v>33160</v>
      </c>
      <c r="C201" s="108"/>
      <c r="D201" s="107"/>
      <c r="E201" s="107"/>
      <c r="F201" s="206">
        <f t="shared" si="58"/>
        <v>0</v>
      </c>
      <c r="G201" s="236"/>
      <c r="H201" s="224"/>
      <c r="I201" s="223">
        <f t="shared" si="59"/>
        <v>0</v>
      </c>
      <c r="J201" s="236"/>
      <c r="K201" s="286"/>
      <c r="L201" s="223">
        <f t="shared" si="60"/>
        <v>0</v>
      </c>
      <c r="M201" s="20"/>
      <c r="N201" s="7"/>
      <c r="O201" s="21">
        <f t="shared" si="61"/>
        <v>0</v>
      </c>
      <c r="P201" s="74"/>
      <c r="Q201" s="72">
        <f t="shared" si="55"/>
        <v>0</v>
      </c>
    </row>
    <row r="202" spans="1:17" ht="12.75">
      <c r="A202" s="53" t="s">
        <v>332</v>
      </c>
      <c r="B202" s="91">
        <v>33087</v>
      </c>
      <c r="C202" s="108"/>
      <c r="D202" s="107"/>
      <c r="E202" s="107"/>
      <c r="F202" s="206">
        <f t="shared" si="58"/>
        <v>0</v>
      </c>
      <c r="G202" s="236">
        <f>13698.4</f>
        <v>13698.4</v>
      </c>
      <c r="H202" s="224"/>
      <c r="I202" s="223">
        <f t="shared" si="59"/>
        <v>13698.4</v>
      </c>
      <c r="J202" s="236"/>
      <c r="K202" s="286"/>
      <c r="L202" s="223">
        <f t="shared" si="60"/>
        <v>13698.4</v>
      </c>
      <c r="M202" s="20"/>
      <c r="N202" s="7"/>
      <c r="O202" s="21">
        <f t="shared" si="61"/>
        <v>13698.4</v>
      </c>
      <c r="P202" s="74"/>
      <c r="Q202" s="72">
        <f t="shared" si="55"/>
        <v>13698.4</v>
      </c>
    </row>
    <row r="203" spans="1:17" ht="12.75">
      <c r="A203" s="53" t="s">
        <v>341</v>
      </c>
      <c r="B203" s="91">
        <v>33087</v>
      </c>
      <c r="C203" s="108"/>
      <c r="D203" s="107"/>
      <c r="E203" s="107"/>
      <c r="F203" s="206">
        <f t="shared" si="58"/>
        <v>0</v>
      </c>
      <c r="G203" s="236">
        <f>32526</f>
        <v>32526</v>
      </c>
      <c r="H203" s="224"/>
      <c r="I203" s="223">
        <f t="shared" si="59"/>
        <v>32526</v>
      </c>
      <c r="J203" s="236"/>
      <c r="K203" s="286"/>
      <c r="L203" s="223">
        <f t="shared" si="60"/>
        <v>32526</v>
      </c>
      <c r="M203" s="20"/>
      <c r="N203" s="7"/>
      <c r="O203" s="21"/>
      <c r="P203" s="74"/>
      <c r="Q203" s="72"/>
    </row>
    <row r="204" spans="1:17" ht="12.75">
      <c r="A204" s="53" t="s">
        <v>321</v>
      </c>
      <c r="B204" s="91">
        <v>33086</v>
      </c>
      <c r="C204" s="108"/>
      <c r="D204" s="107">
        <f>18081.7</f>
        <v>18081.7</v>
      </c>
      <c r="E204" s="107"/>
      <c r="F204" s="206">
        <f t="shared" si="58"/>
        <v>18081.7</v>
      </c>
      <c r="G204" s="236"/>
      <c r="H204" s="224"/>
      <c r="I204" s="223">
        <f t="shared" si="59"/>
        <v>18081.7</v>
      </c>
      <c r="J204" s="236"/>
      <c r="K204" s="286"/>
      <c r="L204" s="223">
        <f t="shared" si="60"/>
        <v>18081.7</v>
      </c>
      <c r="M204" s="20"/>
      <c r="N204" s="7"/>
      <c r="O204" s="21">
        <f t="shared" si="61"/>
        <v>18081.7</v>
      </c>
      <c r="P204" s="74"/>
      <c r="Q204" s="72">
        <f t="shared" si="55"/>
        <v>18081.7</v>
      </c>
    </row>
    <row r="205" spans="1:17" ht="12.75">
      <c r="A205" s="53" t="s">
        <v>333</v>
      </c>
      <c r="B205" s="91">
        <v>33088</v>
      </c>
      <c r="C205" s="108"/>
      <c r="D205" s="107"/>
      <c r="E205" s="107"/>
      <c r="F205" s="206">
        <f t="shared" si="58"/>
        <v>0</v>
      </c>
      <c r="G205" s="236">
        <f>21681</f>
        <v>21681</v>
      </c>
      <c r="H205" s="224"/>
      <c r="I205" s="223">
        <f t="shared" si="59"/>
        <v>21681</v>
      </c>
      <c r="J205" s="236"/>
      <c r="K205" s="286"/>
      <c r="L205" s="223">
        <f t="shared" si="60"/>
        <v>21681</v>
      </c>
      <c r="M205" s="20"/>
      <c r="N205" s="7"/>
      <c r="O205" s="21">
        <f t="shared" si="61"/>
        <v>21681</v>
      </c>
      <c r="P205" s="74"/>
      <c r="Q205" s="72">
        <f t="shared" si="55"/>
        <v>21681</v>
      </c>
    </row>
    <row r="206" spans="1:17" ht="12.75" hidden="1">
      <c r="A206" s="36" t="s">
        <v>82</v>
      </c>
      <c r="B206" s="91">
        <v>33025</v>
      </c>
      <c r="C206" s="108"/>
      <c r="D206" s="107"/>
      <c r="E206" s="107"/>
      <c r="F206" s="206">
        <f t="shared" si="58"/>
        <v>0</v>
      </c>
      <c r="G206" s="236"/>
      <c r="H206" s="224"/>
      <c r="I206" s="223">
        <f t="shared" si="59"/>
        <v>0</v>
      </c>
      <c r="J206" s="236"/>
      <c r="K206" s="286"/>
      <c r="L206" s="223">
        <f t="shared" si="60"/>
        <v>0</v>
      </c>
      <c r="M206" s="20"/>
      <c r="N206" s="7"/>
      <c r="O206" s="21">
        <f t="shared" si="61"/>
        <v>0</v>
      </c>
      <c r="P206" s="74"/>
      <c r="Q206" s="72">
        <f t="shared" si="55"/>
        <v>0</v>
      </c>
    </row>
    <row r="207" spans="1:17" ht="12.75" hidden="1">
      <c r="A207" s="36" t="s">
        <v>152</v>
      </c>
      <c r="B207" s="91">
        <v>33038</v>
      </c>
      <c r="C207" s="108"/>
      <c r="D207" s="107"/>
      <c r="E207" s="107"/>
      <c r="F207" s="206">
        <f t="shared" si="58"/>
        <v>0</v>
      </c>
      <c r="G207" s="236"/>
      <c r="H207" s="224"/>
      <c r="I207" s="223">
        <f t="shared" si="59"/>
        <v>0</v>
      </c>
      <c r="J207" s="236"/>
      <c r="K207" s="286"/>
      <c r="L207" s="223">
        <f t="shared" si="60"/>
        <v>0</v>
      </c>
      <c r="M207" s="20"/>
      <c r="N207" s="7"/>
      <c r="O207" s="21">
        <f t="shared" si="61"/>
        <v>0</v>
      </c>
      <c r="P207" s="74"/>
      <c r="Q207" s="72">
        <f t="shared" si="55"/>
        <v>0</v>
      </c>
    </row>
    <row r="208" spans="1:17" ht="13.5" thickBot="1">
      <c r="A208" s="314" t="s">
        <v>336</v>
      </c>
      <c r="B208" s="130">
        <v>13305</v>
      </c>
      <c r="C208" s="188"/>
      <c r="D208" s="131"/>
      <c r="E208" s="131"/>
      <c r="F208" s="212">
        <f t="shared" si="58"/>
        <v>0</v>
      </c>
      <c r="G208" s="310">
        <f>1290.41+645.2</f>
        <v>1935.6100000000001</v>
      </c>
      <c r="H208" s="311"/>
      <c r="I208" s="312">
        <f t="shared" si="59"/>
        <v>1935.6100000000001</v>
      </c>
      <c r="J208" s="310">
        <f>4752.48</f>
        <v>4752.48</v>
      </c>
      <c r="K208" s="313"/>
      <c r="L208" s="312">
        <f t="shared" si="60"/>
        <v>6688.09</v>
      </c>
      <c r="M208" s="20"/>
      <c r="N208" s="7"/>
      <c r="O208" s="21"/>
      <c r="P208" s="74"/>
      <c r="Q208" s="72"/>
    </row>
    <row r="209" spans="1:17" ht="12.75">
      <c r="A209" s="36" t="s">
        <v>355</v>
      </c>
      <c r="B209" s="91">
        <v>29031</v>
      </c>
      <c r="C209" s="108"/>
      <c r="D209" s="107"/>
      <c r="E209" s="107"/>
      <c r="F209" s="206"/>
      <c r="G209" s="236"/>
      <c r="H209" s="224"/>
      <c r="I209" s="223">
        <f t="shared" si="59"/>
        <v>0</v>
      </c>
      <c r="J209" s="236">
        <f>420.75</f>
        <v>420.75</v>
      </c>
      <c r="K209" s="286"/>
      <c r="L209" s="223">
        <f t="shared" si="60"/>
        <v>420.75</v>
      </c>
      <c r="M209" s="20"/>
      <c r="N209" s="7"/>
      <c r="O209" s="21"/>
      <c r="P209" s="74"/>
      <c r="Q209" s="72"/>
    </row>
    <row r="210" spans="1:17" ht="12.75" hidden="1">
      <c r="A210" s="36" t="s">
        <v>252</v>
      </c>
      <c r="B210" s="91">
        <v>33063</v>
      </c>
      <c r="C210" s="108"/>
      <c r="D210" s="107"/>
      <c r="E210" s="107"/>
      <c r="F210" s="206">
        <f t="shared" si="58"/>
        <v>0</v>
      </c>
      <c r="G210" s="236"/>
      <c r="H210" s="224"/>
      <c r="I210" s="223">
        <f t="shared" si="59"/>
        <v>0</v>
      </c>
      <c r="J210" s="236"/>
      <c r="K210" s="286"/>
      <c r="L210" s="223">
        <f t="shared" si="60"/>
        <v>0</v>
      </c>
      <c r="M210" s="20"/>
      <c r="N210" s="7"/>
      <c r="O210" s="21"/>
      <c r="P210" s="74"/>
      <c r="Q210" s="72"/>
    </row>
    <row r="211" spans="1:17" ht="12.75" hidden="1">
      <c r="A211" s="36" t="s">
        <v>246</v>
      </c>
      <c r="B211" s="91" t="s">
        <v>247</v>
      </c>
      <c r="C211" s="108"/>
      <c r="D211" s="107"/>
      <c r="E211" s="107"/>
      <c r="F211" s="206">
        <f t="shared" si="58"/>
        <v>0</v>
      </c>
      <c r="G211" s="236"/>
      <c r="H211" s="224"/>
      <c r="I211" s="223">
        <f t="shared" si="59"/>
        <v>0</v>
      </c>
      <c r="J211" s="236"/>
      <c r="K211" s="286"/>
      <c r="L211" s="223">
        <f t="shared" si="60"/>
        <v>0</v>
      </c>
      <c r="M211" s="20"/>
      <c r="N211" s="7"/>
      <c r="O211" s="21"/>
      <c r="P211" s="74"/>
      <c r="Q211" s="72"/>
    </row>
    <row r="212" spans="1:17" ht="12.75">
      <c r="A212" s="36" t="s">
        <v>300</v>
      </c>
      <c r="B212" s="91"/>
      <c r="C212" s="108"/>
      <c r="D212" s="107">
        <f>13.8+389.37</f>
        <v>403.17</v>
      </c>
      <c r="E212" s="107"/>
      <c r="F212" s="206">
        <f t="shared" si="58"/>
        <v>403.17</v>
      </c>
      <c r="G212" s="236"/>
      <c r="H212" s="224"/>
      <c r="I212" s="223">
        <f t="shared" si="59"/>
        <v>403.17</v>
      </c>
      <c r="J212" s="236"/>
      <c r="K212" s="286"/>
      <c r="L212" s="223">
        <f t="shared" si="60"/>
        <v>403.17</v>
      </c>
      <c r="M212" s="20"/>
      <c r="N212" s="7"/>
      <c r="O212" s="21"/>
      <c r="P212" s="74"/>
      <c r="Q212" s="72"/>
    </row>
    <row r="213" spans="1:17" ht="12.75">
      <c r="A213" s="36" t="s">
        <v>312</v>
      </c>
      <c r="B213" s="91">
        <v>2054</v>
      </c>
      <c r="C213" s="108"/>
      <c r="D213" s="107">
        <f>2962.92</f>
        <v>2962.92</v>
      </c>
      <c r="E213" s="107"/>
      <c r="F213" s="206">
        <f t="shared" si="58"/>
        <v>2962.92</v>
      </c>
      <c r="G213" s="236"/>
      <c r="H213" s="224"/>
      <c r="I213" s="223">
        <f t="shared" si="59"/>
        <v>2962.92</v>
      </c>
      <c r="J213" s="236"/>
      <c r="K213" s="286"/>
      <c r="L213" s="223">
        <f t="shared" si="60"/>
        <v>2962.92</v>
      </c>
      <c r="M213" s="20"/>
      <c r="N213" s="7"/>
      <c r="O213" s="21"/>
      <c r="P213" s="74"/>
      <c r="Q213" s="72"/>
    </row>
    <row r="214" spans="1:17" ht="12.75">
      <c r="A214" s="36" t="s">
        <v>271</v>
      </c>
      <c r="B214" s="91">
        <v>2054</v>
      </c>
      <c r="C214" s="108"/>
      <c r="D214" s="107"/>
      <c r="E214" s="107"/>
      <c r="F214" s="206">
        <f t="shared" si="58"/>
        <v>0</v>
      </c>
      <c r="G214" s="236"/>
      <c r="H214" s="224"/>
      <c r="I214" s="223">
        <f t="shared" si="59"/>
        <v>0</v>
      </c>
      <c r="J214" s="236">
        <f>976.13</f>
        <v>976.13</v>
      </c>
      <c r="K214" s="286"/>
      <c r="L214" s="223">
        <f t="shared" si="60"/>
        <v>976.13</v>
      </c>
      <c r="M214" s="20"/>
      <c r="N214" s="7"/>
      <c r="O214" s="21"/>
      <c r="P214" s="74"/>
      <c r="Q214" s="72"/>
    </row>
    <row r="215" spans="1:17" ht="12.75">
      <c r="A215" s="36" t="s">
        <v>344</v>
      </c>
      <c r="B215" s="91">
        <v>2075</v>
      </c>
      <c r="C215" s="108"/>
      <c r="D215" s="107"/>
      <c r="E215" s="107"/>
      <c r="F215" s="206">
        <f t="shared" si="58"/>
        <v>0</v>
      </c>
      <c r="G215" s="236">
        <f>3064.67</f>
        <v>3064.67</v>
      </c>
      <c r="H215" s="224"/>
      <c r="I215" s="223">
        <f t="shared" si="59"/>
        <v>3064.67</v>
      </c>
      <c r="J215" s="236"/>
      <c r="K215" s="286"/>
      <c r="L215" s="223">
        <f t="shared" si="60"/>
        <v>3064.67</v>
      </c>
      <c r="M215" s="20"/>
      <c r="N215" s="7"/>
      <c r="O215" s="21"/>
      <c r="P215" s="74"/>
      <c r="Q215" s="72"/>
    </row>
    <row r="216" spans="1:17" ht="12.75">
      <c r="A216" s="36" t="s">
        <v>313</v>
      </c>
      <c r="B216" s="91">
        <v>2066</v>
      </c>
      <c r="C216" s="108"/>
      <c r="D216" s="107">
        <f>14775.7</f>
        <v>14775.7</v>
      </c>
      <c r="E216" s="107"/>
      <c r="F216" s="206">
        <f t="shared" si="58"/>
        <v>14775.7</v>
      </c>
      <c r="G216" s="236"/>
      <c r="H216" s="224"/>
      <c r="I216" s="223">
        <f t="shared" si="59"/>
        <v>14775.7</v>
      </c>
      <c r="J216" s="236"/>
      <c r="K216" s="286"/>
      <c r="L216" s="223">
        <f t="shared" si="60"/>
        <v>14775.7</v>
      </c>
      <c r="M216" s="20"/>
      <c r="N216" s="7"/>
      <c r="O216" s="21"/>
      <c r="P216" s="74"/>
      <c r="Q216" s="72"/>
    </row>
    <row r="217" spans="1:17" ht="12.75">
      <c r="A217" s="36" t="s">
        <v>352</v>
      </c>
      <c r="B217" s="91"/>
      <c r="C217" s="108"/>
      <c r="D217" s="107"/>
      <c r="E217" s="107"/>
      <c r="F217" s="206"/>
      <c r="G217" s="236"/>
      <c r="H217" s="224"/>
      <c r="I217" s="223">
        <f t="shared" si="59"/>
        <v>0</v>
      </c>
      <c r="J217" s="236">
        <f>14844.55-147.49</f>
        <v>14697.06</v>
      </c>
      <c r="K217" s="286"/>
      <c r="L217" s="223">
        <f t="shared" si="60"/>
        <v>14697.06</v>
      </c>
      <c r="M217" s="20"/>
      <c r="N217" s="7"/>
      <c r="O217" s="21"/>
      <c r="P217" s="74"/>
      <c r="Q217" s="72"/>
    </row>
    <row r="218" spans="1:17" ht="12.75">
      <c r="A218" s="36" t="s">
        <v>338</v>
      </c>
      <c r="B218" s="91">
        <v>17051</v>
      </c>
      <c r="C218" s="108"/>
      <c r="D218" s="107"/>
      <c r="E218" s="107"/>
      <c r="F218" s="206">
        <f t="shared" si="58"/>
        <v>0</v>
      </c>
      <c r="G218" s="236">
        <f>6.93+7.72+14.14</f>
        <v>28.79</v>
      </c>
      <c r="H218" s="224"/>
      <c r="I218" s="223">
        <f t="shared" si="59"/>
        <v>28.79</v>
      </c>
      <c r="J218" s="236">
        <f>7.93+13.12+18.28</f>
        <v>39.33</v>
      </c>
      <c r="K218" s="286"/>
      <c r="L218" s="223">
        <f t="shared" si="60"/>
        <v>68.12</v>
      </c>
      <c r="M218" s="20"/>
      <c r="N218" s="7"/>
      <c r="O218" s="21"/>
      <c r="P218" s="74"/>
      <c r="Q218" s="72"/>
    </row>
    <row r="219" spans="1:17" ht="12.75">
      <c r="A219" s="36" t="s">
        <v>75</v>
      </c>
      <c r="B219" s="154" t="s">
        <v>244</v>
      </c>
      <c r="C219" s="108">
        <v>6820</v>
      </c>
      <c r="D219" s="107">
        <f>6310.53+7999.21+191.86+35552.53</f>
        <v>50054.13</v>
      </c>
      <c r="E219" s="107"/>
      <c r="F219" s="206">
        <f t="shared" si="58"/>
        <v>56874.13</v>
      </c>
      <c r="G219" s="236">
        <f>-6664+41.66+174.49</f>
        <v>-6447.85</v>
      </c>
      <c r="H219" s="224"/>
      <c r="I219" s="223">
        <f>F219+G219+H219</f>
        <v>50426.28</v>
      </c>
      <c r="J219" s="236">
        <f>315</f>
        <v>315</v>
      </c>
      <c r="K219" s="286"/>
      <c r="L219" s="223">
        <f t="shared" si="60"/>
        <v>50741.28</v>
      </c>
      <c r="M219" s="28"/>
      <c r="N219" s="7"/>
      <c r="O219" s="21">
        <f t="shared" si="61"/>
        <v>50741.28</v>
      </c>
      <c r="P219" s="74"/>
      <c r="Q219" s="72">
        <f t="shared" si="55"/>
        <v>50741.28</v>
      </c>
    </row>
    <row r="220" spans="1:17" ht="12.75">
      <c r="A220" s="36" t="s">
        <v>51</v>
      </c>
      <c r="B220" s="91"/>
      <c r="C220" s="108">
        <v>53295.41</v>
      </c>
      <c r="D220" s="107">
        <f>2000+2184.07+4900-15535.6-207+7000+20000+9000+6000</f>
        <v>35341.47</v>
      </c>
      <c r="E220" s="107"/>
      <c r="F220" s="206">
        <f t="shared" si="58"/>
        <v>88636.88</v>
      </c>
      <c r="G220" s="236">
        <f>-32323.94-1.1-750-6402.5</f>
        <v>-39477.53999999999</v>
      </c>
      <c r="H220" s="224"/>
      <c r="I220" s="223">
        <f>F220+G220+H220</f>
        <v>49159.34000000001</v>
      </c>
      <c r="J220" s="236">
        <f>463.4+1311.9-389.5+180.99-6.5-114.1</f>
        <v>1446.1900000000003</v>
      </c>
      <c r="K220" s="286"/>
      <c r="L220" s="223">
        <f t="shared" si="60"/>
        <v>50605.53000000001</v>
      </c>
      <c r="M220" s="28"/>
      <c r="N220" s="7"/>
      <c r="O220" s="21">
        <f t="shared" si="61"/>
        <v>50605.53000000001</v>
      </c>
      <c r="P220" s="74"/>
      <c r="Q220" s="72">
        <f t="shared" si="55"/>
        <v>50605.53000000001</v>
      </c>
    </row>
    <row r="221" spans="1:17" ht="12.75">
      <c r="A221" s="39" t="s">
        <v>53</v>
      </c>
      <c r="B221" s="95"/>
      <c r="C221" s="116">
        <f>SUM(C223:C229)</f>
        <v>740</v>
      </c>
      <c r="D221" s="117">
        <f aca="true" t="shared" si="62" ref="D221:Q221">SUM(D223:D229)</f>
        <v>10063.7</v>
      </c>
      <c r="E221" s="117">
        <f t="shared" si="62"/>
        <v>0</v>
      </c>
      <c r="F221" s="210">
        <f t="shared" si="62"/>
        <v>10803.7</v>
      </c>
      <c r="G221" s="267">
        <f t="shared" si="62"/>
        <v>7957</v>
      </c>
      <c r="H221" s="252">
        <f t="shared" si="62"/>
        <v>0</v>
      </c>
      <c r="I221" s="230">
        <f t="shared" si="62"/>
        <v>18760.7</v>
      </c>
      <c r="J221" s="267">
        <f t="shared" si="62"/>
        <v>868.8</v>
      </c>
      <c r="K221" s="297">
        <f t="shared" si="62"/>
        <v>0</v>
      </c>
      <c r="L221" s="230">
        <f t="shared" si="62"/>
        <v>19629.5</v>
      </c>
      <c r="M221" s="116">
        <f t="shared" si="62"/>
        <v>0</v>
      </c>
      <c r="N221" s="116">
        <f t="shared" si="62"/>
        <v>0</v>
      </c>
      <c r="O221" s="116">
        <f t="shared" si="62"/>
        <v>15624.940000000002</v>
      </c>
      <c r="P221" s="116">
        <f t="shared" si="62"/>
        <v>0</v>
      </c>
      <c r="Q221" s="165">
        <f t="shared" si="62"/>
        <v>15624.940000000002</v>
      </c>
    </row>
    <row r="222" spans="1:17" ht="12.75">
      <c r="A222" s="34" t="s">
        <v>26</v>
      </c>
      <c r="B222" s="91"/>
      <c r="C222" s="108"/>
      <c r="D222" s="107"/>
      <c r="E222" s="107"/>
      <c r="F222" s="206"/>
      <c r="G222" s="236"/>
      <c r="H222" s="224"/>
      <c r="I222" s="222"/>
      <c r="J222" s="236"/>
      <c r="K222" s="286"/>
      <c r="L222" s="222"/>
      <c r="M222" s="20"/>
      <c r="N222" s="7"/>
      <c r="O222" s="19"/>
      <c r="P222" s="74"/>
      <c r="Q222" s="72"/>
    </row>
    <row r="223" spans="1:17" ht="12.75">
      <c r="A223" s="36" t="s">
        <v>83</v>
      </c>
      <c r="B223" s="91"/>
      <c r="C223" s="108">
        <v>740</v>
      </c>
      <c r="D223" s="107">
        <f>701.01</f>
        <v>701.01</v>
      </c>
      <c r="E223" s="107"/>
      <c r="F223" s="206">
        <f aca="true" t="shared" si="63" ref="F223:F229">C223+D223+E223</f>
        <v>1441.01</v>
      </c>
      <c r="G223" s="236">
        <f>593+700</f>
        <v>1293</v>
      </c>
      <c r="H223" s="224"/>
      <c r="I223" s="223">
        <f aca="true" t="shared" si="64" ref="I223:I229">F223+G223+H223</f>
        <v>2734.01</v>
      </c>
      <c r="J223" s="236">
        <f>173.8+695</f>
        <v>868.8</v>
      </c>
      <c r="K223" s="286"/>
      <c r="L223" s="223">
        <f aca="true" t="shared" si="65" ref="L223:L229">I223+J223+K223</f>
        <v>3602.8100000000004</v>
      </c>
      <c r="M223" s="20"/>
      <c r="N223" s="7"/>
      <c r="O223" s="21">
        <f>L223+M223+N223</f>
        <v>3602.8100000000004</v>
      </c>
      <c r="P223" s="74"/>
      <c r="Q223" s="72">
        <f t="shared" si="55"/>
        <v>3602.8100000000004</v>
      </c>
    </row>
    <row r="224" spans="1:17" ht="12.75" hidden="1">
      <c r="A224" s="36" t="s">
        <v>246</v>
      </c>
      <c r="B224" s="91" t="s">
        <v>248</v>
      </c>
      <c r="C224" s="108"/>
      <c r="D224" s="107"/>
      <c r="E224" s="107"/>
      <c r="F224" s="206">
        <f t="shared" si="63"/>
        <v>0</v>
      </c>
      <c r="G224" s="236"/>
      <c r="H224" s="224"/>
      <c r="I224" s="223">
        <f t="shared" si="64"/>
        <v>0</v>
      </c>
      <c r="J224" s="236"/>
      <c r="K224" s="286"/>
      <c r="L224" s="223">
        <f t="shared" si="65"/>
        <v>0</v>
      </c>
      <c r="M224" s="20"/>
      <c r="N224" s="7"/>
      <c r="O224" s="21"/>
      <c r="P224" s="74"/>
      <c r="Q224" s="72"/>
    </row>
    <row r="225" spans="1:17" ht="12.75">
      <c r="A225" s="36" t="s">
        <v>313</v>
      </c>
      <c r="B225" s="91"/>
      <c r="C225" s="108"/>
      <c r="D225" s="107">
        <f>4004.56</f>
        <v>4004.56</v>
      </c>
      <c r="E225" s="107"/>
      <c r="F225" s="206">
        <f t="shared" si="63"/>
        <v>4004.56</v>
      </c>
      <c r="G225" s="236"/>
      <c r="H225" s="224"/>
      <c r="I225" s="223">
        <f t="shared" si="64"/>
        <v>4004.56</v>
      </c>
      <c r="J225" s="236"/>
      <c r="K225" s="286"/>
      <c r="L225" s="223">
        <f t="shared" si="65"/>
        <v>4004.56</v>
      </c>
      <c r="M225" s="20"/>
      <c r="N225" s="7"/>
      <c r="O225" s="21"/>
      <c r="P225" s="74"/>
      <c r="Q225" s="72"/>
    </row>
    <row r="226" spans="1:17" ht="12.75" hidden="1">
      <c r="A226" s="36" t="s">
        <v>67</v>
      </c>
      <c r="B226" s="91"/>
      <c r="C226" s="108"/>
      <c r="D226" s="107"/>
      <c r="E226" s="107"/>
      <c r="F226" s="206">
        <f t="shared" si="63"/>
        <v>0</v>
      </c>
      <c r="G226" s="236"/>
      <c r="H226" s="224"/>
      <c r="I226" s="223">
        <f t="shared" si="64"/>
        <v>0</v>
      </c>
      <c r="J226" s="236"/>
      <c r="K226" s="286"/>
      <c r="L226" s="223">
        <f t="shared" si="65"/>
        <v>0</v>
      </c>
      <c r="M226" s="20"/>
      <c r="N226" s="7"/>
      <c r="O226" s="21">
        <f>L226+M226+N226</f>
        <v>0</v>
      </c>
      <c r="P226" s="74"/>
      <c r="Q226" s="72">
        <f t="shared" si="55"/>
        <v>0</v>
      </c>
    </row>
    <row r="227" spans="1:17" ht="12.75" hidden="1">
      <c r="A227" s="36" t="s">
        <v>84</v>
      </c>
      <c r="B227" s="91"/>
      <c r="C227" s="108"/>
      <c r="D227" s="107"/>
      <c r="E227" s="107"/>
      <c r="F227" s="206">
        <f t="shared" si="63"/>
        <v>0</v>
      </c>
      <c r="G227" s="236"/>
      <c r="H227" s="224"/>
      <c r="I227" s="223">
        <f t="shared" si="64"/>
        <v>0</v>
      </c>
      <c r="J227" s="236"/>
      <c r="K227" s="286"/>
      <c r="L227" s="223">
        <f t="shared" si="65"/>
        <v>0</v>
      </c>
      <c r="M227" s="20"/>
      <c r="N227" s="7"/>
      <c r="O227" s="21">
        <f>L227+M227+N227</f>
        <v>0</v>
      </c>
      <c r="P227" s="74"/>
      <c r="Q227" s="72">
        <f t="shared" si="55"/>
        <v>0</v>
      </c>
    </row>
    <row r="228" spans="1:17" ht="12.75" hidden="1">
      <c r="A228" s="36" t="s">
        <v>54</v>
      </c>
      <c r="B228" s="91"/>
      <c r="C228" s="108"/>
      <c r="D228" s="107"/>
      <c r="E228" s="107"/>
      <c r="F228" s="206">
        <f t="shared" si="63"/>
        <v>0</v>
      </c>
      <c r="G228" s="236"/>
      <c r="H228" s="224"/>
      <c r="I228" s="223">
        <f t="shared" si="64"/>
        <v>0</v>
      </c>
      <c r="J228" s="236"/>
      <c r="K228" s="291"/>
      <c r="L228" s="223">
        <f t="shared" si="65"/>
        <v>0</v>
      </c>
      <c r="M228" s="20"/>
      <c r="N228" s="7"/>
      <c r="O228" s="21">
        <f>L228+M228+N228</f>
        <v>0</v>
      </c>
      <c r="P228" s="74"/>
      <c r="Q228" s="72">
        <f t="shared" si="55"/>
        <v>0</v>
      </c>
    </row>
    <row r="229" spans="1:17" ht="12.75">
      <c r="A229" s="43" t="s">
        <v>75</v>
      </c>
      <c r="B229" s="94"/>
      <c r="C229" s="186"/>
      <c r="D229" s="115">
        <f>4858.13+500</f>
        <v>5358.13</v>
      </c>
      <c r="E229" s="115"/>
      <c r="F229" s="211">
        <f t="shared" si="63"/>
        <v>5358.13</v>
      </c>
      <c r="G229" s="235">
        <f>6664</f>
        <v>6664</v>
      </c>
      <c r="H229" s="253"/>
      <c r="I229" s="231">
        <f t="shared" si="64"/>
        <v>12022.130000000001</v>
      </c>
      <c r="J229" s="235"/>
      <c r="K229" s="292"/>
      <c r="L229" s="231">
        <f t="shared" si="65"/>
        <v>12022.130000000001</v>
      </c>
      <c r="M229" s="24"/>
      <c r="N229" s="9"/>
      <c r="O229" s="25">
        <f>L229+M229+N229</f>
        <v>12022.130000000001</v>
      </c>
      <c r="P229" s="77"/>
      <c r="Q229" s="78">
        <f t="shared" si="55"/>
        <v>12022.130000000001</v>
      </c>
    </row>
    <row r="230" spans="1:17" ht="12.75">
      <c r="A230" s="29" t="s">
        <v>85</v>
      </c>
      <c r="B230" s="95"/>
      <c r="C230" s="105">
        <f aca="true" t="shared" si="66" ref="C230:Q230">C231+C243</f>
        <v>675790.6</v>
      </c>
      <c r="D230" s="106">
        <f t="shared" si="66"/>
        <v>147005.25</v>
      </c>
      <c r="E230" s="106">
        <f t="shared" si="66"/>
        <v>0</v>
      </c>
      <c r="F230" s="205">
        <f t="shared" si="66"/>
        <v>822795.85</v>
      </c>
      <c r="G230" s="232">
        <f t="shared" si="66"/>
        <v>5424.8</v>
      </c>
      <c r="H230" s="248">
        <f t="shared" si="66"/>
        <v>0</v>
      </c>
      <c r="I230" s="222">
        <f t="shared" si="66"/>
        <v>828220.65</v>
      </c>
      <c r="J230" s="232">
        <f>J231+J243</f>
        <v>548</v>
      </c>
      <c r="K230" s="285">
        <f>K231+K243</f>
        <v>0</v>
      </c>
      <c r="L230" s="222">
        <f>L231+L243</f>
        <v>828768.65</v>
      </c>
      <c r="M230" s="105">
        <f t="shared" si="66"/>
        <v>0</v>
      </c>
      <c r="N230" s="105">
        <f t="shared" si="66"/>
        <v>0</v>
      </c>
      <c r="O230" s="105">
        <f t="shared" si="66"/>
        <v>796001.35</v>
      </c>
      <c r="P230" s="105">
        <f t="shared" si="66"/>
        <v>0</v>
      </c>
      <c r="Q230" s="159">
        <f t="shared" si="66"/>
        <v>796001.35</v>
      </c>
    </row>
    <row r="231" spans="1:17" ht="12.75">
      <c r="A231" s="38" t="s">
        <v>49</v>
      </c>
      <c r="B231" s="95"/>
      <c r="C231" s="113">
        <f aca="true" t="shared" si="67" ref="C231:Q231">SUM(C233:C242)</f>
        <v>675790.6</v>
      </c>
      <c r="D231" s="114">
        <f t="shared" si="67"/>
        <v>121242.75</v>
      </c>
      <c r="E231" s="114">
        <f t="shared" si="67"/>
        <v>0</v>
      </c>
      <c r="F231" s="209">
        <f t="shared" si="67"/>
        <v>797033.35</v>
      </c>
      <c r="G231" s="233">
        <f t="shared" si="67"/>
        <v>4024.8</v>
      </c>
      <c r="H231" s="251">
        <f t="shared" si="67"/>
        <v>0</v>
      </c>
      <c r="I231" s="229">
        <f t="shared" si="67"/>
        <v>801058.15</v>
      </c>
      <c r="J231" s="233">
        <f>SUM(J233:J242)</f>
        <v>548</v>
      </c>
      <c r="K231" s="290">
        <f>SUM(K233:K242)</f>
        <v>0</v>
      </c>
      <c r="L231" s="229">
        <f>SUM(L233:L242)</f>
        <v>801606.15</v>
      </c>
      <c r="M231" s="113">
        <f t="shared" si="67"/>
        <v>0</v>
      </c>
      <c r="N231" s="113">
        <f t="shared" si="67"/>
        <v>0</v>
      </c>
      <c r="O231" s="113">
        <f t="shared" si="67"/>
        <v>796001.35</v>
      </c>
      <c r="P231" s="113">
        <f t="shared" si="67"/>
        <v>0</v>
      </c>
      <c r="Q231" s="164">
        <f t="shared" si="67"/>
        <v>796001.35</v>
      </c>
    </row>
    <row r="232" spans="1:17" ht="12.75">
      <c r="A232" s="34" t="s">
        <v>26</v>
      </c>
      <c r="B232" s="91"/>
      <c r="C232" s="108"/>
      <c r="D232" s="107"/>
      <c r="E232" s="107"/>
      <c r="F232" s="205"/>
      <c r="G232" s="236"/>
      <c r="H232" s="224"/>
      <c r="I232" s="222"/>
      <c r="J232" s="236"/>
      <c r="K232" s="286"/>
      <c r="L232" s="222"/>
      <c r="M232" s="20"/>
      <c r="N232" s="7"/>
      <c r="O232" s="19"/>
      <c r="P232" s="74"/>
      <c r="Q232" s="72"/>
    </row>
    <row r="233" spans="1:17" ht="12.75">
      <c r="A233" s="31" t="s">
        <v>72</v>
      </c>
      <c r="B233" s="91"/>
      <c r="C233" s="108">
        <v>336314.6</v>
      </c>
      <c r="D233" s="107">
        <f>27000+11394.25+27.2</f>
        <v>38421.45</v>
      </c>
      <c r="E233" s="107"/>
      <c r="F233" s="206">
        <f aca="true" t="shared" si="68" ref="F233:F242">C233+D233+E233</f>
        <v>374736.05</v>
      </c>
      <c r="G233" s="236"/>
      <c r="H233" s="224"/>
      <c r="I233" s="223">
        <f aca="true" t="shared" si="69" ref="I233:I242">F233+G233+H233</f>
        <v>374736.05</v>
      </c>
      <c r="J233" s="236">
        <f>200+368</f>
        <v>568</v>
      </c>
      <c r="K233" s="286"/>
      <c r="L233" s="223">
        <f aca="true" t="shared" si="70" ref="L233:L242">I233+J233+K233</f>
        <v>375304.05</v>
      </c>
      <c r="M233" s="20"/>
      <c r="N233" s="7"/>
      <c r="O233" s="21">
        <f aca="true" t="shared" si="71" ref="O233:O242">L233+M233+N233</f>
        <v>375304.05</v>
      </c>
      <c r="P233" s="74"/>
      <c r="Q233" s="72">
        <f>O233+P233</f>
        <v>375304.05</v>
      </c>
    </row>
    <row r="234" spans="1:17" ht="12.75" hidden="1">
      <c r="A234" s="92" t="s">
        <v>191</v>
      </c>
      <c r="B234" s="91"/>
      <c r="C234" s="108"/>
      <c r="D234" s="107"/>
      <c r="E234" s="107"/>
      <c r="F234" s="206">
        <f t="shared" si="68"/>
        <v>0</v>
      </c>
      <c r="G234" s="236"/>
      <c r="H234" s="224"/>
      <c r="I234" s="223">
        <f t="shared" si="69"/>
        <v>0</v>
      </c>
      <c r="J234" s="236"/>
      <c r="K234" s="286"/>
      <c r="L234" s="223"/>
      <c r="M234" s="20"/>
      <c r="N234" s="7"/>
      <c r="O234" s="21"/>
      <c r="P234" s="74"/>
      <c r="Q234" s="72"/>
    </row>
    <row r="235" spans="1:17" ht="12.75">
      <c r="A235" s="36" t="s">
        <v>63</v>
      </c>
      <c r="B235" s="91"/>
      <c r="C235" s="108">
        <v>231476</v>
      </c>
      <c r="D235" s="107">
        <f>60418.83</f>
        <v>60418.83</v>
      </c>
      <c r="E235" s="107"/>
      <c r="F235" s="206">
        <f t="shared" si="68"/>
        <v>291894.83</v>
      </c>
      <c r="G235" s="236"/>
      <c r="H235" s="224">
        <f>1375.23</f>
        <v>1375.23</v>
      </c>
      <c r="I235" s="223">
        <f t="shared" si="69"/>
        <v>293270.06</v>
      </c>
      <c r="J235" s="236">
        <f>-107.41</f>
        <v>-107.41</v>
      </c>
      <c r="K235" s="286"/>
      <c r="L235" s="223">
        <f t="shared" si="70"/>
        <v>293162.65</v>
      </c>
      <c r="M235" s="20"/>
      <c r="N235" s="7"/>
      <c r="O235" s="21">
        <f t="shared" si="71"/>
        <v>293162.65</v>
      </c>
      <c r="P235" s="74"/>
      <c r="Q235" s="72">
        <f>O235+P235</f>
        <v>293162.65</v>
      </c>
    </row>
    <row r="236" spans="1:17" ht="12.75" hidden="1">
      <c r="A236" s="36" t="s">
        <v>158</v>
      </c>
      <c r="B236" s="91"/>
      <c r="C236" s="108">
        <v>0</v>
      </c>
      <c r="D236" s="118"/>
      <c r="E236" s="107"/>
      <c r="F236" s="206">
        <f t="shared" si="68"/>
        <v>0</v>
      </c>
      <c r="G236" s="236"/>
      <c r="H236" s="224"/>
      <c r="I236" s="223">
        <f t="shared" si="69"/>
        <v>0</v>
      </c>
      <c r="J236" s="236"/>
      <c r="K236" s="286"/>
      <c r="L236" s="223"/>
      <c r="M236" s="20"/>
      <c r="N236" s="7"/>
      <c r="O236" s="21"/>
      <c r="P236" s="74"/>
      <c r="Q236" s="72"/>
    </row>
    <row r="237" spans="1:17" ht="12.75">
      <c r="A237" s="36" t="s">
        <v>51</v>
      </c>
      <c r="B237" s="91"/>
      <c r="C237" s="187">
        <v>108000</v>
      </c>
      <c r="D237" s="107">
        <f>21500+599.97</f>
        <v>22099.97</v>
      </c>
      <c r="E237" s="107"/>
      <c r="F237" s="206">
        <f t="shared" si="68"/>
        <v>130099.97</v>
      </c>
      <c r="G237" s="236">
        <f>-1400</f>
        <v>-1400</v>
      </c>
      <c r="H237" s="224">
        <f>-1375.23</f>
        <v>-1375.23</v>
      </c>
      <c r="I237" s="223">
        <f t="shared" si="69"/>
        <v>127324.74</v>
      </c>
      <c r="J237" s="236">
        <f>-200+107.41</f>
        <v>-92.59</v>
      </c>
      <c r="K237" s="286"/>
      <c r="L237" s="223">
        <f t="shared" si="70"/>
        <v>127232.15000000001</v>
      </c>
      <c r="M237" s="20"/>
      <c r="N237" s="7"/>
      <c r="O237" s="21">
        <f t="shared" si="71"/>
        <v>127232.15000000001</v>
      </c>
      <c r="P237" s="74"/>
      <c r="Q237" s="72">
        <f>O237+P237</f>
        <v>127232.15000000001</v>
      </c>
    </row>
    <row r="238" spans="1:17" ht="12.75">
      <c r="A238" s="36" t="s">
        <v>76</v>
      </c>
      <c r="B238" s="91"/>
      <c r="C238" s="187"/>
      <c r="D238" s="107">
        <f>302.5</f>
        <v>302.5</v>
      </c>
      <c r="E238" s="107"/>
      <c r="F238" s="206">
        <f t="shared" si="68"/>
        <v>302.5</v>
      </c>
      <c r="G238" s="236"/>
      <c r="H238" s="224"/>
      <c r="I238" s="223">
        <f t="shared" si="69"/>
        <v>302.5</v>
      </c>
      <c r="J238" s="236"/>
      <c r="K238" s="286"/>
      <c r="L238" s="223">
        <f t="shared" si="70"/>
        <v>302.5</v>
      </c>
      <c r="M238" s="20"/>
      <c r="N238" s="7"/>
      <c r="O238" s="21">
        <f t="shared" si="71"/>
        <v>302.5</v>
      </c>
      <c r="P238" s="74"/>
      <c r="Q238" s="72">
        <f>O238+P238</f>
        <v>302.5</v>
      </c>
    </row>
    <row r="239" spans="1:17" ht="12.75">
      <c r="A239" s="53" t="s">
        <v>353</v>
      </c>
      <c r="B239" s="91">
        <v>35028</v>
      </c>
      <c r="C239" s="187"/>
      <c r="D239" s="107"/>
      <c r="E239" s="107"/>
      <c r="F239" s="206">
        <f t="shared" si="68"/>
        <v>0</v>
      </c>
      <c r="G239" s="236"/>
      <c r="H239" s="224"/>
      <c r="I239" s="223">
        <f t="shared" si="69"/>
        <v>0</v>
      </c>
      <c r="J239" s="236">
        <f>180</f>
        <v>180</v>
      </c>
      <c r="K239" s="286"/>
      <c r="L239" s="223">
        <f t="shared" si="70"/>
        <v>180</v>
      </c>
      <c r="M239" s="20"/>
      <c r="N239" s="7"/>
      <c r="O239" s="21"/>
      <c r="P239" s="74"/>
      <c r="Q239" s="72"/>
    </row>
    <row r="240" spans="1:17" ht="12.75">
      <c r="A240" s="36" t="s">
        <v>254</v>
      </c>
      <c r="B240" s="91">
        <v>35018</v>
      </c>
      <c r="C240" s="187"/>
      <c r="D240" s="107"/>
      <c r="E240" s="107"/>
      <c r="F240" s="206">
        <f t="shared" si="68"/>
        <v>0</v>
      </c>
      <c r="G240" s="236">
        <f>1900+3524.8</f>
        <v>5424.8</v>
      </c>
      <c r="H240" s="224"/>
      <c r="I240" s="223">
        <f t="shared" si="69"/>
        <v>5424.8</v>
      </c>
      <c r="J240" s="236"/>
      <c r="K240" s="286"/>
      <c r="L240" s="223">
        <f t="shared" si="70"/>
        <v>5424.8</v>
      </c>
      <c r="M240" s="20"/>
      <c r="N240" s="7"/>
      <c r="O240" s="21"/>
      <c r="P240" s="74"/>
      <c r="Q240" s="72"/>
    </row>
    <row r="241" spans="1:17" ht="12.75" hidden="1">
      <c r="A241" s="36" t="s">
        <v>282</v>
      </c>
      <c r="B241" s="91"/>
      <c r="C241" s="187"/>
      <c r="D241" s="107"/>
      <c r="E241" s="107"/>
      <c r="F241" s="206">
        <f t="shared" si="68"/>
        <v>0</v>
      </c>
      <c r="G241" s="236"/>
      <c r="H241" s="224"/>
      <c r="I241" s="223">
        <f t="shared" si="69"/>
        <v>0</v>
      </c>
      <c r="J241" s="236"/>
      <c r="K241" s="286"/>
      <c r="L241" s="223">
        <f t="shared" si="70"/>
        <v>0</v>
      </c>
      <c r="M241" s="20"/>
      <c r="N241" s="7"/>
      <c r="O241" s="21">
        <f t="shared" si="71"/>
        <v>0</v>
      </c>
      <c r="P241" s="74"/>
      <c r="Q241" s="72">
        <f>O241+P241</f>
        <v>0</v>
      </c>
    </row>
    <row r="242" spans="1:17" ht="12.75" hidden="1">
      <c r="A242" s="36" t="s">
        <v>86</v>
      </c>
      <c r="B242" s="91"/>
      <c r="C242" s="108"/>
      <c r="D242" s="107"/>
      <c r="E242" s="107"/>
      <c r="F242" s="206">
        <f t="shared" si="68"/>
        <v>0</v>
      </c>
      <c r="G242" s="236"/>
      <c r="H242" s="224"/>
      <c r="I242" s="223">
        <f t="shared" si="69"/>
        <v>0</v>
      </c>
      <c r="J242" s="236"/>
      <c r="K242" s="286"/>
      <c r="L242" s="223">
        <f t="shared" si="70"/>
        <v>0</v>
      </c>
      <c r="M242" s="20"/>
      <c r="N242" s="7"/>
      <c r="O242" s="21">
        <f t="shared" si="71"/>
        <v>0</v>
      </c>
      <c r="P242" s="74"/>
      <c r="Q242" s="72">
        <f>O242+P242</f>
        <v>0</v>
      </c>
    </row>
    <row r="243" spans="1:17" ht="12.75">
      <c r="A243" s="38" t="s">
        <v>53</v>
      </c>
      <c r="B243" s="95"/>
      <c r="C243" s="113">
        <f>SUM(C245:C249)</f>
        <v>0</v>
      </c>
      <c r="D243" s="114">
        <f aca="true" t="shared" si="72" ref="D243:Q243">SUM(D245:D249)</f>
        <v>25762.5</v>
      </c>
      <c r="E243" s="114">
        <f t="shared" si="72"/>
        <v>0</v>
      </c>
      <c r="F243" s="209">
        <f t="shared" si="72"/>
        <v>25762.5</v>
      </c>
      <c r="G243" s="233">
        <f t="shared" si="72"/>
        <v>1400</v>
      </c>
      <c r="H243" s="251">
        <f t="shared" si="72"/>
        <v>0</v>
      </c>
      <c r="I243" s="229">
        <f t="shared" si="72"/>
        <v>27162.5</v>
      </c>
      <c r="J243" s="233">
        <f t="shared" si="72"/>
        <v>0</v>
      </c>
      <c r="K243" s="290">
        <f t="shared" si="72"/>
        <v>0</v>
      </c>
      <c r="L243" s="229">
        <f t="shared" si="72"/>
        <v>27162.5</v>
      </c>
      <c r="M243" s="113">
        <f t="shared" si="72"/>
        <v>0</v>
      </c>
      <c r="N243" s="113">
        <f t="shared" si="72"/>
        <v>0</v>
      </c>
      <c r="O243" s="113">
        <f t="shared" si="72"/>
        <v>0</v>
      </c>
      <c r="P243" s="113">
        <f t="shared" si="72"/>
        <v>0</v>
      </c>
      <c r="Q243" s="164">
        <f t="shared" si="72"/>
        <v>0</v>
      </c>
    </row>
    <row r="244" spans="1:17" ht="12.75">
      <c r="A244" s="34" t="s">
        <v>26</v>
      </c>
      <c r="B244" s="91"/>
      <c r="C244" s="108"/>
      <c r="D244" s="107"/>
      <c r="E244" s="107"/>
      <c r="F244" s="206"/>
      <c r="G244" s="236"/>
      <c r="H244" s="224"/>
      <c r="I244" s="223"/>
      <c r="J244" s="236"/>
      <c r="K244" s="286"/>
      <c r="L244" s="223"/>
      <c r="M244" s="20"/>
      <c r="N244" s="7"/>
      <c r="O244" s="21"/>
      <c r="P244" s="74"/>
      <c r="Q244" s="72"/>
    </row>
    <row r="245" spans="1:17" ht="12.75" hidden="1">
      <c r="A245" s="36" t="s">
        <v>54</v>
      </c>
      <c r="B245" s="91"/>
      <c r="C245" s="108">
        <v>0</v>
      </c>
      <c r="D245" s="107"/>
      <c r="E245" s="107"/>
      <c r="F245" s="206">
        <f>C245+D245+E245</f>
        <v>0</v>
      </c>
      <c r="G245" s="236"/>
      <c r="H245" s="224"/>
      <c r="I245" s="223"/>
      <c r="J245" s="236"/>
      <c r="K245" s="286"/>
      <c r="L245" s="223"/>
      <c r="M245" s="20"/>
      <c r="N245" s="7"/>
      <c r="O245" s="21"/>
      <c r="P245" s="74"/>
      <c r="Q245" s="72"/>
    </row>
    <row r="246" spans="1:17" ht="12.75">
      <c r="A246" s="43" t="s">
        <v>221</v>
      </c>
      <c r="B246" s="94"/>
      <c r="C246" s="186"/>
      <c r="D246" s="184">
        <f>25762.5</f>
        <v>25762.5</v>
      </c>
      <c r="E246" s="115"/>
      <c r="F246" s="211">
        <f>C246+D246+E246</f>
        <v>25762.5</v>
      </c>
      <c r="G246" s="235">
        <f>1400</f>
        <v>1400</v>
      </c>
      <c r="H246" s="253"/>
      <c r="I246" s="231">
        <f>F246+G246+H246</f>
        <v>27162.5</v>
      </c>
      <c r="J246" s="235"/>
      <c r="K246" s="289"/>
      <c r="L246" s="231">
        <f>I246+J246+K246</f>
        <v>27162.5</v>
      </c>
      <c r="M246" s="20"/>
      <c r="N246" s="7"/>
      <c r="O246" s="21"/>
      <c r="P246" s="74"/>
      <c r="Q246" s="72"/>
    </row>
    <row r="247" spans="1:17" ht="12.75" hidden="1">
      <c r="A247" s="36" t="s">
        <v>67</v>
      </c>
      <c r="B247" s="91"/>
      <c r="C247" s="108"/>
      <c r="D247" s="107"/>
      <c r="E247" s="107"/>
      <c r="F247" s="206">
        <f>C247+D247+E247</f>
        <v>0</v>
      </c>
      <c r="G247" s="236"/>
      <c r="H247" s="224"/>
      <c r="I247" s="223">
        <f>F247+G247+H247</f>
        <v>0</v>
      </c>
      <c r="J247" s="236"/>
      <c r="K247" s="286"/>
      <c r="L247" s="223">
        <f>I247+J247+K247</f>
        <v>0</v>
      </c>
      <c r="M247" s="20"/>
      <c r="N247" s="7"/>
      <c r="O247" s="21">
        <f>L247+M247+N247</f>
        <v>0</v>
      </c>
      <c r="P247" s="74"/>
      <c r="Q247" s="72">
        <f>O247+P247</f>
        <v>0</v>
      </c>
    </row>
    <row r="248" spans="1:17" ht="12.75" hidden="1">
      <c r="A248" s="36" t="s">
        <v>195</v>
      </c>
      <c r="B248" s="91"/>
      <c r="C248" s="108"/>
      <c r="D248" s="107"/>
      <c r="E248" s="107"/>
      <c r="F248" s="206">
        <f>C248+D248+E248</f>
        <v>0</v>
      </c>
      <c r="G248" s="235"/>
      <c r="H248" s="253"/>
      <c r="I248" s="231">
        <f>F248+G248+H248</f>
        <v>0</v>
      </c>
      <c r="J248" s="235"/>
      <c r="K248" s="289"/>
      <c r="L248" s="231">
        <f>I248+J248+K248</f>
        <v>0</v>
      </c>
      <c r="M248" s="24"/>
      <c r="N248" s="9"/>
      <c r="O248" s="25">
        <f>L248+M248+N248</f>
        <v>0</v>
      </c>
      <c r="P248" s="77"/>
      <c r="Q248" s="78">
        <f>O248+P248</f>
        <v>0</v>
      </c>
    </row>
    <row r="249" spans="1:17" ht="12.75" hidden="1">
      <c r="A249" s="35" t="s">
        <v>76</v>
      </c>
      <c r="B249" s="94"/>
      <c r="C249" s="186"/>
      <c r="D249" s="115"/>
      <c r="E249" s="115"/>
      <c r="F249" s="211">
        <f>C249+D249+E249</f>
        <v>0</v>
      </c>
      <c r="G249" s="235"/>
      <c r="H249" s="253"/>
      <c r="I249" s="231">
        <f>F249+G249+H249</f>
        <v>0</v>
      </c>
      <c r="J249" s="235"/>
      <c r="K249" s="289"/>
      <c r="L249" s="231">
        <f>I249+J249+K249</f>
        <v>0</v>
      </c>
      <c r="M249" s="24"/>
      <c r="N249" s="9"/>
      <c r="O249" s="25">
        <f>L249+M249+N249</f>
        <v>0</v>
      </c>
      <c r="P249" s="77"/>
      <c r="Q249" s="78">
        <f>O249+P249</f>
        <v>0</v>
      </c>
    </row>
    <row r="250" spans="1:17" ht="12.75">
      <c r="A250" s="44" t="s">
        <v>288</v>
      </c>
      <c r="B250" s="96"/>
      <c r="C250" s="109">
        <f aca="true" t="shared" si="73" ref="C250:Q250">C251+C266</f>
        <v>262309.5</v>
      </c>
      <c r="D250" s="110">
        <f t="shared" si="73"/>
        <v>25623.950000000004</v>
      </c>
      <c r="E250" s="110">
        <f t="shared" si="73"/>
        <v>0</v>
      </c>
      <c r="F250" s="207">
        <f t="shared" si="73"/>
        <v>287933.45</v>
      </c>
      <c r="G250" s="266">
        <f t="shared" si="73"/>
        <v>6176.759999999999</v>
      </c>
      <c r="H250" s="250">
        <f t="shared" si="73"/>
        <v>0</v>
      </c>
      <c r="I250" s="225">
        <f t="shared" si="73"/>
        <v>294110.21</v>
      </c>
      <c r="J250" s="266">
        <f>J251+J266</f>
        <v>11400.66</v>
      </c>
      <c r="K250" s="288">
        <f>K251+K266</f>
        <v>0</v>
      </c>
      <c r="L250" s="225">
        <f>L251+L266</f>
        <v>305510.87</v>
      </c>
      <c r="M250" s="109">
        <f t="shared" si="73"/>
        <v>0</v>
      </c>
      <c r="N250" s="109">
        <f t="shared" si="73"/>
        <v>0</v>
      </c>
      <c r="O250" s="109">
        <f t="shared" si="73"/>
        <v>304187.75</v>
      </c>
      <c r="P250" s="109">
        <f t="shared" si="73"/>
        <v>0</v>
      </c>
      <c r="Q250" s="162">
        <f t="shared" si="73"/>
        <v>304187.75</v>
      </c>
    </row>
    <row r="251" spans="1:17" ht="12.75">
      <c r="A251" s="38" t="s">
        <v>49</v>
      </c>
      <c r="B251" s="95"/>
      <c r="C251" s="113">
        <f aca="true" t="shared" si="74" ref="C251:Q251">SUM(C253:C265)</f>
        <v>259459.5</v>
      </c>
      <c r="D251" s="114">
        <f t="shared" si="74"/>
        <v>23881.950000000004</v>
      </c>
      <c r="E251" s="114">
        <f t="shared" si="74"/>
        <v>0</v>
      </c>
      <c r="F251" s="209">
        <f t="shared" si="74"/>
        <v>283341.45</v>
      </c>
      <c r="G251" s="233">
        <f t="shared" si="74"/>
        <v>4812.8099999999995</v>
      </c>
      <c r="H251" s="251">
        <f t="shared" si="74"/>
        <v>0</v>
      </c>
      <c r="I251" s="229">
        <f t="shared" si="74"/>
        <v>288154.26</v>
      </c>
      <c r="J251" s="233">
        <f>SUM(J253:J265)</f>
        <v>7750.66</v>
      </c>
      <c r="K251" s="290">
        <f>SUM(K253:K265)</f>
        <v>0</v>
      </c>
      <c r="L251" s="229">
        <f>SUM(L253:L265)</f>
        <v>295904.92</v>
      </c>
      <c r="M251" s="113">
        <f t="shared" si="74"/>
        <v>0</v>
      </c>
      <c r="N251" s="113">
        <f t="shared" si="74"/>
        <v>0</v>
      </c>
      <c r="O251" s="113">
        <f t="shared" si="74"/>
        <v>294581.8</v>
      </c>
      <c r="P251" s="113">
        <f t="shared" si="74"/>
        <v>0</v>
      </c>
      <c r="Q251" s="164">
        <f t="shared" si="74"/>
        <v>294581.8</v>
      </c>
    </row>
    <row r="252" spans="1:17" ht="12.75">
      <c r="A252" s="34" t="s">
        <v>26</v>
      </c>
      <c r="B252" s="91"/>
      <c r="C252" s="108"/>
      <c r="D252" s="107"/>
      <c r="E252" s="107"/>
      <c r="F252" s="206"/>
      <c r="G252" s="236"/>
      <c r="H252" s="224"/>
      <c r="I252" s="223"/>
      <c r="J252" s="236"/>
      <c r="K252" s="286"/>
      <c r="L252" s="223"/>
      <c r="M252" s="20"/>
      <c r="N252" s="7"/>
      <c r="O252" s="21"/>
      <c r="P252" s="74"/>
      <c r="Q252" s="72"/>
    </row>
    <row r="253" spans="1:17" ht="12.75">
      <c r="A253" s="36" t="s">
        <v>72</v>
      </c>
      <c r="B253" s="91"/>
      <c r="C253" s="108">
        <v>214799.6</v>
      </c>
      <c r="D253" s="107">
        <f>1000+1960+6961.7+5380.1+3630.6</f>
        <v>18932.4</v>
      </c>
      <c r="E253" s="107">
        <f>340</f>
        <v>340</v>
      </c>
      <c r="F253" s="206">
        <f aca="true" t="shared" si="75" ref="F253:F265">C253+D253+E253</f>
        <v>234072</v>
      </c>
      <c r="G253" s="236">
        <f>1695.3+150-180+470.2+211.45</f>
        <v>2346.95</v>
      </c>
      <c r="H253" s="224"/>
      <c r="I253" s="223">
        <f>F253+G253+H253</f>
        <v>236418.95</v>
      </c>
      <c r="J253" s="236">
        <f>5552+74</f>
        <v>5626</v>
      </c>
      <c r="K253" s="286"/>
      <c r="L253" s="223">
        <f>I253+J253+K253</f>
        <v>242044.95</v>
      </c>
      <c r="M253" s="20"/>
      <c r="N253" s="7"/>
      <c r="O253" s="21">
        <f>L253+M253+N253</f>
        <v>242044.95</v>
      </c>
      <c r="P253" s="74"/>
      <c r="Q253" s="72">
        <f aca="true" t="shared" si="76" ref="Q253:Q265">O253+P253</f>
        <v>242044.95</v>
      </c>
    </row>
    <row r="254" spans="1:17" ht="12.75">
      <c r="A254" s="36" t="s">
        <v>51</v>
      </c>
      <c r="B254" s="91"/>
      <c r="C254" s="108">
        <v>41051.6</v>
      </c>
      <c r="D254" s="107">
        <f>-6340.2+3444.55-1600-400+400+300+57+500-242-1960+2100+630</f>
        <v>-3110.6499999999996</v>
      </c>
      <c r="E254" s="107">
        <f>-340-20</f>
        <v>-360</v>
      </c>
      <c r="F254" s="206">
        <f t="shared" si="75"/>
        <v>37580.95</v>
      </c>
      <c r="G254" s="236">
        <f>-250-108.04</f>
        <v>-358.04</v>
      </c>
      <c r="H254" s="224"/>
      <c r="I254" s="223">
        <f aca="true" t="shared" si="77" ref="I254:I265">F254+G254+H254</f>
        <v>37222.909999999996</v>
      </c>
      <c r="J254" s="236">
        <f>1600-2000</f>
        <v>-400</v>
      </c>
      <c r="K254" s="286"/>
      <c r="L254" s="223">
        <f aca="true" t="shared" si="78" ref="L254:L265">I254+J254+K254</f>
        <v>36822.909999999996</v>
      </c>
      <c r="M254" s="20"/>
      <c r="N254" s="7"/>
      <c r="O254" s="21">
        <f aca="true" t="shared" si="79" ref="O254:O265">L254+M254+N254</f>
        <v>36822.909999999996</v>
      </c>
      <c r="P254" s="74"/>
      <c r="Q254" s="72">
        <f t="shared" si="76"/>
        <v>36822.909999999996</v>
      </c>
    </row>
    <row r="255" spans="1:17" ht="12.75">
      <c r="A255" s="36" t="s">
        <v>124</v>
      </c>
      <c r="B255" s="91"/>
      <c r="C255" s="108">
        <v>3608.3</v>
      </c>
      <c r="D255" s="107">
        <f>120</f>
        <v>120</v>
      </c>
      <c r="E255" s="107"/>
      <c r="F255" s="206">
        <f t="shared" si="75"/>
        <v>3728.3</v>
      </c>
      <c r="G255" s="236"/>
      <c r="H255" s="224"/>
      <c r="I255" s="223">
        <f t="shared" si="77"/>
        <v>3728.3</v>
      </c>
      <c r="J255" s="236"/>
      <c r="K255" s="286"/>
      <c r="L255" s="223">
        <f t="shared" si="78"/>
        <v>3728.3</v>
      </c>
      <c r="M255" s="20"/>
      <c r="N255" s="7"/>
      <c r="O255" s="21">
        <f t="shared" si="79"/>
        <v>3728.3</v>
      </c>
      <c r="P255" s="74"/>
      <c r="Q255" s="72">
        <f t="shared" si="76"/>
        <v>3728.3</v>
      </c>
    </row>
    <row r="256" spans="1:17" ht="12.75">
      <c r="A256" s="36" t="s">
        <v>64</v>
      </c>
      <c r="B256" s="91"/>
      <c r="C256" s="108"/>
      <c r="D256" s="107">
        <f>6340.2+1600+400-400</f>
        <v>7940.200000000001</v>
      </c>
      <c r="E256" s="107">
        <f>20</f>
        <v>20</v>
      </c>
      <c r="F256" s="206">
        <f t="shared" si="75"/>
        <v>7960.200000000001</v>
      </c>
      <c r="G256" s="236"/>
      <c r="H256" s="224"/>
      <c r="I256" s="223">
        <f t="shared" si="77"/>
        <v>7960.200000000001</v>
      </c>
      <c r="J256" s="236"/>
      <c r="K256" s="286"/>
      <c r="L256" s="223">
        <f t="shared" si="78"/>
        <v>7960.200000000001</v>
      </c>
      <c r="M256" s="20"/>
      <c r="N256" s="7"/>
      <c r="O256" s="21">
        <f t="shared" si="79"/>
        <v>7960.200000000001</v>
      </c>
      <c r="P256" s="74"/>
      <c r="Q256" s="72">
        <f t="shared" si="76"/>
        <v>7960.200000000001</v>
      </c>
    </row>
    <row r="257" spans="1:17" ht="12.75">
      <c r="A257" s="36" t="s">
        <v>87</v>
      </c>
      <c r="B257" s="91">
        <v>34070</v>
      </c>
      <c r="C257" s="108"/>
      <c r="D257" s="107"/>
      <c r="E257" s="107"/>
      <c r="F257" s="206">
        <f t="shared" si="75"/>
        <v>0</v>
      </c>
      <c r="G257" s="236">
        <f>810</f>
        <v>810</v>
      </c>
      <c r="H257" s="224"/>
      <c r="I257" s="223">
        <f t="shared" si="77"/>
        <v>810</v>
      </c>
      <c r="J257" s="236">
        <f>345+140+60+130+215+100</f>
        <v>990</v>
      </c>
      <c r="K257" s="286"/>
      <c r="L257" s="223">
        <f t="shared" si="78"/>
        <v>1800</v>
      </c>
      <c r="M257" s="20"/>
      <c r="N257" s="7"/>
      <c r="O257" s="21">
        <f t="shared" si="79"/>
        <v>1800</v>
      </c>
      <c r="P257" s="74"/>
      <c r="Q257" s="72">
        <f t="shared" si="76"/>
        <v>1800</v>
      </c>
    </row>
    <row r="258" spans="1:17" ht="12.75">
      <c r="A258" s="36" t="s">
        <v>349</v>
      </c>
      <c r="B258" s="91">
        <v>34017</v>
      </c>
      <c r="C258" s="108"/>
      <c r="D258" s="107"/>
      <c r="E258" s="107"/>
      <c r="F258" s="206"/>
      <c r="G258" s="236"/>
      <c r="H258" s="224"/>
      <c r="I258" s="223">
        <f t="shared" si="77"/>
        <v>0</v>
      </c>
      <c r="J258" s="236">
        <f>27.5+135</f>
        <v>162.5</v>
      </c>
      <c r="K258" s="286"/>
      <c r="L258" s="223">
        <f t="shared" si="78"/>
        <v>162.5</v>
      </c>
      <c r="M258" s="20"/>
      <c r="N258" s="7"/>
      <c r="O258" s="21"/>
      <c r="P258" s="74"/>
      <c r="Q258" s="72"/>
    </row>
    <row r="259" spans="1:17" ht="12.75">
      <c r="A259" s="36" t="s">
        <v>350</v>
      </c>
      <c r="B259" s="91">
        <v>34019</v>
      </c>
      <c r="C259" s="108"/>
      <c r="D259" s="107"/>
      <c r="E259" s="107"/>
      <c r="F259" s="206"/>
      <c r="G259" s="236"/>
      <c r="H259" s="224"/>
      <c r="I259" s="223">
        <f t="shared" si="77"/>
        <v>0</v>
      </c>
      <c r="J259" s="236">
        <f>34.16+50</f>
        <v>84.16</v>
      </c>
      <c r="K259" s="286"/>
      <c r="L259" s="223">
        <f t="shared" si="78"/>
        <v>84.16</v>
      </c>
      <c r="M259" s="20"/>
      <c r="N259" s="7"/>
      <c r="O259" s="21"/>
      <c r="P259" s="74"/>
      <c r="Q259" s="72"/>
    </row>
    <row r="260" spans="1:17" ht="12.75">
      <c r="A260" s="36" t="s">
        <v>351</v>
      </c>
      <c r="B260" s="91">
        <v>34031</v>
      </c>
      <c r="C260" s="108"/>
      <c r="D260" s="107"/>
      <c r="E260" s="107"/>
      <c r="F260" s="206"/>
      <c r="G260" s="236"/>
      <c r="H260" s="224"/>
      <c r="I260" s="223">
        <f t="shared" si="77"/>
        <v>0</v>
      </c>
      <c r="J260" s="236">
        <f>83+69+92+117+90</f>
        <v>451</v>
      </c>
      <c r="K260" s="286"/>
      <c r="L260" s="223">
        <f t="shared" si="78"/>
        <v>451</v>
      </c>
      <c r="M260" s="20"/>
      <c r="N260" s="7"/>
      <c r="O260" s="21"/>
      <c r="P260" s="74"/>
      <c r="Q260" s="72"/>
    </row>
    <row r="261" spans="1:17" ht="12.75">
      <c r="A261" s="36" t="s">
        <v>88</v>
      </c>
      <c r="B261" s="91">
        <v>34053</v>
      </c>
      <c r="C261" s="108"/>
      <c r="D261" s="107"/>
      <c r="E261" s="107"/>
      <c r="F261" s="206">
        <f t="shared" si="75"/>
        <v>0</v>
      </c>
      <c r="G261" s="236"/>
      <c r="H261" s="224"/>
      <c r="I261" s="223">
        <f t="shared" si="77"/>
        <v>0</v>
      </c>
      <c r="J261" s="236">
        <f>32+65+28+69+63+126+97</f>
        <v>480</v>
      </c>
      <c r="K261" s="286"/>
      <c r="L261" s="223">
        <f t="shared" si="78"/>
        <v>480</v>
      </c>
      <c r="M261" s="20"/>
      <c r="N261" s="7"/>
      <c r="O261" s="21">
        <f t="shared" si="79"/>
        <v>480</v>
      </c>
      <c r="P261" s="74"/>
      <c r="Q261" s="72">
        <f t="shared" si="76"/>
        <v>480</v>
      </c>
    </row>
    <row r="262" spans="1:17" ht="12.75">
      <c r="A262" s="36" t="s">
        <v>356</v>
      </c>
      <c r="B262" s="91">
        <v>34021</v>
      </c>
      <c r="C262" s="108"/>
      <c r="D262" s="107"/>
      <c r="E262" s="107"/>
      <c r="F262" s="206"/>
      <c r="G262" s="236"/>
      <c r="H262" s="224"/>
      <c r="I262" s="223">
        <f t="shared" si="77"/>
        <v>0</v>
      </c>
      <c r="J262" s="236">
        <f>200</f>
        <v>200</v>
      </c>
      <c r="K262" s="286"/>
      <c r="L262" s="223">
        <f t="shared" si="78"/>
        <v>200</v>
      </c>
      <c r="M262" s="20"/>
      <c r="N262" s="7"/>
      <c r="O262" s="21"/>
      <c r="P262" s="74"/>
      <c r="Q262" s="72"/>
    </row>
    <row r="263" spans="1:17" ht="12.75" hidden="1">
      <c r="A263" s="36" t="s">
        <v>314</v>
      </c>
      <c r="B263" s="91"/>
      <c r="C263" s="108"/>
      <c r="D263" s="107"/>
      <c r="E263" s="107"/>
      <c r="F263" s="206">
        <f t="shared" si="75"/>
        <v>0</v>
      </c>
      <c r="G263" s="236"/>
      <c r="H263" s="224"/>
      <c r="I263" s="223">
        <f t="shared" si="77"/>
        <v>0</v>
      </c>
      <c r="J263" s="236"/>
      <c r="K263" s="286"/>
      <c r="L263" s="223">
        <f t="shared" si="78"/>
        <v>0</v>
      </c>
      <c r="M263" s="20"/>
      <c r="N263" s="7"/>
      <c r="O263" s="21"/>
      <c r="P263" s="74"/>
      <c r="Q263" s="72"/>
    </row>
    <row r="264" spans="1:17" ht="12.75">
      <c r="A264" s="36" t="s">
        <v>252</v>
      </c>
      <c r="B264" s="91"/>
      <c r="C264" s="108"/>
      <c r="D264" s="107"/>
      <c r="E264" s="107"/>
      <c r="F264" s="206">
        <f t="shared" si="75"/>
        <v>0</v>
      </c>
      <c r="G264" s="236">
        <f>425.46</f>
        <v>425.46</v>
      </c>
      <c r="H264" s="224"/>
      <c r="I264" s="223">
        <f t="shared" si="77"/>
        <v>425.46</v>
      </c>
      <c r="J264" s="236"/>
      <c r="K264" s="286"/>
      <c r="L264" s="223">
        <f t="shared" si="78"/>
        <v>425.46</v>
      </c>
      <c r="M264" s="20"/>
      <c r="N264" s="7"/>
      <c r="O264" s="21"/>
      <c r="P264" s="74"/>
      <c r="Q264" s="72"/>
    </row>
    <row r="265" spans="1:17" ht="12.75">
      <c r="A265" s="36" t="s">
        <v>76</v>
      </c>
      <c r="B265" s="91"/>
      <c r="C265" s="108"/>
      <c r="D265" s="107"/>
      <c r="E265" s="107"/>
      <c r="F265" s="206">
        <f t="shared" si="75"/>
        <v>0</v>
      </c>
      <c r="G265" s="236">
        <f>323.8+402+862.64</f>
        <v>1588.44</v>
      </c>
      <c r="H265" s="224"/>
      <c r="I265" s="223">
        <f t="shared" si="77"/>
        <v>1588.44</v>
      </c>
      <c r="J265" s="236">
        <f>157</f>
        <v>157</v>
      </c>
      <c r="K265" s="286"/>
      <c r="L265" s="223">
        <f t="shared" si="78"/>
        <v>1745.44</v>
      </c>
      <c r="M265" s="20"/>
      <c r="N265" s="7"/>
      <c r="O265" s="21">
        <f t="shared" si="79"/>
        <v>1745.44</v>
      </c>
      <c r="P265" s="74"/>
      <c r="Q265" s="72">
        <f t="shared" si="76"/>
        <v>1745.44</v>
      </c>
    </row>
    <row r="266" spans="1:17" ht="12.75">
      <c r="A266" s="38" t="s">
        <v>53</v>
      </c>
      <c r="B266" s="95"/>
      <c r="C266" s="113">
        <f>SUM(C268:C271)</f>
        <v>2850</v>
      </c>
      <c r="D266" s="114">
        <f aca="true" t="shared" si="80" ref="D266:Q266">SUM(D268:D271)</f>
        <v>1742</v>
      </c>
      <c r="E266" s="114">
        <f t="shared" si="80"/>
        <v>0</v>
      </c>
      <c r="F266" s="209">
        <f t="shared" si="80"/>
        <v>4592</v>
      </c>
      <c r="G266" s="233">
        <f t="shared" si="80"/>
        <v>1363.95</v>
      </c>
      <c r="H266" s="251">
        <f t="shared" si="80"/>
        <v>0</v>
      </c>
      <c r="I266" s="229">
        <f t="shared" si="80"/>
        <v>5955.95</v>
      </c>
      <c r="J266" s="233">
        <f t="shared" si="80"/>
        <v>3650</v>
      </c>
      <c r="K266" s="290">
        <f t="shared" si="80"/>
        <v>0</v>
      </c>
      <c r="L266" s="229">
        <f t="shared" si="80"/>
        <v>9605.95</v>
      </c>
      <c r="M266" s="113">
        <f t="shared" si="80"/>
        <v>0</v>
      </c>
      <c r="N266" s="113">
        <f t="shared" si="80"/>
        <v>0</v>
      </c>
      <c r="O266" s="113">
        <f t="shared" si="80"/>
        <v>9605.95</v>
      </c>
      <c r="P266" s="113">
        <f t="shared" si="80"/>
        <v>0</v>
      </c>
      <c r="Q266" s="164">
        <f t="shared" si="80"/>
        <v>9605.95</v>
      </c>
    </row>
    <row r="267" spans="1:17" ht="12.75">
      <c r="A267" s="34" t="s">
        <v>26</v>
      </c>
      <c r="B267" s="91"/>
      <c r="C267" s="108"/>
      <c r="D267" s="107"/>
      <c r="E267" s="107"/>
      <c r="F267" s="206"/>
      <c r="G267" s="236"/>
      <c r="H267" s="224"/>
      <c r="I267" s="223"/>
      <c r="J267" s="236"/>
      <c r="K267" s="286"/>
      <c r="L267" s="223"/>
      <c r="M267" s="20"/>
      <c r="N267" s="7"/>
      <c r="O267" s="21"/>
      <c r="P267" s="74"/>
      <c r="Q267" s="72"/>
    </row>
    <row r="268" spans="1:17" ht="12.75">
      <c r="A268" s="36" t="s">
        <v>88</v>
      </c>
      <c r="B268" s="91">
        <v>34544</v>
      </c>
      <c r="C268" s="108"/>
      <c r="D268" s="107"/>
      <c r="E268" s="107"/>
      <c r="F268" s="206">
        <f>C268+D268+E268</f>
        <v>0</v>
      </c>
      <c r="G268" s="236"/>
      <c r="H268" s="224"/>
      <c r="I268" s="223"/>
      <c r="J268" s="236">
        <f>440</f>
        <v>440</v>
      </c>
      <c r="K268" s="286"/>
      <c r="L268" s="223">
        <f>I268+J268+K268</f>
        <v>440</v>
      </c>
      <c r="M268" s="20"/>
      <c r="N268" s="7"/>
      <c r="O268" s="21">
        <f>L268+M268+N268</f>
        <v>440</v>
      </c>
      <c r="P268" s="74"/>
      <c r="Q268" s="72">
        <f>O268+P268</f>
        <v>440</v>
      </c>
    </row>
    <row r="269" spans="1:17" ht="12.75">
      <c r="A269" s="89" t="s">
        <v>83</v>
      </c>
      <c r="B269" s="91"/>
      <c r="C269" s="108">
        <v>2850</v>
      </c>
      <c r="D269" s="118">
        <f>1500</f>
        <v>1500</v>
      </c>
      <c r="E269" s="107"/>
      <c r="F269" s="206">
        <f>C269+D269+E269</f>
        <v>4350</v>
      </c>
      <c r="G269" s="236">
        <f>100+180+800+1000-1200</f>
        <v>880</v>
      </c>
      <c r="H269" s="224"/>
      <c r="I269" s="223">
        <f>F269+G269+H269</f>
        <v>5230</v>
      </c>
      <c r="J269" s="236">
        <f>2000</f>
        <v>2000</v>
      </c>
      <c r="K269" s="286"/>
      <c r="L269" s="223">
        <f>I269+J269+K269</f>
        <v>7230</v>
      </c>
      <c r="M269" s="20"/>
      <c r="N269" s="7"/>
      <c r="O269" s="21">
        <f>L269+M269+N269</f>
        <v>7230</v>
      </c>
      <c r="P269" s="74"/>
      <c r="Q269" s="72">
        <f>O269+P269</f>
        <v>7230</v>
      </c>
    </row>
    <row r="270" spans="1:17" ht="12.75">
      <c r="A270" s="89" t="s">
        <v>54</v>
      </c>
      <c r="B270" s="91"/>
      <c r="C270" s="108"/>
      <c r="D270" s="107">
        <f>242</f>
        <v>242</v>
      </c>
      <c r="E270" s="107"/>
      <c r="F270" s="206">
        <f>C270+D270+E270</f>
        <v>242</v>
      </c>
      <c r="G270" s="236">
        <f>173.96</f>
        <v>173.96</v>
      </c>
      <c r="H270" s="224"/>
      <c r="I270" s="223">
        <f>F270+G270+H270</f>
        <v>415.96000000000004</v>
      </c>
      <c r="J270" s="236"/>
      <c r="K270" s="286"/>
      <c r="L270" s="223">
        <f>I270+J270+K270</f>
        <v>415.96000000000004</v>
      </c>
      <c r="M270" s="20"/>
      <c r="N270" s="7"/>
      <c r="O270" s="21">
        <f>L270+M270+N270</f>
        <v>415.96000000000004</v>
      </c>
      <c r="P270" s="74"/>
      <c r="Q270" s="72">
        <f>O270+P270</f>
        <v>415.96000000000004</v>
      </c>
    </row>
    <row r="271" spans="1:17" ht="12.75">
      <c r="A271" s="43" t="s">
        <v>76</v>
      </c>
      <c r="B271" s="94"/>
      <c r="C271" s="186"/>
      <c r="D271" s="115"/>
      <c r="E271" s="115"/>
      <c r="F271" s="211">
        <f>C271+D271+E271</f>
        <v>0</v>
      </c>
      <c r="G271" s="235">
        <f>250+59.99</f>
        <v>309.99</v>
      </c>
      <c r="H271" s="253"/>
      <c r="I271" s="231">
        <f>F271+G271+H271</f>
        <v>309.99</v>
      </c>
      <c r="J271" s="235">
        <f>1210</f>
        <v>1210</v>
      </c>
      <c r="K271" s="289"/>
      <c r="L271" s="231">
        <f>I271+J271+K271</f>
        <v>1519.99</v>
      </c>
      <c r="M271" s="69"/>
      <c r="N271" s="9"/>
      <c r="O271" s="25">
        <f>L271+M271+N271</f>
        <v>1519.99</v>
      </c>
      <c r="P271" s="77"/>
      <c r="Q271" s="78">
        <f>O271+P271</f>
        <v>1519.99</v>
      </c>
    </row>
    <row r="272" spans="1:27" ht="12.75">
      <c r="A272" s="29" t="s">
        <v>256</v>
      </c>
      <c r="B272" s="95"/>
      <c r="C272" s="105">
        <f>C273+C276</f>
        <v>1338.39</v>
      </c>
      <c r="D272" s="106">
        <f>D273+D276</f>
        <v>0</v>
      </c>
      <c r="E272" s="106">
        <f>E273+E278</f>
        <v>0</v>
      </c>
      <c r="F272" s="205">
        <f aca="true" t="shared" si="81" ref="F272:L272">F273+F276</f>
        <v>1338.39</v>
      </c>
      <c r="G272" s="268">
        <f t="shared" si="81"/>
        <v>0</v>
      </c>
      <c r="H272" s="255">
        <f t="shared" si="81"/>
        <v>0</v>
      </c>
      <c r="I272" s="234">
        <f t="shared" si="81"/>
        <v>1338.39</v>
      </c>
      <c r="J272" s="268">
        <f t="shared" si="81"/>
        <v>0</v>
      </c>
      <c r="K272" s="298">
        <f t="shared" si="81"/>
        <v>0</v>
      </c>
      <c r="L272" s="234">
        <f t="shared" si="81"/>
        <v>1338.39</v>
      </c>
      <c r="M272" s="28"/>
      <c r="N272" s="125"/>
      <c r="O272" s="80"/>
      <c r="P272" s="74"/>
      <c r="Q272" s="72"/>
      <c r="Z272" s="161"/>
      <c r="AA272" s="137"/>
    </row>
    <row r="273" spans="1:17" ht="12.75">
      <c r="A273" s="38" t="s">
        <v>49</v>
      </c>
      <c r="B273" s="95"/>
      <c r="C273" s="113">
        <f aca="true" t="shared" si="82" ref="C273:I273">SUM(C275:C275)</f>
        <v>1338.39</v>
      </c>
      <c r="D273" s="114">
        <f t="shared" si="82"/>
        <v>0</v>
      </c>
      <c r="E273" s="114">
        <f t="shared" si="82"/>
        <v>0</v>
      </c>
      <c r="F273" s="209">
        <f t="shared" si="82"/>
        <v>1338.39</v>
      </c>
      <c r="G273" s="233">
        <f t="shared" si="82"/>
        <v>0</v>
      </c>
      <c r="H273" s="251">
        <f t="shared" si="82"/>
        <v>0</v>
      </c>
      <c r="I273" s="229">
        <f t="shared" si="82"/>
        <v>1338.39</v>
      </c>
      <c r="J273" s="233">
        <f>SUM(J275:J275)</f>
        <v>0</v>
      </c>
      <c r="K273" s="290">
        <f>SUM(K275:K275)</f>
        <v>0</v>
      </c>
      <c r="L273" s="229">
        <f>SUM(L275:L275)</f>
        <v>1338.39</v>
      </c>
      <c r="M273" s="28"/>
      <c r="N273" s="125"/>
      <c r="O273" s="80"/>
      <c r="P273" s="74"/>
      <c r="Q273" s="72"/>
    </row>
    <row r="274" spans="1:17" ht="12.75">
      <c r="A274" s="34" t="s">
        <v>26</v>
      </c>
      <c r="B274" s="91"/>
      <c r="C274" s="108"/>
      <c r="D274" s="107"/>
      <c r="E274" s="107"/>
      <c r="F274" s="206"/>
      <c r="G274" s="236"/>
      <c r="H274" s="224"/>
      <c r="I274" s="223"/>
      <c r="J274" s="236"/>
      <c r="K274" s="286"/>
      <c r="L274" s="223"/>
      <c r="M274" s="28"/>
      <c r="N274" s="125"/>
      <c r="O274" s="80"/>
      <c r="P274" s="74"/>
      <c r="Q274" s="72"/>
    </row>
    <row r="275" spans="1:17" ht="12.75">
      <c r="A275" s="35" t="s">
        <v>51</v>
      </c>
      <c r="B275" s="94"/>
      <c r="C275" s="186">
        <v>1338.39</v>
      </c>
      <c r="D275" s="115"/>
      <c r="E275" s="115"/>
      <c r="F275" s="211">
        <f>C275+D275+E275</f>
        <v>1338.39</v>
      </c>
      <c r="G275" s="235"/>
      <c r="H275" s="253"/>
      <c r="I275" s="231">
        <f>F275+G275+H275</f>
        <v>1338.39</v>
      </c>
      <c r="J275" s="235"/>
      <c r="K275" s="289"/>
      <c r="L275" s="231">
        <f>I275+J275+K275</f>
        <v>1338.39</v>
      </c>
      <c r="M275" s="28"/>
      <c r="N275" s="125"/>
      <c r="O275" s="80"/>
      <c r="P275" s="74"/>
      <c r="Q275" s="72"/>
    </row>
    <row r="276" spans="1:17" ht="12.75" hidden="1">
      <c r="A276" s="38" t="s">
        <v>53</v>
      </c>
      <c r="B276" s="95"/>
      <c r="C276" s="113">
        <f>C278</f>
        <v>0</v>
      </c>
      <c r="D276" s="114">
        <f>D278</f>
        <v>0</v>
      </c>
      <c r="E276" s="114">
        <f>SUM(E278:E280)</f>
        <v>53698.78</v>
      </c>
      <c r="F276" s="209">
        <f aca="true" t="shared" si="83" ref="F276:L276">F278</f>
        <v>0</v>
      </c>
      <c r="G276" s="233">
        <f t="shared" si="83"/>
        <v>0</v>
      </c>
      <c r="H276" s="251">
        <f t="shared" si="83"/>
        <v>0</v>
      </c>
      <c r="I276" s="229">
        <f t="shared" si="83"/>
        <v>0</v>
      </c>
      <c r="J276" s="233">
        <f t="shared" si="83"/>
        <v>0</v>
      </c>
      <c r="K276" s="290">
        <f t="shared" si="83"/>
        <v>0</v>
      </c>
      <c r="L276" s="229">
        <f t="shared" si="83"/>
        <v>0</v>
      </c>
      <c r="M276" s="113">
        <f>SUM(M278:M280)</f>
        <v>0</v>
      </c>
      <c r="N276" s="113">
        <f>SUM(N278:N280)</f>
        <v>0</v>
      </c>
      <c r="O276" s="113">
        <f>SUM(O278:O280)</f>
        <v>652198.74</v>
      </c>
      <c r="P276" s="113">
        <f>SUM(P278:P280)</f>
        <v>0</v>
      </c>
      <c r="Q276" s="164">
        <f>SUM(Q278:Q280)</f>
        <v>652198.74</v>
      </c>
    </row>
    <row r="277" spans="1:17" ht="12.75" hidden="1">
      <c r="A277" s="34" t="s">
        <v>26</v>
      </c>
      <c r="B277" s="91"/>
      <c r="C277" s="108"/>
      <c r="D277" s="107"/>
      <c r="E277" s="107"/>
      <c r="F277" s="206"/>
      <c r="G277" s="236"/>
      <c r="H277" s="224"/>
      <c r="I277" s="223"/>
      <c r="J277" s="236"/>
      <c r="K277" s="286"/>
      <c r="L277" s="223"/>
      <c r="M277" s="20"/>
      <c r="N277" s="7"/>
      <c r="O277" s="21"/>
      <c r="P277" s="74"/>
      <c r="Q277" s="72"/>
    </row>
    <row r="278" spans="1:17" ht="12.75" hidden="1">
      <c r="A278" s="158" t="s">
        <v>54</v>
      </c>
      <c r="B278" s="94"/>
      <c r="C278" s="186"/>
      <c r="D278" s="115"/>
      <c r="E278" s="115"/>
      <c r="F278" s="211">
        <f>C278+D278+E278</f>
        <v>0</v>
      </c>
      <c r="G278" s="235"/>
      <c r="H278" s="224"/>
      <c r="I278" s="231">
        <f>F278+G278+H278</f>
        <v>0</v>
      </c>
      <c r="J278" s="236"/>
      <c r="K278" s="286"/>
      <c r="L278" s="223">
        <f>I278+J278+K278</f>
        <v>0</v>
      </c>
      <c r="M278" s="20"/>
      <c r="N278" s="7"/>
      <c r="O278" s="21">
        <f>L278+M278+N278</f>
        <v>0</v>
      </c>
      <c r="P278" s="74"/>
      <c r="Q278" s="72">
        <f>O278+P278</f>
        <v>0</v>
      </c>
    </row>
    <row r="279" spans="1:17" ht="12.75">
      <c r="A279" s="29" t="s">
        <v>48</v>
      </c>
      <c r="B279" s="93"/>
      <c r="C279" s="105">
        <f aca="true" t="shared" si="84" ref="C279:Q279">C280+C294</f>
        <v>61493.06</v>
      </c>
      <c r="D279" s="106">
        <f t="shared" si="84"/>
        <v>12200</v>
      </c>
      <c r="E279" s="106">
        <f t="shared" si="84"/>
        <v>27484.7</v>
      </c>
      <c r="F279" s="205">
        <f t="shared" si="84"/>
        <v>101177.76</v>
      </c>
      <c r="G279" s="232">
        <f t="shared" si="84"/>
        <v>80000</v>
      </c>
      <c r="H279" s="248">
        <f t="shared" si="84"/>
        <v>0</v>
      </c>
      <c r="I279" s="222">
        <f t="shared" si="84"/>
        <v>181177.75999999998</v>
      </c>
      <c r="J279" s="232">
        <f>J280+J294</f>
        <v>169306.31000000003</v>
      </c>
      <c r="K279" s="285">
        <f>K280+K294</f>
        <v>0</v>
      </c>
      <c r="L279" s="222">
        <f>L280+L294</f>
        <v>350484.07</v>
      </c>
      <c r="M279" s="105">
        <f t="shared" si="84"/>
        <v>0</v>
      </c>
      <c r="N279" s="105">
        <f t="shared" si="84"/>
        <v>0</v>
      </c>
      <c r="O279" s="105">
        <f t="shared" si="84"/>
        <v>326499.37</v>
      </c>
      <c r="P279" s="105">
        <f t="shared" si="84"/>
        <v>0</v>
      </c>
      <c r="Q279" s="159">
        <f t="shared" si="84"/>
        <v>326499.37</v>
      </c>
    </row>
    <row r="280" spans="1:17" ht="12.75">
      <c r="A280" s="38" t="s">
        <v>49</v>
      </c>
      <c r="B280" s="93"/>
      <c r="C280" s="113">
        <f aca="true" t="shared" si="85" ref="C280:Q280">SUM(C282:C293)</f>
        <v>60693.06</v>
      </c>
      <c r="D280" s="114">
        <f t="shared" si="85"/>
        <v>10900</v>
      </c>
      <c r="E280" s="114">
        <f t="shared" si="85"/>
        <v>26214.08</v>
      </c>
      <c r="F280" s="209">
        <f t="shared" si="85"/>
        <v>97807.14</v>
      </c>
      <c r="G280" s="233">
        <f t="shared" si="85"/>
        <v>80000</v>
      </c>
      <c r="H280" s="251">
        <f t="shared" si="85"/>
        <v>0</v>
      </c>
      <c r="I280" s="229">
        <f t="shared" si="85"/>
        <v>177807.13999999998</v>
      </c>
      <c r="J280" s="233">
        <f>SUM(J282:J293)</f>
        <v>169306.31000000003</v>
      </c>
      <c r="K280" s="290">
        <f>SUM(K282:K293)</f>
        <v>0</v>
      </c>
      <c r="L280" s="229">
        <f>SUM(L282:L293)</f>
        <v>347113.45</v>
      </c>
      <c r="M280" s="113">
        <f t="shared" si="85"/>
        <v>0</v>
      </c>
      <c r="N280" s="113">
        <f t="shared" si="85"/>
        <v>0</v>
      </c>
      <c r="O280" s="113">
        <f t="shared" si="85"/>
        <v>325699.37</v>
      </c>
      <c r="P280" s="113">
        <f t="shared" si="85"/>
        <v>0</v>
      </c>
      <c r="Q280" s="164">
        <f t="shared" si="85"/>
        <v>325699.37</v>
      </c>
    </row>
    <row r="281" spans="1:17" ht="12.75">
      <c r="A281" s="34" t="s">
        <v>26</v>
      </c>
      <c r="B281" s="66"/>
      <c r="C281" s="108"/>
      <c r="D281" s="107"/>
      <c r="E281" s="107"/>
      <c r="F281" s="206"/>
      <c r="G281" s="236"/>
      <c r="H281" s="224"/>
      <c r="I281" s="223"/>
      <c r="J281" s="236"/>
      <c r="K281" s="286"/>
      <c r="L281" s="223"/>
      <c r="M281" s="20"/>
      <c r="N281" s="7"/>
      <c r="O281" s="21"/>
      <c r="P281" s="74"/>
      <c r="Q281" s="72"/>
    </row>
    <row r="282" spans="1:17" ht="12.75">
      <c r="A282" s="32" t="s">
        <v>126</v>
      </c>
      <c r="B282" s="91"/>
      <c r="C282" s="108">
        <v>27707.22</v>
      </c>
      <c r="D282" s="107"/>
      <c r="E282" s="107"/>
      <c r="F282" s="206">
        <f aca="true" t="shared" si="86" ref="F282:F293">C282+D282+E282</f>
        <v>27707.22</v>
      </c>
      <c r="G282" s="236"/>
      <c r="H282" s="224"/>
      <c r="I282" s="223">
        <f>F282+G282+H282</f>
        <v>27707.22</v>
      </c>
      <c r="J282" s="236"/>
      <c r="K282" s="286"/>
      <c r="L282" s="223">
        <f>I282+J282+K282</f>
        <v>27707.22</v>
      </c>
      <c r="M282" s="20"/>
      <c r="N282" s="7"/>
      <c r="O282" s="21">
        <f>L282+M282+N282</f>
        <v>27707.22</v>
      </c>
      <c r="P282" s="74"/>
      <c r="Q282" s="72">
        <f>O282+P282</f>
        <v>27707.22</v>
      </c>
    </row>
    <row r="283" spans="1:17" ht="12.75">
      <c r="A283" s="32" t="s">
        <v>50</v>
      </c>
      <c r="B283" s="91"/>
      <c r="C283" s="108">
        <v>7048.74</v>
      </c>
      <c r="D283" s="107"/>
      <c r="E283" s="107"/>
      <c r="F283" s="206">
        <f t="shared" si="86"/>
        <v>7048.74</v>
      </c>
      <c r="G283" s="236"/>
      <c r="H283" s="224"/>
      <c r="I283" s="223">
        <f>F283+G283+H283</f>
        <v>7048.74</v>
      </c>
      <c r="J283" s="236"/>
      <c r="K283" s="286"/>
      <c r="L283" s="223">
        <f>I283+J283+K283</f>
        <v>7048.74</v>
      </c>
      <c r="M283" s="20"/>
      <c r="N283" s="7"/>
      <c r="O283" s="21">
        <f>L283+M283+N283</f>
        <v>7048.74</v>
      </c>
      <c r="P283" s="74"/>
      <c r="Q283" s="72">
        <f>O283+P283</f>
        <v>7048.74</v>
      </c>
    </row>
    <row r="284" spans="1:17" ht="12.75">
      <c r="A284" s="32" t="s">
        <v>229</v>
      </c>
      <c r="B284" s="91"/>
      <c r="C284" s="108">
        <v>1450</v>
      </c>
      <c r="D284" s="107"/>
      <c r="E284" s="107"/>
      <c r="F284" s="206">
        <f t="shared" si="86"/>
        <v>1450</v>
      </c>
      <c r="G284" s="236"/>
      <c r="H284" s="224"/>
      <c r="I284" s="223">
        <f>F284+G284+H284</f>
        <v>1450</v>
      </c>
      <c r="J284" s="236"/>
      <c r="K284" s="286"/>
      <c r="L284" s="223">
        <f>I284+J284+K284</f>
        <v>1450</v>
      </c>
      <c r="M284" s="20"/>
      <c r="N284" s="7"/>
      <c r="O284" s="21">
        <f>L284+M284+N284</f>
        <v>1450</v>
      </c>
      <c r="P284" s="74"/>
      <c r="Q284" s="72">
        <f>O284+P284</f>
        <v>1450</v>
      </c>
    </row>
    <row r="285" spans="1:17" ht="12.75">
      <c r="A285" s="32" t="s">
        <v>51</v>
      </c>
      <c r="B285" s="91"/>
      <c r="C285" s="108">
        <v>15187.1</v>
      </c>
      <c r="D285" s="107">
        <f>1500</f>
        <v>1500</v>
      </c>
      <c r="E285" s="107"/>
      <c r="F285" s="206">
        <f t="shared" si="86"/>
        <v>16687.1</v>
      </c>
      <c r="G285" s="236"/>
      <c r="H285" s="224"/>
      <c r="I285" s="223">
        <f>F285+G285+H285</f>
        <v>16687.1</v>
      </c>
      <c r="J285" s="236">
        <f>75.1</f>
        <v>75.1</v>
      </c>
      <c r="K285" s="286"/>
      <c r="L285" s="223">
        <f>I285+J285+K285</f>
        <v>16762.199999999997</v>
      </c>
      <c r="M285" s="20"/>
      <c r="N285" s="7"/>
      <c r="O285" s="21">
        <f>L285+M285+N285</f>
        <v>16762.199999999997</v>
      </c>
      <c r="P285" s="74"/>
      <c r="Q285" s="72">
        <f>O285+P285</f>
        <v>16762.199999999997</v>
      </c>
    </row>
    <row r="286" spans="1:17" ht="12.75" hidden="1">
      <c r="A286" s="32" t="s">
        <v>76</v>
      </c>
      <c r="B286" s="91"/>
      <c r="C286" s="108"/>
      <c r="D286" s="107"/>
      <c r="E286" s="107"/>
      <c r="F286" s="206">
        <f t="shared" si="86"/>
        <v>0</v>
      </c>
      <c r="G286" s="236"/>
      <c r="H286" s="224"/>
      <c r="I286" s="223"/>
      <c r="J286" s="236"/>
      <c r="K286" s="286"/>
      <c r="L286" s="223"/>
      <c r="M286" s="20"/>
      <c r="N286" s="7"/>
      <c r="O286" s="21"/>
      <c r="P286" s="74"/>
      <c r="Q286" s="72"/>
    </row>
    <row r="287" spans="1:17" ht="12.75">
      <c r="A287" s="32" t="s">
        <v>326</v>
      </c>
      <c r="B287" s="91"/>
      <c r="C287" s="108">
        <v>500</v>
      </c>
      <c r="D287" s="107"/>
      <c r="E287" s="118">
        <f>25000</f>
        <v>25000</v>
      </c>
      <c r="F287" s="206">
        <f t="shared" si="86"/>
        <v>25500</v>
      </c>
      <c r="G287" s="236">
        <f>20000+20000+40000</f>
        <v>80000</v>
      </c>
      <c r="H287" s="224"/>
      <c r="I287" s="223">
        <f aca="true" t="shared" si="87" ref="I287:I293">F287+G287+H287</f>
        <v>105500</v>
      </c>
      <c r="J287" s="236">
        <f>101.8+23578.3+120000+23551.11</f>
        <v>167231.21000000002</v>
      </c>
      <c r="K287" s="286"/>
      <c r="L287" s="223">
        <f aca="true" t="shared" si="88" ref="L287:L293">I287+J287+K287</f>
        <v>272731.21</v>
      </c>
      <c r="M287" s="20"/>
      <c r="N287" s="7"/>
      <c r="O287" s="21">
        <f>L287+M287+N287</f>
        <v>272731.21</v>
      </c>
      <c r="P287" s="74"/>
      <c r="Q287" s="72">
        <f>O287+P287</f>
        <v>272731.21</v>
      </c>
    </row>
    <row r="288" spans="1:17" ht="12.75" hidden="1">
      <c r="A288" s="32" t="s">
        <v>286</v>
      </c>
      <c r="B288" s="91">
        <v>98032</v>
      </c>
      <c r="C288" s="108"/>
      <c r="D288" s="107"/>
      <c r="E288" s="107"/>
      <c r="F288" s="206">
        <f t="shared" si="86"/>
        <v>0</v>
      </c>
      <c r="G288" s="236"/>
      <c r="H288" s="224"/>
      <c r="I288" s="223">
        <f t="shared" si="87"/>
        <v>0</v>
      </c>
      <c r="J288" s="236"/>
      <c r="K288" s="286"/>
      <c r="L288" s="223">
        <f t="shared" si="88"/>
        <v>0</v>
      </c>
      <c r="M288" s="20"/>
      <c r="N288" s="7"/>
      <c r="O288" s="21"/>
      <c r="P288" s="74"/>
      <c r="Q288" s="72"/>
    </row>
    <row r="289" spans="1:17" ht="12.75" hidden="1">
      <c r="A289" s="32" t="s">
        <v>357</v>
      </c>
      <c r="B289" s="91">
        <v>98045</v>
      </c>
      <c r="C289" s="108"/>
      <c r="D289" s="107"/>
      <c r="E289" s="107"/>
      <c r="F289" s="206"/>
      <c r="G289" s="236"/>
      <c r="H289" s="224"/>
      <c r="I289" s="223">
        <f t="shared" si="87"/>
        <v>0</v>
      </c>
      <c r="J289" s="236"/>
      <c r="K289" s="286"/>
      <c r="L289" s="223">
        <f t="shared" si="88"/>
        <v>0</v>
      </c>
      <c r="M289" s="20"/>
      <c r="N289" s="7"/>
      <c r="O289" s="21"/>
      <c r="P289" s="74"/>
      <c r="Q289" s="72"/>
    </row>
    <row r="290" spans="1:17" ht="12.75">
      <c r="A290" s="32" t="s">
        <v>283</v>
      </c>
      <c r="B290" s="91"/>
      <c r="C290" s="108"/>
      <c r="D290" s="107">
        <f>5000</f>
        <v>5000</v>
      </c>
      <c r="E290" s="107"/>
      <c r="F290" s="206">
        <f t="shared" si="86"/>
        <v>5000</v>
      </c>
      <c r="G290" s="236"/>
      <c r="H290" s="224"/>
      <c r="I290" s="223">
        <f t="shared" si="87"/>
        <v>5000</v>
      </c>
      <c r="J290" s="236"/>
      <c r="K290" s="286"/>
      <c r="L290" s="223">
        <f t="shared" si="88"/>
        <v>5000</v>
      </c>
      <c r="M290" s="20"/>
      <c r="N290" s="7"/>
      <c r="O290" s="21"/>
      <c r="P290" s="74"/>
      <c r="Q290" s="72"/>
    </row>
    <row r="291" spans="1:17" ht="12.75">
      <c r="A291" s="32" t="s">
        <v>230</v>
      </c>
      <c r="B291" s="91"/>
      <c r="C291" s="108">
        <v>8200</v>
      </c>
      <c r="D291" s="107">
        <f>3500</f>
        <v>3500</v>
      </c>
      <c r="E291" s="107">
        <f>1214.08</f>
        <v>1214.08</v>
      </c>
      <c r="F291" s="206">
        <f t="shared" si="86"/>
        <v>12914.08</v>
      </c>
      <c r="G291" s="236"/>
      <c r="H291" s="224"/>
      <c r="I291" s="223">
        <f t="shared" si="87"/>
        <v>12914.08</v>
      </c>
      <c r="J291" s="236">
        <f>2000</f>
        <v>2000</v>
      </c>
      <c r="K291" s="286"/>
      <c r="L291" s="223">
        <f t="shared" si="88"/>
        <v>14914.08</v>
      </c>
      <c r="M291" s="20"/>
      <c r="N291" s="7"/>
      <c r="O291" s="21"/>
      <c r="P291" s="74"/>
      <c r="Q291" s="72"/>
    </row>
    <row r="292" spans="1:17" ht="12.75">
      <c r="A292" s="32" t="s">
        <v>231</v>
      </c>
      <c r="B292" s="91"/>
      <c r="C292" s="108">
        <v>600</v>
      </c>
      <c r="D292" s="107">
        <f>900</f>
        <v>900</v>
      </c>
      <c r="E292" s="107"/>
      <c r="F292" s="206">
        <f t="shared" si="86"/>
        <v>1500</v>
      </c>
      <c r="G292" s="236"/>
      <c r="H292" s="224"/>
      <c r="I292" s="223">
        <f t="shared" si="87"/>
        <v>1500</v>
      </c>
      <c r="J292" s="236"/>
      <c r="K292" s="286"/>
      <c r="L292" s="223">
        <f t="shared" si="88"/>
        <v>1500</v>
      </c>
      <c r="M292" s="20"/>
      <c r="N292" s="7"/>
      <c r="O292" s="21"/>
      <c r="P292" s="74"/>
      <c r="Q292" s="72"/>
    </row>
    <row r="293" spans="1:17" ht="12.75" hidden="1">
      <c r="A293" s="32" t="s">
        <v>52</v>
      </c>
      <c r="B293" s="91"/>
      <c r="C293" s="108"/>
      <c r="D293" s="107"/>
      <c r="E293" s="107"/>
      <c r="F293" s="206">
        <f t="shared" si="86"/>
        <v>0</v>
      </c>
      <c r="G293" s="236"/>
      <c r="H293" s="224"/>
      <c r="I293" s="223">
        <f t="shared" si="87"/>
        <v>0</v>
      </c>
      <c r="J293" s="236"/>
      <c r="K293" s="286"/>
      <c r="L293" s="223">
        <f t="shared" si="88"/>
        <v>0</v>
      </c>
      <c r="M293" s="20"/>
      <c r="N293" s="7"/>
      <c r="O293" s="21">
        <f>L293+M293+N293</f>
        <v>0</v>
      </c>
      <c r="P293" s="74"/>
      <c r="Q293" s="72">
        <f>O293+P293</f>
        <v>0</v>
      </c>
    </row>
    <row r="294" spans="1:17" ht="12.75">
      <c r="A294" s="39" t="s">
        <v>53</v>
      </c>
      <c r="B294" s="95"/>
      <c r="C294" s="116">
        <f aca="true" t="shared" si="89" ref="C294:Q294">SUM(C296:C300)</f>
        <v>800</v>
      </c>
      <c r="D294" s="117">
        <f t="shared" si="89"/>
        <v>1300</v>
      </c>
      <c r="E294" s="117">
        <f t="shared" si="89"/>
        <v>1270.62</v>
      </c>
      <c r="F294" s="210">
        <f t="shared" si="89"/>
        <v>3370.62</v>
      </c>
      <c r="G294" s="267">
        <f t="shared" si="89"/>
        <v>0</v>
      </c>
      <c r="H294" s="252">
        <f t="shared" si="89"/>
        <v>0</v>
      </c>
      <c r="I294" s="230">
        <f t="shared" si="89"/>
        <v>3370.62</v>
      </c>
      <c r="J294" s="267">
        <f t="shared" si="89"/>
        <v>0</v>
      </c>
      <c r="K294" s="297">
        <f t="shared" si="89"/>
        <v>0</v>
      </c>
      <c r="L294" s="230">
        <f t="shared" si="89"/>
        <v>3370.62</v>
      </c>
      <c r="M294" s="116">
        <f t="shared" si="89"/>
        <v>0</v>
      </c>
      <c r="N294" s="116">
        <f t="shared" si="89"/>
        <v>0</v>
      </c>
      <c r="O294" s="116">
        <f t="shared" si="89"/>
        <v>800</v>
      </c>
      <c r="P294" s="116">
        <f t="shared" si="89"/>
        <v>0</v>
      </c>
      <c r="Q294" s="165">
        <f t="shared" si="89"/>
        <v>800</v>
      </c>
    </row>
    <row r="295" spans="1:17" ht="12.75">
      <c r="A295" s="30" t="s">
        <v>26</v>
      </c>
      <c r="B295" s="91"/>
      <c r="C295" s="109"/>
      <c r="D295" s="110"/>
      <c r="E295" s="110"/>
      <c r="F295" s="207"/>
      <c r="G295" s="266"/>
      <c r="H295" s="250"/>
      <c r="I295" s="225"/>
      <c r="J295" s="266"/>
      <c r="K295" s="288"/>
      <c r="L295" s="225"/>
      <c r="M295" s="22"/>
      <c r="N295" s="8"/>
      <c r="O295" s="23"/>
      <c r="P295" s="74"/>
      <c r="Q295" s="72"/>
    </row>
    <row r="296" spans="1:17" ht="12.75" hidden="1">
      <c r="A296" s="32" t="s">
        <v>143</v>
      </c>
      <c r="B296" s="91"/>
      <c r="C296" s="108"/>
      <c r="D296" s="107"/>
      <c r="E296" s="107"/>
      <c r="F296" s="206">
        <f>C296+D296+E296</f>
        <v>0</v>
      </c>
      <c r="G296" s="236"/>
      <c r="H296" s="224"/>
      <c r="I296" s="223">
        <f>F296+G296+H296</f>
        <v>0</v>
      </c>
      <c r="J296" s="236"/>
      <c r="K296" s="286"/>
      <c r="L296" s="223">
        <f>I296+J296+K296</f>
        <v>0</v>
      </c>
      <c r="M296" s="20"/>
      <c r="N296" s="7"/>
      <c r="O296" s="21">
        <f>L296+M296+N296</f>
        <v>0</v>
      </c>
      <c r="P296" s="74"/>
      <c r="Q296" s="72">
        <f>O296+P296</f>
        <v>0</v>
      </c>
    </row>
    <row r="297" spans="1:17" ht="12.75">
      <c r="A297" s="32" t="s">
        <v>230</v>
      </c>
      <c r="B297" s="91"/>
      <c r="C297" s="108">
        <v>800</v>
      </c>
      <c r="D297" s="107">
        <f>500</f>
        <v>500</v>
      </c>
      <c r="E297" s="107">
        <f>1270.62</f>
        <v>1270.62</v>
      </c>
      <c r="F297" s="206">
        <f>C297+D297+E297</f>
        <v>2570.62</v>
      </c>
      <c r="G297" s="236"/>
      <c r="H297" s="224"/>
      <c r="I297" s="223">
        <f>F297+G297+H297</f>
        <v>2570.62</v>
      </c>
      <c r="J297" s="236"/>
      <c r="K297" s="286"/>
      <c r="L297" s="223">
        <f>I297+J297+K297</f>
        <v>2570.62</v>
      </c>
      <c r="M297" s="20"/>
      <c r="N297" s="7"/>
      <c r="O297" s="21"/>
      <c r="P297" s="74"/>
      <c r="Q297" s="72"/>
    </row>
    <row r="298" spans="1:17" ht="12.75" hidden="1">
      <c r="A298" s="32" t="s">
        <v>231</v>
      </c>
      <c r="B298" s="91"/>
      <c r="C298" s="108"/>
      <c r="D298" s="107"/>
      <c r="E298" s="107"/>
      <c r="F298" s="206">
        <f>C298+D298+E298</f>
        <v>0</v>
      </c>
      <c r="G298" s="236"/>
      <c r="H298" s="224"/>
      <c r="I298" s="223"/>
      <c r="J298" s="236"/>
      <c r="K298" s="286"/>
      <c r="L298" s="223"/>
      <c r="M298" s="20"/>
      <c r="N298" s="7"/>
      <c r="O298" s="21"/>
      <c r="P298" s="74"/>
      <c r="Q298" s="72"/>
    </row>
    <row r="299" spans="1:17" ht="12.75" hidden="1">
      <c r="A299" s="32" t="s">
        <v>52</v>
      </c>
      <c r="B299" s="91"/>
      <c r="C299" s="108"/>
      <c r="D299" s="107"/>
      <c r="E299" s="107"/>
      <c r="F299" s="206">
        <f>C299+D299+E299</f>
        <v>0</v>
      </c>
      <c r="G299" s="235"/>
      <c r="H299" s="253"/>
      <c r="I299" s="231">
        <f>F299+G299+H299</f>
        <v>0</v>
      </c>
      <c r="J299" s="235"/>
      <c r="K299" s="289"/>
      <c r="L299" s="231">
        <f>I299+J299+K299</f>
        <v>0</v>
      </c>
      <c r="M299" s="24"/>
      <c r="N299" s="9"/>
      <c r="O299" s="25">
        <f>L299+M299+N299</f>
        <v>0</v>
      </c>
      <c r="P299" s="77"/>
      <c r="Q299" s="78">
        <f>O299+P299</f>
        <v>0</v>
      </c>
    </row>
    <row r="300" spans="1:17" ht="13.5" thickBot="1">
      <c r="A300" s="156" t="s">
        <v>54</v>
      </c>
      <c r="B300" s="130"/>
      <c r="C300" s="188"/>
      <c r="D300" s="131">
        <f>800</f>
        <v>800</v>
      </c>
      <c r="E300" s="131"/>
      <c r="F300" s="212">
        <f>C300+D300+E300</f>
        <v>800</v>
      </c>
      <c r="G300" s="310"/>
      <c r="H300" s="311"/>
      <c r="I300" s="312">
        <f>F300+G300+H300</f>
        <v>800</v>
      </c>
      <c r="J300" s="310"/>
      <c r="K300" s="313"/>
      <c r="L300" s="312">
        <f>I300+J300+K300</f>
        <v>800</v>
      </c>
      <c r="M300" s="24"/>
      <c r="N300" s="9"/>
      <c r="O300" s="25">
        <f>L300+M300+N300</f>
        <v>800</v>
      </c>
      <c r="P300" s="74"/>
      <c r="Q300" s="72">
        <f>O300+P300</f>
        <v>800</v>
      </c>
    </row>
    <row r="301" spans="1:17" ht="12.75">
      <c r="A301" s="29" t="s">
        <v>234</v>
      </c>
      <c r="B301" s="95"/>
      <c r="C301" s="105">
        <f aca="true" t="shared" si="90" ref="C301:Q301">C302+C319</f>
        <v>480289.64</v>
      </c>
      <c r="D301" s="106">
        <f t="shared" si="90"/>
        <v>-11549.519999999997</v>
      </c>
      <c r="E301" s="106">
        <f t="shared" si="90"/>
        <v>0</v>
      </c>
      <c r="F301" s="205">
        <f t="shared" si="90"/>
        <v>468740.12</v>
      </c>
      <c r="G301" s="232">
        <f t="shared" si="90"/>
        <v>1002.23</v>
      </c>
      <c r="H301" s="248">
        <f t="shared" si="90"/>
        <v>0</v>
      </c>
      <c r="I301" s="222">
        <f t="shared" si="90"/>
        <v>469742.35</v>
      </c>
      <c r="J301" s="232">
        <f>J302+J319</f>
        <v>5902.23</v>
      </c>
      <c r="K301" s="285">
        <f>K302+K319</f>
        <v>0</v>
      </c>
      <c r="L301" s="222">
        <f>L302+L319</f>
        <v>475644.57999999996</v>
      </c>
      <c r="M301" s="105">
        <f t="shared" si="90"/>
        <v>0</v>
      </c>
      <c r="N301" s="105">
        <f t="shared" si="90"/>
        <v>0</v>
      </c>
      <c r="O301" s="105">
        <f t="shared" si="90"/>
        <v>474643.44999999995</v>
      </c>
      <c r="P301" s="105">
        <f t="shared" si="90"/>
        <v>0</v>
      </c>
      <c r="Q301" s="159">
        <f t="shared" si="90"/>
        <v>474643.44999999995</v>
      </c>
    </row>
    <row r="302" spans="1:17" ht="12.75">
      <c r="A302" s="38" t="s">
        <v>49</v>
      </c>
      <c r="B302" s="95"/>
      <c r="C302" s="113">
        <f aca="true" t="shared" si="91" ref="C302:Q302">SUM(C304:C318)</f>
        <v>480289.64</v>
      </c>
      <c r="D302" s="114">
        <f t="shared" si="91"/>
        <v>-11549.519999999997</v>
      </c>
      <c r="E302" s="114">
        <f t="shared" si="91"/>
        <v>0</v>
      </c>
      <c r="F302" s="209">
        <f t="shared" si="91"/>
        <v>468740.12</v>
      </c>
      <c r="G302" s="233">
        <f t="shared" si="91"/>
        <v>1002.23</v>
      </c>
      <c r="H302" s="251">
        <f t="shared" si="91"/>
        <v>0</v>
      </c>
      <c r="I302" s="229">
        <f t="shared" si="91"/>
        <v>469742.35</v>
      </c>
      <c r="J302" s="233">
        <f>SUM(J304:J318)</f>
        <v>5902.23</v>
      </c>
      <c r="K302" s="290">
        <f>SUM(K304:K318)</f>
        <v>0</v>
      </c>
      <c r="L302" s="229">
        <f>SUM(L304:L318)</f>
        <v>475644.57999999996</v>
      </c>
      <c r="M302" s="113">
        <f t="shared" si="91"/>
        <v>0</v>
      </c>
      <c r="N302" s="113">
        <f t="shared" si="91"/>
        <v>0</v>
      </c>
      <c r="O302" s="113">
        <f t="shared" si="91"/>
        <v>474643.44999999995</v>
      </c>
      <c r="P302" s="113">
        <f t="shared" si="91"/>
        <v>0</v>
      </c>
      <c r="Q302" s="164">
        <f t="shared" si="91"/>
        <v>474643.44999999995</v>
      </c>
    </row>
    <row r="303" spans="1:17" ht="12.75">
      <c r="A303" s="34" t="s">
        <v>26</v>
      </c>
      <c r="B303" s="91"/>
      <c r="C303" s="108"/>
      <c r="D303" s="107"/>
      <c r="E303" s="107"/>
      <c r="F303" s="206"/>
      <c r="G303" s="236"/>
      <c r="H303" s="224"/>
      <c r="I303" s="223"/>
      <c r="J303" s="236"/>
      <c r="K303" s="286"/>
      <c r="L303" s="223"/>
      <c r="M303" s="20"/>
      <c r="N303" s="7"/>
      <c r="O303" s="21"/>
      <c r="P303" s="74"/>
      <c r="Q303" s="72"/>
    </row>
    <row r="304" spans="1:17" ht="12.75">
      <c r="A304" s="41" t="s">
        <v>127</v>
      </c>
      <c r="B304" s="91"/>
      <c r="C304" s="108">
        <v>261770.61</v>
      </c>
      <c r="D304" s="118">
        <f>4123.76</f>
        <v>4123.76</v>
      </c>
      <c r="E304" s="107"/>
      <c r="F304" s="206">
        <f aca="true" t="shared" si="92" ref="F304:F318">C304+D304+E304</f>
        <v>265894.37</v>
      </c>
      <c r="G304" s="236"/>
      <c r="H304" s="224"/>
      <c r="I304" s="223">
        <f>F304+G304+H304</f>
        <v>265894.37</v>
      </c>
      <c r="J304" s="269">
        <f>2500+852.71</f>
        <v>3352.71</v>
      </c>
      <c r="K304" s="286"/>
      <c r="L304" s="223">
        <f>I304+J304+K304</f>
        <v>269247.08</v>
      </c>
      <c r="M304" s="20"/>
      <c r="N304" s="7"/>
      <c r="O304" s="21">
        <f>L304+M304+N304</f>
        <v>269247.08</v>
      </c>
      <c r="P304" s="74"/>
      <c r="Q304" s="72">
        <f aca="true" t="shared" si="93" ref="Q304:Q311">O304+P304</f>
        <v>269247.08</v>
      </c>
    </row>
    <row r="305" spans="1:17" ht="12.75">
      <c r="A305" s="32" t="s">
        <v>50</v>
      </c>
      <c r="B305" s="91"/>
      <c r="C305" s="108">
        <v>88209.38</v>
      </c>
      <c r="D305" s="107">
        <f>1376.93</f>
        <v>1376.93</v>
      </c>
      <c r="E305" s="107"/>
      <c r="F305" s="206">
        <f t="shared" si="92"/>
        <v>89586.31</v>
      </c>
      <c r="G305" s="236"/>
      <c r="H305" s="224"/>
      <c r="I305" s="223">
        <f aca="true" t="shared" si="94" ref="I305:I315">F305+G305+H305</f>
        <v>89586.31</v>
      </c>
      <c r="J305" s="236">
        <f>1147.29</f>
        <v>1147.29</v>
      </c>
      <c r="K305" s="286"/>
      <c r="L305" s="223">
        <f aca="true" t="shared" si="95" ref="L305:L312">I305+J305+K305</f>
        <v>90733.59999999999</v>
      </c>
      <c r="M305" s="20"/>
      <c r="N305" s="7"/>
      <c r="O305" s="21">
        <f aca="true" t="shared" si="96" ref="O305:O311">L305+M305+N305</f>
        <v>90733.59999999999</v>
      </c>
      <c r="P305" s="74"/>
      <c r="Q305" s="72">
        <f t="shared" si="93"/>
        <v>90733.59999999999</v>
      </c>
    </row>
    <row r="306" spans="1:17" ht="12.75">
      <c r="A306" s="32" t="s">
        <v>229</v>
      </c>
      <c r="B306" s="91"/>
      <c r="C306" s="108">
        <v>196</v>
      </c>
      <c r="D306" s="107"/>
      <c r="E306" s="107"/>
      <c r="F306" s="206">
        <f t="shared" si="92"/>
        <v>196</v>
      </c>
      <c r="G306" s="236"/>
      <c r="H306" s="224"/>
      <c r="I306" s="223">
        <f t="shared" si="94"/>
        <v>196</v>
      </c>
      <c r="J306" s="236"/>
      <c r="K306" s="286"/>
      <c r="L306" s="223">
        <f t="shared" si="95"/>
        <v>196</v>
      </c>
      <c r="M306" s="20"/>
      <c r="N306" s="7"/>
      <c r="O306" s="21">
        <f t="shared" si="96"/>
        <v>196</v>
      </c>
      <c r="P306" s="74"/>
      <c r="Q306" s="72">
        <f t="shared" si="93"/>
        <v>196</v>
      </c>
    </row>
    <row r="307" spans="1:17" ht="12.75">
      <c r="A307" s="32" t="s">
        <v>51</v>
      </c>
      <c r="B307" s="91"/>
      <c r="C307" s="108">
        <v>67230.25</v>
      </c>
      <c r="D307" s="129">
        <f>-25455+140.83+2250+555</f>
        <v>-22509.17</v>
      </c>
      <c r="E307" s="107"/>
      <c r="F307" s="206">
        <f t="shared" si="92"/>
        <v>44721.08</v>
      </c>
      <c r="G307" s="236">
        <f>1.1</f>
        <v>1.1</v>
      </c>
      <c r="H307" s="224"/>
      <c r="I307" s="223">
        <f t="shared" si="94"/>
        <v>44722.18</v>
      </c>
      <c r="J307" s="236">
        <f>2902.23-2000</f>
        <v>902.23</v>
      </c>
      <c r="K307" s="286"/>
      <c r="L307" s="223">
        <f t="shared" si="95"/>
        <v>45624.41</v>
      </c>
      <c r="M307" s="20"/>
      <c r="N307" s="7"/>
      <c r="O307" s="21">
        <f t="shared" si="96"/>
        <v>45624.41</v>
      </c>
      <c r="P307" s="74"/>
      <c r="Q307" s="72">
        <f t="shared" si="93"/>
        <v>45624.41</v>
      </c>
    </row>
    <row r="308" spans="1:17" ht="12.75">
      <c r="A308" s="32" t="s">
        <v>55</v>
      </c>
      <c r="B308" s="91">
        <v>1115</v>
      </c>
      <c r="C308" s="108">
        <v>343</v>
      </c>
      <c r="D308" s="107">
        <f>188.96</f>
        <v>188.96</v>
      </c>
      <c r="E308" s="107"/>
      <c r="F308" s="206">
        <f t="shared" si="92"/>
        <v>531.96</v>
      </c>
      <c r="G308" s="236"/>
      <c r="H308" s="224"/>
      <c r="I308" s="223">
        <f t="shared" si="94"/>
        <v>531.96</v>
      </c>
      <c r="J308" s="236"/>
      <c r="K308" s="286"/>
      <c r="L308" s="223">
        <f t="shared" si="95"/>
        <v>531.96</v>
      </c>
      <c r="M308" s="20"/>
      <c r="N308" s="7"/>
      <c r="O308" s="21">
        <f t="shared" si="96"/>
        <v>531.96</v>
      </c>
      <c r="P308" s="74"/>
      <c r="Q308" s="72">
        <f t="shared" si="93"/>
        <v>531.96</v>
      </c>
    </row>
    <row r="309" spans="1:17" ht="12.75" hidden="1">
      <c r="A309" s="32" t="s">
        <v>56</v>
      </c>
      <c r="B309" s="91"/>
      <c r="C309" s="108"/>
      <c r="D309" s="107"/>
      <c r="E309" s="107"/>
      <c r="F309" s="206">
        <f t="shared" si="92"/>
        <v>0</v>
      </c>
      <c r="G309" s="236"/>
      <c r="H309" s="224"/>
      <c r="I309" s="223">
        <f t="shared" si="94"/>
        <v>0</v>
      </c>
      <c r="J309" s="236"/>
      <c r="K309" s="286"/>
      <c r="L309" s="223">
        <f t="shared" si="95"/>
        <v>0</v>
      </c>
      <c r="M309" s="20"/>
      <c r="N309" s="7"/>
      <c r="O309" s="21">
        <f t="shared" si="96"/>
        <v>0</v>
      </c>
      <c r="P309" s="74"/>
      <c r="Q309" s="72">
        <f t="shared" si="93"/>
        <v>0</v>
      </c>
    </row>
    <row r="310" spans="1:17" ht="12.75">
      <c r="A310" s="32" t="s">
        <v>57</v>
      </c>
      <c r="B310" s="91">
        <v>51</v>
      </c>
      <c r="C310" s="108">
        <v>62540.4</v>
      </c>
      <c r="D310" s="107">
        <f>5270</f>
        <v>5270</v>
      </c>
      <c r="E310" s="107"/>
      <c r="F310" s="206">
        <f t="shared" si="92"/>
        <v>67810.4</v>
      </c>
      <c r="G310" s="236"/>
      <c r="H310" s="224"/>
      <c r="I310" s="223">
        <f t="shared" si="94"/>
        <v>67810.4</v>
      </c>
      <c r="J310" s="236"/>
      <c r="K310" s="286"/>
      <c r="L310" s="223">
        <f t="shared" si="95"/>
        <v>67810.4</v>
      </c>
      <c r="M310" s="20"/>
      <c r="N310" s="7"/>
      <c r="O310" s="21">
        <f t="shared" si="96"/>
        <v>67810.4</v>
      </c>
      <c r="P310" s="74"/>
      <c r="Q310" s="72">
        <f t="shared" si="93"/>
        <v>67810.4</v>
      </c>
    </row>
    <row r="311" spans="1:17" ht="12.75" hidden="1">
      <c r="A311" s="32" t="s">
        <v>75</v>
      </c>
      <c r="B311" s="91"/>
      <c r="C311" s="108"/>
      <c r="D311" s="107"/>
      <c r="E311" s="107"/>
      <c r="F311" s="206">
        <f t="shared" si="92"/>
        <v>0</v>
      </c>
      <c r="G311" s="236"/>
      <c r="H311" s="224"/>
      <c r="I311" s="223">
        <f t="shared" si="94"/>
        <v>0</v>
      </c>
      <c r="J311" s="236"/>
      <c r="K311" s="286"/>
      <c r="L311" s="223">
        <f t="shared" si="95"/>
        <v>0</v>
      </c>
      <c r="M311" s="20"/>
      <c r="N311" s="7"/>
      <c r="O311" s="21">
        <f t="shared" si="96"/>
        <v>0</v>
      </c>
      <c r="P311" s="74"/>
      <c r="Q311" s="72">
        <f t="shared" si="93"/>
        <v>0</v>
      </c>
    </row>
    <row r="312" spans="1:17" ht="12.75">
      <c r="A312" s="32" t="s">
        <v>339</v>
      </c>
      <c r="B312" s="91">
        <v>13015</v>
      </c>
      <c r="C312" s="108"/>
      <c r="D312" s="107"/>
      <c r="E312" s="107"/>
      <c r="F312" s="206">
        <f t="shared" si="92"/>
        <v>0</v>
      </c>
      <c r="G312" s="236">
        <f>1001.13</f>
        <v>1001.13</v>
      </c>
      <c r="H312" s="224"/>
      <c r="I312" s="223">
        <f t="shared" si="94"/>
        <v>1001.13</v>
      </c>
      <c r="J312" s="236"/>
      <c r="K312" s="286"/>
      <c r="L312" s="223">
        <f t="shared" si="95"/>
        <v>1001.13</v>
      </c>
      <c r="M312" s="20"/>
      <c r="N312" s="7"/>
      <c r="O312" s="21"/>
      <c r="P312" s="74"/>
      <c r="Q312" s="72"/>
    </row>
    <row r="313" spans="1:17" ht="12.75" hidden="1">
      <c r="A313" s="32" t="s">
        <v>58</v>
      </c>
      <c r="B313" s="91"/>
      <c r="C313" s="108"/>
      <c r="D313" s="107"/>
      <c r="E313" s="107"/>
      <c r="F313" s="206">
        <f t="shared" si="92"/>
        <v>0</v>
      </c>
      <c r="G313" s="236"/>
      <c r="H313" s="224"/>
      <c r="I313" s="223">
        <f t="shared" si="94"/>
        <v>0</v>
      </c>
      <c r="J313" s="236"/>
      <c r="K313" s="286"/>
      <c r="L313" s="223">
        <f aca="true" t="shared" si="97" ref="L313:L318">I313+J313+K313</f>
        <v>0</v>
      </c>
      <c r="M313" s="20"/>
      <c r="N313" s="7"/>
      <c r="O313" s="21">
        <f>L313+M313+N313</f>
        <v>0</v>
      </c>
      <c r="P313" s="74"/>
      <c r="Q313" s="72">
        <f>O313+P313</f>
        <v>0</v>
      </c>
    </row>
    <row r="314" spans="1:17" ht="12.75" hidden="1">
      <c r="A314" s="32" t="s">
        <v>237</v>
      </c>
      <c r="B314" s="91">
        <v>98008</v>
      </c>
      <c r="C314" s="108"/>
      <c r="D314" s="107"/>
      <c r="E314" s="107"/>
      <c r="F314" s="206">
        <f t="shared" si="92"/>
        <v>0</v>
      </c>
      <c r="G314" s="236"/>
      <c r="H314" s="224"/>
      <c r="I314" s="223">
        <f t="shared" si="94"/>
        <v>0</v>
      </c>
      <c r="J314" s="236"/>
      <c r="K314" s="286"/>
      <c r="L314" s="223">
        <f t="shared" si="97"/>
        <v>0</v>
      </c>
      <c r="M314" s="20"/>
      <c r="N314" s="7"/>
      <c r="O314" s="21"/>
      <c r="P314" s="74"/>
      <c r="Q314" s="72"/>
    </row>
    <row r="315" spans="1:17" ht="12.75" hidden="1">
      <c r="A315" s="32" t="s">
        <v>238</v>
      </c>
      <c r="B315" s="91">
        <v>98071</v>
      </c>
      <c r="C315" s="108"/>
      <c r="D315" s="107"/>
      <c r="E315" s="107"/>
      <c r="F315" s="206">
        <f t="shared" si="92"/>
        <v>0</v>
      </c>
      <c r="G315" s="236"/>
      <c r="H315" s="224"/>
      <c r="I315" s="223">
        <f t="shared" si="94"/>
        <v>0</v>
      </c>
      <c r="J315" s="236"/>
      <c r="K315" s="286"/>
      <c r="L315" s="223">
        <f t="shared" si="97"/>
        <v>0</v>
      </c>
      <c r="M315" s="20"/>
      <c r="N315" s="7"/>
      <c r="O315" s="21"/>
      <c r="P315" s="74"/>
      <c r="Q315" s="72"/>
    </row>
    <row r="316" spans="1:17" ht="12.75" hidden="1">
      <c r="A316" s="32" t="s">
        <v>59</v>
      </c>
      <c r="B316" s="91">
        <v>98074</v>
      </c>
      <c r="C316" s="108"/>
      <c r="D316" s="107"/>
      <c r="E316" s="107"/>
      <c r="F316" s="185">
        <f t="shared" si="92"/>
        <v>0</v>
      </c>
      <c r="G316" s="236"/>
      <c r="H316" s="224"/>
      <c r="I316" s="223">
        <f>F316+G316+H316</f>
        <v>0</v>
      </c>
      <c r="J316" s="236"/>
      <c r="K316" s="286"/>
      <c r="L316" s="223">
        <f t="shared" si="97"/>
        <v>0</v>
      </c>
      <c r="M316" s="20"/>
      <c r="N316" s="7"/>
      <c r="O316" s="21">
        <f>L316+M316+N316</f>
        <v>0</v>
      </c>
      <c r="P316" s="74"/>
      <c r="Q316" s="72">
        <f>O316+P316</f>
        <v>0</v>
      </c>
    </row>
    <row r="317" spans="1:17" ht="12.75" hidden="1">
      <c r="A317" s="32" t="s">
        <v>60</v>
      </c>
      <c r="B317" s="91"/>
      <c r="C317" s="108"/>
      <c r="D317" s="107"/>
      <c r="E317" s="107"/>
      <c r="F317" s="206">
        <f t="shared" si="92"/>
        <v>0</v>
      </c>
      <c r="G317" s="236"/>
      <c r="H317" s="224"/>
      <c r="I317" s="223">
        <f>F317+G317+H317</f>
        <v>0</v>
      </c>
      <c r="J317" s="236"/>
      <c r="K317" s="286"/>
      <c r="L317" s="223">
        <f t="shared" si="97"/>
        <v>0</v>
      </c>
      <c r="M317" s="20"/>
      <c r="N317" s="7"/>
      <c r="O317" s="21">
        <f>L317+M317+N317</f>
        <v>0</v>
      </c>
      <c r="P317" s="74"/>
      <c r="Q317" s="72">
        <f>O317+P317</f>
        <v>0</v>
      </c>
    </row>
    <row r="318" spans="1:17" ht="12.75">
      <c r="A318" s="35" t="s">
        <v>61</v>
      </c>
      <c r="B318" s="94">
        <v>4001</v>
      </c>
      <c r="C318" s="186"/>
      <c r="D318" s="115"/>
      <c r="E318" s="115"/>
      <c r="F318" s="211">
        <f t="shared" si="92"/>
        <v>0</v>
      </c>
      <c r="G318" s="235"/>
      <c r="H318" s="253"/>
      <c r="I318" s="231">
        <f>F318+G318+H318</f>
        <v>0</v>
      </c>
      <c r="J318" s="235">
        <f>500</f>
        <v>500</v>
      </c>
      <c r="K318" s="289"/>
      <c r="L318" s="231">
        <f t="shared" si="97"/>
        <v>500</v>
      </c>
      <c r="M318" s="20"/>
      <c r="N318" s="7"/>
      <c r="O318" s="21">
        <f>L318+M318+N318</f>
        <v>500</v>
      </c>
      <c r="P318" s="74"/>
      <c r="Q318" s="72">
        <f>O318+P318</f>
        <v>500</v>
      </c>
    </row>
    <row r="319" spans="1:17" ht="12.75" hidden="1">
      <c r="A319" s="38" t="s">
        <v>53</v>
      </c>
      <c r="B319" s="95"/>
      <c r="C319" s="113">
        <f>C322+C321</f>
        <v>0</v>
      </c>
      <c r="D319" s="114">
        <f aca="true" t="shared" si="98" ref="D319:Q319">D322+D321</f>
        <v>0</v>
      </c>
      <c r="E319" s="114">
        <f t="shared" si="98"/>
        <v>0</v>
      </c>
      <c r="F319" s="209">
        <f t="shared" si="98"/>
        <v>0</v>
      </c>
      <c r="G319" s="233">
        <f t="shared" si="98"/>
        <v>0</v>
      </c>
      <c r="H319" s="251">
        <f t="shared" si="98"/>
        <v>0</v>
      </c>
      <c r="I319" s="229">
        <f t="shared" si="98"/>
        <v>0</v>
      </c>
      <c r="J319" s="233">
        <f t="shared" si="98"/>
        <v>0</v>
      </c>
      <c r="K319" s="290">
        <f t="shared" si="98"/>
        <v>0</v>
      </c>
      <c r="L319" s="229">
        <f t="shared" si="98"/>
        <v>0</v>
      </c>
      <c r="M319" s="113">
        <f t="shared" si="98"/>
        <v>0</v>
      </c>
      <c r="N319" s="113">
        <f t="shared" si="98"/>
        <v>0</v>
      </c>
      <c r="O319" s="113">
        <f t="shared" si="98"/>
        <v>0</v>
      </c>
      <c r="P319" s="113">
        <f t="shared" si="98"/>
        <v>0</v>
      </c>
      <c r="Q319" s="164">
        <f t="shared" si="98"/>
        <v>0</v>
      </c>
    </row>
    <row r="320" spans="1:17" ht="12.75" hidden="1">
      <c r="A320" s="34" t="s">
        <v>26</v>
      </c>
      <c r="B320" s="91"/>
      <c r="C320" s="108"/>
      <c r="D320" s="107"/>
      <c r="E320" s="107"/>
      <c r="F320" s="205"/>
      <c r="G320" s="236"/>
      <c r="H320" s="224"/>
      <c r="I320" s="222"/>
      <c r="J320" s="236"/>
      <c r="K320" s="286"/>
      <c r="L320" s="222"/>
      <c r="M320" s="20"/>
      <c r="N320" s="7"/>
      <c r="O320" s="19"/>
      <c r="P320" s="74"/>
      <c r="Q320" s="72"/>
    </row>
    <row r="321" spans="1:17" ht="12.75" hidden="1">
      <c r="A321" s="31" t="s">
        <v>54</v>
      </c>
      <c r="B321" s="91"/>
      <c r="C321" s="108"/>
      <c r="D321" s="107"/>
      <c r="E321" s="107"/>
      <c r="F321" s="206">
        <f>C321+D321+E321</f>
        <v>0</v>
      </c>
      <c r="G321" s="236"/>
      <c r="H321" s="224"/>
      <c r="I321" s="223">
        <f>F321+G321+H321</f>
        <v>0</v>
      </c>
      <c r="J321" s="236"/>
      <c r="K321" s="286"/>
      <c r="L321" s="223">
        <f>I321+J321+K321</f>
        <v>0</v>
      </c>
      <c r="M321" s="20"/>
      <c r="N321" s="7"/>
      <c r="O321" s="21">
        <f>L321+M321+N321</f>
        <v>0</v>
      </c>
      <c r="P321" s="74"/>
      <c r="Q321" s="72">
        <f>O321+P321</f>
        <v>0</v>
      </c>
    </row>
    <row r="322" spans="1:17" ht="12.75" hidden="1">
      <c r="A322" s="35" t="s">
        <v>76</v>
      </c>
      <c r="B322" s="94"/>
      <c r="C322" s="186"/>
      <c r="D322" s="115"/>
      <c r="E322" s="115"/>
      <c r="F322" s="211">
        <f>C322+D322+E322</f>
        <v>0</v>
      </c>
      <c r="G322" s="235"/>
      <c r="H322" s="253"/>
      <c r="I322" s="231">
        <f>F322+G322+H322</f>
        <v>0</v>
      </c>
      <c r="J322" s="235"/>
      <c r="K322" s="289"/>
      <c r="L322" s="231">
        <f>I322+J322+K322</f>
        <v>0</v>
      </c>
      <c r="M322" s="24"/>
      <c r="N322" s="9"/>
      <c r="O322" s="25">
        <f>L322+M322+N322</f>
        <v>0</v>
      </c>
      <c r="P322" s="77"/>
      <c r="Q322" s="78">
        <f>O322+P322</f>
        <v>0</v>
      </c>
    </row>
    <row r="323" spans="1:17" ht="12.75">
      <c r="A323" s="44" t="s">
        <v>153</v>
      </c>
      <c r="B323" s="96"/>
      <c r="C323" s="105">
        <f aca="true" t="shared" si="99" ref="C323:Q323">C324+C350</f>
        <v>561310.2</v>
      </c>
      <c r="D323" s="106">
        <f t="shared" si="99"/>
        <v>1522805.8199999996</v>
      </c>
      <c r="E323" s="106">
        <f t="shared" si="99"/>
        <v>29719.719999999998</v>
      </c>
      <c r="F323" s="205">
        <f t="shared" si="99"/>
        <v>2113835.74</v>
      </c>
      <c r="G323" s="232">
        <f t="shared" si="99"/>
        <v>610719.65</v>
      </c>
      <c r="H323" s="248">
        <f t="shared" si="99"/>
        <v>8691.2</v>
      </c>
      <c r="I323" s="222">
        <f t="shared" si="99"/>
        <v>2733246.59</v>
      </c>
      <c r="J323" s="232">
        <f>J324+J350</f>
        <v>28344.03000000001</v>
      </c>
      <c r="K323" s="285">
        <f>K324+K350</f>
        <v>0</v>
      </c>
      <c r="L323" s="222">
        <f>L324+L350</f>
        <v>2761590.62</v>
      </c>
      <c r="M323" s="105">
        <f t="shared" si="99"/>
        <v>0</v>
      </c>
      <c r="N323" s="105">
        <f t="shared" si="99"/>
        <v>0</v>
      </c>
      <c r="O323" s="105">
        <f t="shared" si="99"/>
        <v>0</v>
      </c>
      <c r="P323" s="105">
        <f t="shared" si="99"/>
        <v>0</v>
      </c>
      <c r="Q323" s="159">
        <f t="shared" si="99"/>
        <v>0</v>
      </c>
    </row>
    <row r="324" spans="1:17" ht="12.75">
      <c r="A324" s="38" t="s">
        <v>49</v>
      </c>
      <c r="B324" s="95"/>
      <c r="C324" s="113">
        <f aca="true" t="shared" si="100" ref="C324:Q324">SUM(C326:C338)</f>
        <v>78611.45</v>
      </c>
      <c r="D324" s="114">
        <f t="shared" si="100"/>
        <v>69516.63999999998</v>
      </c>
      <c r="E324" s="114">
        <f t="shared" si="100"/>
        <v>32.67</v>
      </c>
      <c r="F324" s="209">
        <f t="shared" si="100"/>
        <v>148160.76</v>
      </c>
      <c r="G324" s="233">
        <f t="shared" si="100"/>
        <v>2366.3</v>
      </c>
      <c r="H324" s="251">
        <f t="shared" si="100"/>
        <v>4682.41</v>
      </c>
      <c r="I324" s="229">
        <f t="shared" si="100"/>
        <v>155209.46999999997</v>
      </c>
      <c r="J324" s="233">
        <f>SUM(J326:J338)</f>
        <v>-4444.660000000001</v>
      </c>
      <c r="K324" s="290">
        <f>SUM(K326:K338)</f>
        <v>0</v>
      </c>
      <c r="L324" s="229">
        <f>SUM(L326:L338)</f>
        <v>150764.81</v>
      </c>
      <c r="M324" s="113">
        <f t="shared" si="100"/>
        <v>0</v>
      </c>
      <c r="N324" s="113">
        <f t="shared" si="100"/>
        <v>0</v>
      </c>
      <c r="O324" s="113">
        <f t="shared" si="100"/>
        <v>0</v>
      </c>
      <c r="P324" s="113">
        <f t="shared" si="100"/>
        <v>0</v>
      </c>
      <c r="Q324" s="164">
        <f t="shared" si="100"/>
        <v>0</v>
      </c>
    </row>
    <row r="325" spans="1:17" ht="12.75">
      <c r="A325" s="34" t="s">
        <v>26</v>
      </c>
      <c r="B325" s="91"/>
      <c r="C325" s="113"/>
      <c r="D325" s="123"/>
      <c r="E325" s="123"/>
      <c r="F325" s="209"/>
      <c r="G325" s="236"/>
      <c r="H325" s="224"/>
      <c r="I325" s="223"/>
      <c r="J325" s="236"/>
      <c r="K325" s="286"/>
      <c r="L325" s="223"/>
      <c r="M325" s="28"/>
      <c r="N325" s="7"/>
      <c r="O325" s="21"/>
      <c r="P325" s="74"/>
      <c r="Q325" s="72"/>
    </row>
    <row r="326" spans="1:17" ht="12.75">
      <c r="A326" s="36" t="s">
        <v>51</v>
      </c>
      <c r="B326" s="91"/>
      <c r="C326" s="108">
        <v>6512.95</v>
      </c>
      <c r="D326" s="118">
        <f>2000+6655.15</f>
        <v>8655.15</v>
      </c>
      <c r="E326" s="118"/>
      <c r="F326" s="206">
        <f aca="true" t="shared" si="101" ref="F326:F349">C326+D326+E326</f>
        <v>15168.099999999999</v>
      </c>
      <c r="G326" s="236">
        <f>200</f>
        <v>200</v>
      </c>
      <c r="H326" s="224"/>
      <c r="I326" s="223">
        <f aca="true" t="shared" si="102" ref="I326:I337">F326+G326+H326</f>
        <v>15368.099999999999</v>
      </c>
      <c r="J326" s="236">
        <f>-1000</f>
        <v>-1000</v>
      </c>
      <c r="K326" s="286"/>
      <c r="L326" s="223">
        <f aca="true" t="shared" si="103" ref="L326:L348">I326+J326+K326</f>
        <v>14368.099999999999</v>
      </c>
      <c r="M326" s="28"/>
      <c r="N326" s="7"/>
      <c r="O326" s="21"/>
      <c r="P326" s="74"/>
      <c r="Q326" s="72"/>
    </row>
    <row r="327" spans="1:17" ht="12.75">
      <c r="A327" s="36" t="s">
        <v>159</v>
      </c>
      <c r="B327" s="91">
        <v>1080</v>
      </c>
      <c r="C327" s="108"/>
      <c r="D327" s="118">
        <f>1246.76</f>
        <v>1246.76</v>
      </c>
      <c r="E327" s="118"/>
      <c r="F327" s="206">
        <f t="shared" si="101"/>
        <v>1246.76</v>
      </c>
      <c r="G327" s="236"/>
      <c r="H327" s="224"/>
      <c r="I327" s="223">
        <f t="shared" si="102"/>
        <v>1246.76</v>
      </c>
      <c r="J327" s="236"/>
      <c r="K327" s="286"/>
      <c r="L327" s="223">
        <f t="shared" si="103"/>
        <v>1246.76</v>
      </c>
      <c r="M327" s="28"/>
      <c r="N327" s="7"/>
      <c r="O327" s="21"/>
      <c r="P327" s="74"/>
      <c r="Q327" s="72"/>
    </row>
    <row r="328" spans="1:17" ht="12.75">
      <c r="A328" s="36" t="s">
        <v>160</v>
      </c>
      <c r="B328" s="155">
        <v>1081.1202</v>
      </c>
      <c r="C328" s="108">
        <v>1490</v>
      </c>
      <c r="D328" s="118">
        <f>228.14</f>
        <v>228.14</v>
      </c>
      <c r="E328" s="118"/>
      <c r="F328" s="206">
        <f t="shared" si="101"/>
        <v>1718.1399999999999</v>
      </c>
      <c r="G328" s="236"/>
      <c r="H328" s="224"/>
      <c r="I328" s="223">
        <f t="shared" si="102"/>
        <v>1718.1399999999999</v>
      </c>
      <c r="J328" s="236"/>
      <c r="K328" s="286"/>
      <c r="L328" s="223">
        <f t="shared" si="103"/>
        <v>1718.1399999999999</v>
      </c>
      <c r="M328" s="28"/>
      <c r="N328" s="7"/>
      <c r="O328" s="21"/>
      <c r="P328" s="74"/>
      <c r="Q328" s="72"/>
    </row>
    <row r="329" spans="1:17" ht="12.75" hidden="1">
      <c r="A329" s="92" t="s">
        <v>79</v>
      </c>
      <c r="B329" s="91"/>
      <c r="C329" s="108"/>
      <c r="D329" s="118"/>
      <c r="E329" s="118"/>
      <c r="F329" s="206">
        <f t="shared" si="101"/>
        <v>0</v>
      </c>
      <c r="G329" s="236"/>
      <c r="H329" s="224"/>
      <c r="I329" s="223">
        <f t="shared" si="102"/>
        <v>0</v>
      </c>
      <c r="J329" s="236"/>
      <c r="K329" s="286"/>
      <c r="L329" s="223">
        <f t="shared" si="103"/>
        <v>0</v>
      </c>
      <c r="M329" s="28"/>
      <c r="N329" s="7"/>
      <c r="O329" s="21"/>
      <c r="P329" s="74"/>
      <c r="Q329" s="72"/>
    </row>
    <row r="330" spans="1:17" ht="12.75">
      <c r="A330" s="32" t="s">
        <v>166</v>
      </c>
      <c r="B330" s="91"/>
      <c r="C330" s="108">
        <v>43593.34</v>
      </c>
      <c r="D330" s="118">
        <f>6000</f>
        <v>6000</v>
      </c>
      <c r="E330" s="118"/>
      <c r="F330" s="206">
        <f t="shared" si="101"/>
        <v>49593.34</v>
      </c>
      <c r="G330" s="236"/>
      <c r="H330" s="224"/>
      <c r="I330" s="223">
        <f t="shared" si="102"/>
        <v>49593.34</v>
      </c>
      <c r="J330" s="236"/>
      <c r="K330" s="286"/>
      <c r="L330" s="223">
        <f t="shared" si="103"/>
        <v>49593.34</v>
      </c>
      <c r="M330" s="28"/>
      <c r="N330" s="7"/>
      <c r="O330" s="21"/>
      <c r="P330" s="74"/>
      <c r="Q330" s="72"/>
    </row>
    <row r="331" spans="1:17" ht="12.75">
      <c r="A331" s="36" t="s">
        <v>214</v>
      </c>
      <c r="B331" s="91"/>
      <c r="C331" s="108"/>
      <c r="D331" s="118">
        <f>15406.15</f>
        <v>15406.15</v>
      </c>
      <c r="E331" s="118"/>
      <c r="F331" s="206">
        <f t="shared" si="101"/>
        <v>15406.15</v>
      </c>
      <c r="G331" s="236">
        <f>100</f>
        <v>100</v>
      </c>
      <c r="H331" s="224"/>
      <c r="I331" s="223">
        <f t="shared" si="102"/>
        <v>15506.15</v>
      </c>
      <c r="J331" s="236">
        <f>-4000</f>
        <v>-4000</v>
      </c>
      <c r="K331" s="286"/>
      <c r="L331" s="223">
        <f t="shared" si="103"/>
        <v>11506.15</v>
      </c>
      <c r="M331" s="28"/>
      <c r="N331" s="7"/>
      <c r="O331" s="21"/>
      <c r="P331" s="74"/>
      <c r="Q331" s="72"/>
    </row>
    <row r="332" spans="1:17" ht="12.75">
      <c r="A332" s="32" t="s">
        <v>182</v>
      </c>
      <c r="B332" s="140">
        <v>212163</v>
      </c>
      <c r="C332" s="108"/>
      <c r="D332" s="118">
        <f>486.94</f>
        <v>486.94</v>
      </c>
      <c r="E332" s="118"/>
      <c r="F332" s="206">
        <f t="shared" si="101"/>
        <v>486.94</v>
      </c>
      <c r="G332" s="236">
        <f>150</f>
        <v>150</v>
      </c>
      <c r="H332" s="224"/>
      <c r="I332" s="223">
        <f t="shared" si="102"/>
        <v>636.94</v>
      </c>
      <c r="J332" s="236"/>
      <c r="K332" s="286"/>
      <c r="L332" s="223">
        <f t="shared" si="103"/>
        <v>636.94</v>
      </c>
      <c r="M332" s="28"/>
      <c r="N332" s="7"/>
      <c r="O332" s="21"/>
      <c r="P332" s="74"/>
      <c r="Q332" s="72"/>
    </row>
    <row r="333" spans="1:17" ht="12.75" hidden="1">
      <c r="A333" s="36" t="s">
        <v>156</v>
      </c>
      <c r="B333" s="140">
        <v>212162</v>
      </c>
      <c r="C333" s="108"/>
      <c r="D333" s="118"/>
      <c r="E333" s="118"/>
      <c r="F333" s="206">
        <f t="shared" si="101"/>
        <v>0</v>
      </c>
      <c r="G333" s="236"/>
      <c r="H333" s="224"/>
      <c r="I333" s="223">
        <f t="shared" si="102"/>
        <v>0</v>
      </c>
      <c r="J333" s="236"/>
      <c r="K333" s="286"/>
      <c r="L333" s="223">
        <f t="shared" si="103"/>
        <v>0</v>
      </c>
      <c r="M333" s="28"/>
      <c r="N333" s="7"/>
      <c r="O333" s="21"/>
      <c r="P333" s="74"/>
      <c r="Q333" s="72"/>
    </row>
    <row r="334" spans="1:17" ht="12.75">
      <c r="A334" s="36" t="s">
        <v>281</v>
      </c>
      <c r="B334" s="140"/>
      <c r="C334" s="108"/>
      <c r="D334" s="118"/>
      <c r="E334" s="118"/>
      <c r="F334" s="206">
        <f t="shared" si="101"/>
        <v>0</v>
      </c>
      <c r="G334" s="236">
        <f>1151.87</f>
        <v>1151.87</v>
      </c>
      <c r="H334" s="224"/>
      <c r="I334" s="223">
        <f t="shared" si="102"/>
        <v>1151.87</v>
      </c>
      <c r="J334" s="236"/>
      <c r="K334" s="286"/>
      <c r="L334" s="223">
        <f t="shared" si="103"/>
        <v>1151.87</v>
      </c>
      <c r="M334" s="153"/>
      <c r="N334" s="80"/>
      <c r="O334" s="80"/>
      <c r="P334" s="175"/>
      <c r="Q334" s="72"/>
    </row>
    <row r="335" spans="1:17" ht="12.75">
      <c r="A335" s="53" t="s">
        <v>322</v>
      </c>
      <c r="B335" s="140"/>
      <c r="C335" s="108"/>
      <c r="D335" s="118">
        <f>2533.61+298.07</f>
        <v>2831.6800000000003</v>
      </c>
      <c r="E335" s="118"/>
      <c r="F335" s="206">
        <f t="shared" si="101"/>
        <v>2831.6800000000003</v>
      </c>
      <c r="G335" s="236"/>
      <c r="H335" s="224"/>
      <c r="I335" s="223">
        <f t="shared" si="102"/>
        <v>2831.6800000000003</v>
      </c>
      <c r="J335" s="236"/>
      <c r="K335" s="286"/>
      <c r="L335" s="223">
        <f t="shared" si="103"/>
        <v>2831.6800000000003</v>
      </c>
      <c r="M335" s="153"/>
      <c r="N335" s="80"/>
      <c r="O335" s="80"/>
      <c r="P335" s="175"/>
      <c r="Q335" s="72"/>
    </row>
    <row r="336" spans="1:17" ht="12.75">
      <c r="A336" s="36" t="s">
        <v>348</v>
      </c>
      <c r="B336" s="140"/>
      <c r="C336" s="108"/>
      <c r="D336" s="118"/>
      <c r="E336" s="118"/>
      <c r="F336" s="206"/>
      <c r="G336" s="236"/>
      <c r="H336" s="224"/>
      <c r="I336" s="223">
        <f t="shared" si="102"/>
        <v>0</v>
      </c>
      <c r="J336" s="236">
        <f>29.89</f>
        <v>29.89</v>
      </c>
      <c r="K336" s="286"/>
      <c r="L336" s="223">
        <f t="shared" si="103"/>
        <v>29.89</v>
      </c>
      <c r="M336" s="153"/>
      <c r="N336" s="80"/>
      <c r="O336" s="80"/>
      <c r="P336" s="175"/>
      <c r="Q336" s="72"/>
    </row>
    <row r="337" spans="1:17" ht="12.75" hidden="1">
      <c r="A337" s="36" t="s">
        <v>269</v>
      </c>
      <c r="B337" s="140"/>
      <c r="C337" s="108"/>
      <c r="D337" s="118"/>
      <c r="E337" s="118"/>
      <c r="F337" s="206">
        <f t="shared" si="101"/>
        <v>0</v>
      </c>
      <c r="G337" s="236"/>
      <c r="H337" s="224"/>
      <c r="I337" s="223">
        <f t="shared" si="102"/>
        <v>0</v>
      </c>
      <c r="J337" s="236"/>
      <c r="K337" s="286"/>
      <c r="L337" s="223">
        <f t="shared" si="103"/>
        <v>0</v>
      </c>
      <c r="M337" s="153"/>
      <c r="N337" s="80"/>
      <c r="O337" s="80"/>
      <c r="P337" s="175"/>
      <c r="Q337" s="72"/>
    </row>
    <row r="338" spans="1:17" ht="12.75">
      <c r="A338" s="32" t="s">
        <v>76</v>
      </c>
      <c r="B338" s="91"/>
      <c r="C338" s="187">
        <f>SUM(C339:C349)</f>
        <v>27015.16</v>
      </c>
      <c r="D338" s="118">
        <f>SUM(D339:D349)</f>
        <v>34661.81999999999</v>
      </c>
      <c r="E338" s="118">
        <f aca="true" t="shared" si="104" ref="E338:Q338">SUM(E339:E349)</f>
        <v>32.67</v>
      </c>
      <c r="F338" s="213">
        <f t="shared" si="104"/>
        <v>61709.65000000001</v>
      </c>
      <c r="G338" s="269">
        <f t="shared" si="104"/>
        <v>764.4300000000001</v>
      </c>
      <c r="H338" s="256">
        <f t="shared" si="104"/>
        <v>4682.41</v>
      </c>
      <c r="I338" s="237">
        <f t="shared" si="104"/>
        <v>67156.49</v>
      </c>
      <c r="J338" s="269">
        <f t="shared" si="104"/>
        <v>525.4499999999989</v>
      </c>
      <c r="K338" s="291">
        <f t="shared" si="104"/>
        <v>0</v>
      </c>
      <c r="L338" s="237">
        <f t="shared" si="104"/>
        <v>67681.94</v>
      </c>
      <c r="M338" s="133">
        <f t="shared" si="104"/>
        <v>0</v>
      </c>
      <c r="N338" s="133">
        <f t="shared" si="104"/>
        <v>0</v>
      </c>
      <c r="O338" s="133">
        <f t="shared" si="104"/>
        <v>0</v>
      </c>
      <c r="P338" s="133">
        <f t="shared" si="104"/>
        <v>0</v>
      </c>
      <c r="Q338" s="166">
        <f t="shared" si="104"/>
        <v>0</v>
      </c>
    </row>
    <row r="339" spans="1:18" ht="12.75">
      <c r="A339" s="32" t="s">
        <v>201</v>
      </c>
      <c r="B339" s="91"/>
      <c r="C339" s="187">
        <v>7500</v>
      </c>
      <c r="D339" s="118"/>
      <c r="E339" s="107"/>
      <c r="F339" s="206">
        <f t="shared" si="101"/>
        <v>7500</v>
      </c>
      <c r="G339" s="236"/>
      <c r="H339" s="224"/>
      <c r="I339" s="223">
        <f>F339+G339+H339</f>
        <v>7500</v>
      </c>
      <c r="J339" s="236"/>
      <c r="K339" s="286"/>
      <c r="L339" s="223">
        <f t="shared" si="103"/>
        <v>7500</v>
      </c>
      <c r="M339" s="28"/>
      <c r="N339" s="7"/>
      <c r="O339" s="21"/>
      <c r="P339" s="74"/>
      <c r="Q339" s="72"/>
      <c r="R339" s="180"/>
    </row>
    <row r="340" spans="1:18" ht="12.75">
      <c r="A340" s="32" t="s">
        <v>165</v>
      </c>
      <c r="B340" s="91"/>
      <c r="C340" s="187"/>
      <c r="D340" s="118">
        <f>8511.2-298.07+8000</f>
        <v>16213.130000000001</v>
      </c>
      <c r="E340" s="107"/>
      <c r="F340" s="206">
        <f t="shared" si="101"/>
        <v>16213.130000000001</v>
      </c>
      <c r="G340" s="236">
        <f>906.59</f>
        <v>906.59</v>
      </c>
      <c r="H340" s="224"/>
      <c r="I340" s="223">
        <f aca="true" t="shared" si="105" ref="I340:I348">F340+G340+H340</f>
        <v>17119.72</v>
      </c>
      <c r="J340" s="236">
        <f>20.05+340.85</f>
        <v>360.90000000000003</v>
      </c>
      <c r="K340" s="286"/>
      <c r="L340" s="223">
        <f t="shared" si="103"/>
        <v>17480.620000000003</v>
      </c>
      <c r="M340" s="28"/>
      <c r="N340" s="7"/>
      <c r="O340" s="21"/>
      <c r="P340" s="74"/>
      <c r="Q340" s="72"/>
      <c r="R340" s="60"/>
    </row>
    <row r="341" spans="1:17" ht="12.75" hidden="1">
      <c r="A341" s="32" t="s">
        <v>249</v>
      </c>
      <c r="B341" s="91"/>
      <c r="C341" s="187"/>
      <c r="D341" s="124"/>
      <c r="E341" s="107"/>
      <c r="F341" s="206">
        <f t="shared" si="101"/>
        <v>0</v>
      </c>
      <c r="G341" s="236"/>
      <c r="H341" s="224"/>
      <c r="I341" s="223">
        <f t="shared" si="105"/>
        <v>0</v>
      </c>
      <c r="J341" s="236"/>
      <c r="K341" s="286"/>
      <c r="L341" s="223">
        <f t="shared" si="103"/>
        <v>0</v>
      </c>
      <c r="M341" s="28"/>
      <c r="N341" s="7"/>
      <c r="O341" s="21"/>
      <c r="P341" s="74"/>
      <c r="Q341" s="72"/>
    </row>
    <row r="342" spans="1:17" ht="12.75" hidden="1">
      <c r="A342" s="32" t="s">
        <v>190</v>
      </c>
      <c r="B342" s="91"/>
      <c r="C342" s="187"/>
      <c r="D342" s="118"/>
      <c r="E342" s="107"/>
      <c r="F342" s="206">
        <f t="shared" si="101"/>
        <v>0</v>
      </c>
      <c r="G342" s="236"/>
      <c r="H342" s="224"/>
      <c r="I342" s="223">
        <f t="shared" si="105"/>
        <v>0</v>
      </c>
      <c r="J342" s="236"/>
      <c r="K342" s="286"/>
      <c r="L342" s="223">
        <f t="shared" si="103"/>
        <v>0</v>
      </c>
      <c r="M342" s="28"/>
      <c r="N342" s="7"/>
      <c r="O342" s="21"/>
      <c r="P342" s="74"/>
      <c r="Q342" s="72"/>
    </row>
    <row r="343" spans="1:17" ht="12.75">
      <c r="A343" s="32" t="s">
        <v>213</v>
      </c>
      <c r="B343" s="91"/>
      <c r="C343" s="187"/>
      <c r="D343" s="118">
        <f>2977.89</f>
        <v>2977.89</v>
      </c>
      <c r="E343" s="107"/>
      <c r="F343" s="206">
        <f t="shared" si="101"/>
        <v>2977.89</v>
      </c>
      <c r="G343" s="236"/>
      <c r="H343" s="224"/>
      <c r="I343" s="223">
        <f t="shared" si="105"/>
        <v>2977.89</v>
      </c>
      <c r="J343" s="236">
        <f>10000</f>
        <v>10000</v>
      </c>
      <c r="K343" s="286"/>
      <c r="L343" s="223">
        <f t="shared" si="103"/>
        <v>12977.89</v>
      </c>
      <c r="M343" s="28"/>
      <c r="N343" s="7"/>
      <c r="O343" s="21"/>
      <c r="P343" s="74"/>
      <c r="Q343" s="72"/>
    </row>
    <row r="344" spans="1:17" ht="12.75">
      <c r="A344" s="32" t="s">
        <v>164</v>
      </c>
      <c r="B344" s="91"/>
      <c r="C344" s="187"/>
      <c r="D344" s="118">
        <f>6733.32+493.57</f>
        <v>7226.889999999999</v>
      </c>
      <c r="E344" s="107">
        <f>32.67</f>
        <v>32.67</v>
      </c>
      <c r="F344" s="206">
        <f t="shared" si="101"/>
        <v>7259.5599999999995</v>
      </c>
      <c r="G344" s="236">
        <f>206.29-348.45</f>
        <v>-142.16</v>
      </c>
      <c r="H344" s="224">
        <f>60.63+21.78</f>
        <v>82.41</v>
      </c>
      <c r="I344" s="223">
        <f t="shared" si="105"/>
        <v>7199.8099999999995</v>
      </c>
      <c r="J344" s="236"/>
      <c r="K344" s="286"/>
      <c r="L344" s="223">
        <f t="shared" si="103"/>
        <v>7199.8099999999995</v>
      </c>
      <c r="M344" s="28"/>
      <c r="N344" s="7"/>
      <c r="O344" s="21"/>
      <c r="P344" s="74"/>
      <c r="Q344" s="72"/>
    </row>
    <row r="345" spans="1:17" ht="12.75">
      <c r="A345" s="32" t="s">
        <v>291</v>
      </c>
      <c r="B345" s="91"/>
      <c r="C345" s="187"/>
      <c r="D345" s="118">
        <f>4494.54</f>
        <v>4494.54</v>
      </c>
      <c r="E345" s="107"/>
      <c r="F345" s="206">
        <f t="shared" si="101"/>
        <v>4494.54</v>
      </c>
      <c r="G345" s="236"/>
      <c r="H345" s="224">
        <f>4600</f>
        <v>4600</v>
      </c>
      <c r="I345" s="223">
        <f t="shared" si="105"/>
        <v>9094.54</v>
      </c>
      <c r="J345" s="236">
        <f>964.55</f>
        <v>964.55</v>
      </c>
      <c r="K345" s="286"/>
      <c r="L345" s="223">
        <f t="shared" si="103"/>
        <v>10059.09</v>
      </c>
      <c r="M345" s="28"/>
      <c r="N345" s="7"/>
      <c r="O345" s="21"/>
      <c r="P345" s="74"/>
      <c r="Q345" s="72"/>
    </row>
    <row r="346" spans="1:17" ht="12.75">
      <c r="A346" s="32" t="s">
        <v>171</v>
      </c>
      <c r="B346" s="91"/>
      <c r="C346" s="187">
        <v>1380</v>
      </c>
      <c r="D346" s="118">
        <f>1749.69</f>
        <v>1749.69</v>
      </c>
      <c r="E346" s="107"/>
      <c r="F346" s="206">
        <f t="shared" si="101"/>
        <v>3129.69</v>
      </c>
      <c r="G346" s="236"/>
      <c r="H346" s="224"/>
      <c r="I346" s="223">
        <f t="shared" si="105"/>
        <v>3129.69</v>
      </c>
      <c r="J346" s="236"/>
      <c r="K346" s="286"/>
      <c r="L346" s="223">
        <f t="shared" si="103"/>
        <v>3129.69</v>
      </c>
      <c r="M346" s="28"/>
      <c r="N346" s="7"/>
      <c r="O346" s="21"/>
      <c r="P346" s="74"/>
      <c r="Q346" s="72"/>
    </row>
    <row r="347" spans="1:17" ht="12.75">
      <c r="A347" s="32" t="s">
        <v>170</v>
      </c>
      <c r="B347" s="91"/>
      <c r="C347" s="187">
        <v>16835</v>
      </c>
      <c r="D347" s="118">
        <f>-3035+6334.84</f>
        <v>3299.84</v>
      </c>
      <c r="E347" s="107"/>
      <c r="F347" s="206">
        <f t="shared" si="101"/>
        <v>20134.84</v>
      </c>
      <c r="G347" s="236"/>
      <c r="H347" s="224"/>
      <c r="I347" s="223">
        <f t="shared" si="105"/>
        <v>20134.84</v>
      </c>
      <c r="J347" s="236">
        <f>3000-13800</f>
        <v>-10800</v>
      </c>
      <c r="K347" s="286"/>
      <c r="L347" s="223">
        <f t="shared" si="103"/>
        <v>9334.84</v>
      </c>
      <c r="M347" s="28"/>
      <c r="N347" s="7"/>
      <c r="O347" s="21"/>
      <c r="P347" s="74"/>
      <c r="Q347" s="72"/>
    </row>
    <row r="348" spans="1:17" ht="12.75">
      <c r="A348" s="32" t="s">
        <v>290</v>
      </c>
      <c r="B348" s="91"/>
      <c r="C348" s="187">
        <v>1300.16</v>
      </c>
      <c r="D348" s="118">
        <f>-900.16-400</f>
        <v>-1300.1599999999999</v>
      </c>
      <c r="E348" s="107"/>
      <c r="F348" s="206">
        <f t="shared" si="101"/>
        <v>2.2737367544323206E-13</v>
      </c>
      <c r="G348" s="236"/>
      <c r="H348" s="224"/>
      <c r="I348" s="223">
        <f t="shared" si="105"/>
        <v>2.2737367544323206E-13</v>
      </c>
      <c r="J348" s="236"/>
      <c r="K348" s="286"/>
      <c r="L348" s="223">
        <f t="shared" si="103"/>
        <v>2.2737367544323206E-13</v>
      </c>
      <c r="M348" s="28"/>
      <c r="N348" s="7"/>
      <c r="O348" s="21"/>
      <c r="P348" s="74"/>
      <c r="Q348" s="72"/>
    </row>
    <row r="349" spans="1:17" ht="12.75" hidden="1">
      <c r="A349" s="32" t="s">
        <v>223</v>
      </c>
      <c r="B349" s="91"/>
      <c r="C349" s="187"/>
      <c r="D349" s="124"/>
      <c r="E349" s="107"/>
      <c r="F349" s="206">
        <f t="shared" si="101"/>
        <v>0</v>
      </c>
      <c r="G349" s="236"/>
      <c r="H349" s="224"/>
      <c r="I349" s="223"/>
      <c r="J349" s="236"/>
      <c r="K349" s="286"/>
      <c r="L349" s="223"/>
      <c r="M349" s="28"/>
      <c r="N349" s="7"/>
      <c r="O349" s="21"/>
      <c r="P349" s="74"/>
      <c r="Q349" s="72"/>
    </row>
    <row r="350" spans="1:17" ht="12.75">
      <c r="A350" s="38" t="s">
        <v>53</v>
      </c>
      <c r="B350" s="95"/>
      <c r="C350" s="113">
        <f aca="true" t="shared" si="106" ref="C350:Q350">SUM(C352:C369)</f>
        <v>482698.75</v>
      </c>
      <c r="D350" s="114">
        <f t="shared" si="106"/>
        <v>1453289.1799999997</v>
      </c>
      <c r="E350" s="114">
        <f t="shared" si="106"/>
        <v>29687.05</v>
      </c>
      <c r="F350" s="209">
        <f t="shared" si="106"/>
        <v>1965674.98</v>
      </c>
      <c r="G350" s="233">
        <f t="shared" si="106"/>
        <v>608353.35</v>
      </c>
      <c r="H350" s="251">
        <f t="shared" si="106"/>
        <v>4008.790000000001</v>
      </c>
      <c r="I350" s="229">
        <f t="shared" si="106"/>
        <v>2578037.1199999996</v>
      </c>
      <c r="J350" s="233">
        <f t="shared" si="106"/>
        <v>32788.69000000001</v>
      </c>
      <c r="K350" s="290">
        <f t="shared" si="106"/>
        <v>0</v>
      </c>
      <c r="L350" s="229">
        <f t="shared" si="106"/>
        <v>2610825.81</v>
      </c>
      <c r="M350" s="113">
        <f t="shared" si="106"/>
        <v>0</v>
      </c>
      <c r="N350" s="113">
        <f t="shared" si="106"/>
        <v>0</v>
      </c>
      <c r="O350" s="113">
        <f t="shared" si="106"/>
        <v>0</v>
      </c>
      <c r="P350" s="113">
        <f t="shared" si="106"/>
        <v>0</v>
      </c>
      <c r="Q350" s="164">
        <f t="shared" si="106"/>
        <v>0</v>
      </c>
    </row>
    <row r="351" spans="1:17" ht="12.75">
      <c r="A351" s="36" t="s">
        <v>26</v>
      </c>
      <c r="B351" s="91"/>
      <c r="C351" s="108"/>
      <c r="D351" s="107"/>
      <c r="E351" s="107"/>
      <c r="F351" s="206"/>
      <c r="G351" s="236"/>
      <c r="H351" s="224"/>
      <c r="I351" s="223"/>
      <c r="J351" s="236"/>
      <c r="K351" s="286"/>
      <c r="L351" s="223"/>
      <c r="M351" s="28"/>
      <c r="N351" s="7"/>
      <c r="O351" s="21"/>
      <c r="P351" s="74"/>
      <c r="Q351" s="72"/>
    </row>
    <row r="352" spans="1:17" ht="12.75" hidden="1">
      <c r="A352" s="36" t="s">
        <v>161</v>
      </c>
      <c r="B352" s="91"/>
      <c r="C352" s="108"/>
      <c r="D352" s="107"/>
      <c r="E352" s="107"/>
      <c r="F352" s="206">
        <f aca="true" t="shared" si="107" ref="F352:F383">C352+D352+E352</f>
        <v>0</v>
      </c>
      <c r="G352" s="236"/>
      <c r="H352" s="224"/>
      <c r="I352" s="223"/>
      <c r="J352" s="236"/>
      <c r="K352" s="286"/>
      <c r="L352" s="223"/>
      <c r="M352" s="28"/>
      <c r="N352" s="7"/>
      <c r="O352" s="21"/>
      <c r="P352" s="74"/>
      <c r="Q352" s="72"/>
    </row>
    <row r="353" spans="1:17" ht="12.75">
      <c r="A353" s="36" t="s">
        <v>160</v>
      </c>
      <c r="B353" s="155">
        <v>1081.1202</v>
      </c>
      <c r="C353" s="108">
        <v>6737</v>
      </c>
      <c r="D353" s="107">
        <f>557.05</f>
        <v>557.05</v>
      </c>
      <c r="E353" s="107"/>
      <c r="F353" s="206">
        <f t="shared" si="107"/>
        <v>7294.05</v>
      </c>
      <c r="G353" s="236"/>
      <c r="H353" s="224"/>
      <c r="I353" s="223">
        <f aca="true" t="shared" si="108" ref="I353:I368">F353+G353+H353</f>
        <v>7294.05</v>
      </c>
      <c r="J353" s="236"/>
      <c r="K353" s="286"/>
      <c r="L353" s="223">
        <f aca="true" t="shared" si="109" ref="L353:L367">I353+J353+K353</f>
        <v>7294.05</v>
      </c>
      <c r="M353" s="28"/>
      <c r="N353" s="7"/>
      <c r="O353" s="21"/>
      <c r="P353" s="74"/>
      <c r="Q353" s="72"/>
    </row>
    <row r="354" spans="1:17" ht="12.75">
      <c r="A354" s="36" t="s">
        <v>155</v>
      </c>
      <c r="B354" s="91"/>
      <c r="C354" s="108">
        <v>19868.59</v>
      </c>
      <c r="D354" s="107">
        <f>1957.58</f>
        <v>1957.58</v>
      </c>
      <c r="E354" s="107"/>
      <c r="F354" s="206">
        <f t="shared" si="107"/>
        <v>21826.17</v>
      </c>
      <c r="G354" s="236">
        <f>10000</f>
        <v>10000</v>
      </c>
      <c r="H354" s="224"/>
      <c r="I354" s="223">
        <f t="shared" si="108"/>
        <v>31826.17</v>
      </c>
      <c r="J354" s="236">
        <f>10000</f>
        <v>10000</v>
      </c>
      <c r="K354" s="286"/>
      <c r="L354" s="223">
        <f t="shared" si="109"/>
        <v>41826.17</v>
      </c>
      <c r="M354" s="28"/>
      <c r="N354" s="7"/>
      <c r="O354" s="21"/>
      <c r="P354" s="74"/>
      <c r="Q354" s="72"/>
    </row>
    <row r="355" spans="1:17" ht="12.75">
      <c r="A355" s="36" t="s">
        <v>358</v>
      </c>
      <c r="B355" s="91"/>
      <c r="C355" s="108">
        <v>5000</v>
      </c>
      <c r="D355" s="107">
        <f>5000</f>
        <v>5000</v>
      </c>
      <c r="E355" s="107"/>
      <c r="F355" s="206">
        <f t="shared" si="107"/>
        <v>10000</v>
      </c>
      <c r="G355" s="236"/>
      <c r="H355" s="224"/>
      <c r="I355" s="223">
        <f t="shared" si="108"/>
        <v>10000</v>
      </c>
      <c r="J355" s="236">
        <f>1000</f>
        <v>1000</v>
      </c>
      <c r="K355" s="286"/>
      <c r="L355" s="223">
        <f t="shared" si="109"/>
        <v>11000</v>
      </c>
      <c r="M355" s="28"/>
      <c r="N355" s="7"/>
      <c r="O355" s="21"/>
      <c r="P355" s="74"/>
      <c r="Q355" s="72"/>
    </row>
    <row r="356" spans="1:17" ht="12.75">
      <c r="A356" s="36" t="s">
        <v>345</v>
      </c>
      <c r="B356" s="91"/>
      <c r="C356" s="108"/>
      <c r="D356" s="107"/>
      <c r="E356" s="107"/>
      <c r="F356" s="206">
        <f t="shared" si="107"/>
        <v>0</v>
      </c>
      <c r="G356" s="236">
        <f>10000</f>
        <v>10000</v>
      </c>
      <c r="H356" s="224"/>
      <c r="I356" s="223">
        <f t="shared" si="108"/>
        <v>10000</v>
      </c>
      <c r="J356" s="236"/>
      <c r="K356" s="286"/>
      <c r="L356" s="223">
        <f t="shared" si="109"/>
        <v>10000</v>
      </c>
      <c r="M356" s="28"/>
      <c r="N356" s="7"/>
      <c r="O356" s="21"/>
      <c r="P356" s="74"/>
      <c r="Q356" s="72"/>
    </row>
    <row r="357" spans="1:17" ht="12.75">
      <c r="A357" s="36" t="s">
        <v>264</v>
      </c>
      <c r="B357" s="91"/>
      <c r="C357" s="108"/>
      <c r="D357" s="118">
        <f>788.1</f>
        <v>788.1</v>
      </c>
      <c r="E357" s="118"/>
      <c r="F357" s="206">
        <f t="shared" si="107"/>
        <v>788.1</v>
      </c>
      <c r="G357" s="236"/>
      <c r="H357" s="224"/>
      <c r="I357" s="223">
        <f t="shared" si="108"/>
        <v>788.1</v>
      </c>
      <c r="J357" s="236"/>
      <c r="K357" s="286"/>
      <c r="L357" s="223">
        <f t="shared" si="109"/>
        <v>788.1</v>
      </c>
      <c r="M357" s="28"/>
      <c r="N357" s="7"/>
      <c r="O357" s="21"/>
      <c r="P357" s="74"/>
      <c r="Q357" s="72"/>
    </row>
    <row r="358" spans="1:17" ht="12.75">
      <c r="A358" s="138" t="s">
        <v>214</v>
      </c>
      <c r="B358" s="91"/>
      <c r="C358" s="108"/>
      <c r="D358" s="124">
        <f>30393.39+60000</f>
        <v>90393.39</v>
      </c>
      <c r="E358" s="124"/>
      <c r="F358" s="206">
        <f t="shared" si="107"/>
        <v>90393.39</v>
      </c>
      <c r="G358" s="236">
        <f>3900</f>
        <v>3900</v>
      </c>
      <c r="H358" s="224"/>
      <c r="I358" s="223">
        <f t="shared" si="108"/>
        <v>94293.39</v>
      </c>
      <c r="J358" s="236">
        <f>-10000</f>
        <v>-10000</v>
      </c>
      <c r="K358" s="286"/>
      <c r="L358" s="223">
        <f t="shared" si="109"/>
        <v>84293.39</v>
      </c>
      <c r="M358" s="28"/>
      <c r="N358" s="7"/>
      <c r="O358" s="21"/>
      <c r="P358" s="74"/>
      <c r="Q358" s="72"/>
    </row>
    <row r="359" spans="1:17" ht="12.75">
      <c r="A359" s="36" t="s">
        <v>265</v>
      </c>
      <c r="B359" s="140">
        <v>212163</v>
      </c>
      <c r="C359" s="108">
        <v>106030</v>
      </c>
      <c r="D359" s="118">
        <f>98685.29+97634.38+7574.7</f>
        <v>203894.37</v>
      </c>
      <c r="E359" s="118"/>
      <c r="F359" s="206">
        <f t="shared" si="107"/>
        <v>309924.37</v>
      </c>
      <c r="G359" s="236">
        <f>-150-1314.62</f>
        <v>-1464.62</v>
      </c>
      <c r="H359" s="224"/>
      <c r="I359" s="223">
        <f t="shared" si="108"/>
        <v>308459.75</v>
      </c>
      <c r="J359" s="236"/>
      <c r="K359" s="286"/>
      <c r="L359" s="223">
        <f t="shared" si="109"/>
        <v>308459.75</v>
      </c>
      <c r="M359" s="28"/>
      <c r="N359" s="7"/>
      <c r="O359" s="21"/>
      <c r="P359" s="74"/>
      <c r="Q359" s="72"/>
    </row>
    <row r="360" spans="1:17" ht="12.75" hidden="1">
      <c r="A360" s="36" t="s">
        <v>218</v>
      </c>
      <c r="B360" s="140">
        <v>22777</v>
      </c>
      <c r="C360" s="108"/>
      <c r="D360" s="118"/>
      <c r="E360" s="118"/>
      <c r="F360" s="206">
        <f t="shared" si="107"/>
        <v>0</v>
      </c>
      <c r="G360" s="236"/>
      <c r="H360" s="224"/>
      <c r="I360" s="223">
        <f t="shared" si="108"/>
        <v>0</v>
      </c>
      <c r="J360" s="236"/>
      <c r="K360" s="286"/>
      <c r="L360" s="223">
        <f t="shared" si="109"/>
        <v>0</v>
      </c>
      <c r="M360" s="28"/>
      <c r="N360" s="7"/>
      <c r="O360" s="21"/>
      <c r="P360" s="74"/>
      <c r="Q360" s="72"/>
    </row>
    <row r="361" spans="1:17" ht="12.75" hidden="1">
      <c r="A361" s="36" t="s">
        <v>253</v>
      </c>
      <c r="B361" s="140">
        <v>98858</v>
      </c>
      <c r="C361" s="108"/>
      <c r="D361" s="118"/>
      <c r="E361" s="118"/>
      <c r="F361" s="206">
        <f t="shared" si="107"/>
        <v>0</v>
      </c>
      <c r="G361" s="236"/>
      <c r="H361" s="224"/>
      <c r="I361" s="223">
        <f t="shared" si="108"/>
        <v>0</v>
      </c>
      <c r="J361" s="236"/>
      <c r="K361" s="286"/>
      <c r="L361" s="223">
        <f t="shared" si="109"/>
        <v>0</v>
      </c>
      <c r="M361" s="28"/>
      <c r="N361" s="7"/>
      <c r="O361" s="21"/>
      <c r="P361" s="74"/>
      <c r="Q361" s="72"/>
    </row>
    <row r="362" spans="1:17" ht="12.75">
      <c r="A362" s="36" t="s">
        <v>156</v>
      </c>
      <c r="B362" s="140">
        <v>212162</v>
      </c>
      <c r="C362" s="108"/>
      <c r="D362" s="118">
        <f>2133.22</f>
        <v>2133.22</v>
      </c>
      <c r="E362" s="118"/>
      <c r="F362" s="206">
        <f t="shared" si="107"/>
        <v>2133.22</v>
      </c>
      <c r="G362" s="236"/>
      <c r="H362" s="224"/>
      <c r="I362" s="223">
        <f t="shared" si="108"/>
        <v>2133.22</v>
      </c>
      <c r="J362" s="236"/>
      <c r="K362" s="286"/>
      <c r="L362" s="223">
        <f t="shared" si="109"/>
        <v>2133.22</v>
      </c>
      <c r="M362" s="28"/>
      <c r="N362" s="7"/>
      <c r="O362" s="21"/>
      <c r="P362" s="74"/>
      <c r="Q362" s="72"/>
    </row>
    <row r="363" spans="1:17" ht="12.75">
      <c r="A363" s="36" t="s">
        <v>281</v>
      </c>
      <c r="B363" s="140"/>
      <c r="C363" s="108"/>
      <c r="D363" s="118">
        <f>10557.37</f>
        <v>10557.37</v>
      </c>
      <c r="E363" s="118"/>
      <c r="F363" s="206">
        <f t="shared" si="107"/>
        <v>10557.37</v>
      </c>
      <c r="G363" s="236">
        <f>739.53</f>
        <v>739.53</v>
      </c>
      <c r="H363" s="224"/>
      <c r="I363" s="223">
        <f t="shared" si="108"/>
        <v>11296.900000000001</v>
      </c>
      <c r="J363" s="236">
        <f>3161.87</f>
        <v>3161.87</v>
      </c>
      <c r="K363" s="286"/>
      <c r="L363" s="223">
        <f t="shared" si="109"/>
        <v>14458.77</v>
      </c>
      <c r="M363" s="28"/>
      <c r="N363" s="7"/>
      <c r="O363" s="21"/>
      <c r="P363" s="74"/>
      <c r="Q363" s="72"/>
    </row>
    <row r="364" spans="1:17" ht="12.75">
      <c r="A364" s="36" t="s">
        <v>348</v>
      </c>
      <c r="B364" s="140"/>
      <c r="C364" s="108"/>
      <c r="D364" s="118"/>
      <c r="E364" s="118"/>
      <c r="F364" s="206"/>
      <c r="G364" s="236"/>
      <c r="H364" s="224"/>
      <c r="I364" s="223">
        <f t="shared" si="108"/>
        <v>0</v>
      </c>
      <c r="J364" s="236">
        <f>119.54</f>
        <v>119.54</v>
      </c>
      <c r="K364" s="286"/>
      <c r="L364" s="223">
        <f t="shared" si="109"/>
        <v>119.54</v>
      </c>
      <c r="M364" s="28"/>
      <c r="N364" s="7"/>
      <c r="O364" s="21"/>
      <c r="P364" s="74"/>
      <c r="Q364" s="72"/>
    </row>
    <row r="365" spans="1:17" ht="12.75" hidden="1">
      <c r="A365" s="36" t="s">
        <v>269</v>
      </c>
      <c r="B365" s="140"/>
      <c r="C365" s="108"/>
      <c r="D365" s="118"/>
      <c r="E365" s="118"/>
      <c r="F365" s="206">
        <f t="shared" si="107"/>
        <v>0</v>
      </c>
      <c r="G365" s="236"/>
      <c r="H365" s="224"/>
      <c r="I365" s="223">
        <f t="shared" si="108"/>
        <v>0</v>
      </c>
      <c r="J365" s="236"/>
      <c r="K365" s="286"/>
      <c r="L365" s="223">
        <f t="shared" si="109"/>
        <v>0</v>
      </c>
      <c r="M365" s="28"/>
      <c r="N365" s="7"/>
      <c r="O365" s="21"/>
      <c r="P365" s="74"/>
      <c r="Q365" s="72"/>
    </row>
    <row r="366" spans="1:17" ht="12.75">
      <c r="A366" s="36" t="s">
        <v>270</v>
      </c>
      <c r="B366" s="140">
        <v>91628</v>
      </c>
      <c r="C366" s="108"/>
      <c r="D366" s="118"/>
      <c r="E366" s="118"/>
      <c r="F366" s="206">
        <f t="shared" si="107"/>
        <v>0</v>
      </c>
      <c r="G366" s="236">
        <f>7665+177763</f>
        <v>185428</v>
      </c>
      <c r="H366" s="224"/>
      <c r="I366" s="223">
        <f t="shared" si="108"/>
        <v>185428</v>
      </c>
      <c r="J366" s="236"/>
      <c r="K366" s="286"/>
      <c r="L366" s="223">
        <f t="shared" si="109"/>
        <v>185428</v>
      </c>
      <c r="M366" s="28"/>
      <c r="N366" s="7"/>
      <c r="O366" s="21"/>
      <c r="P366" s="74"/>
      <c r="Q366" s="72"/>
    </row>
    <row r="367" spans="1:17" ht="12.75">
      <c r="A367" s="36" t="s">
        <v>292</v>
      </c>
      <c r="B367" s="140">
        <v>91628</v>
      </c>
      <c r="C367" s="108"/>
      <c r="D367" s="118"/>
      <c r="E367" s="118"/>
      <c r="F367" s="206">
        <f t="shared" si="107"/>
        <v>0</v>
      </c>
      <c r="G367" s="236">
        <f>29678.61+258127</f>
        <v>287805.61</v>
      </c>
      <c r="H367" s="224"/>
      <c r="I367" s="223">
        <f t="shared" si="108"/>
        <v>287805.61</v>
      </c>
      <c r="J367" s="236"/>
      <c r="K367" s="286"/>
      <c r="L367" s="223">
        <f t="shared" si="109"/>
        <v>287805.61</v>
      </c>
      <c r="M367" s="28"/>
      <c r="N367" s="7"/>
      <c r="O367" s="21"/>
      <c r="P367" s="74"/>
      <c r="Q367" s="72"/>
    </row>
    <row r="368" spans="1:17" ht="12.75" hidden="1">
      <c r="A368" s="36" t="s">
        <v>186</v>
      </c>
      <c r="B368" s="91"/>
      <c r="C368" s="108"/>
      <c r="D368" s="118"/>
      <c r="E368" s="118"/>
      <c r="F368" s="206">
        <f t="shared" si="107"/>
        <v>0</v>
      </c>
      <c r="G368" s="236"/>
      <c r="H368" s="224"/>
      <c r="I368" s="223">
        <f t="shared" si="108"/>
        <v>0</v>
      </c>
      <c r="J368" s="236"/>
      <c r="K368" s="286"/>
      <c r="L368" s="223"/>
      <c r="M368" s="28"/>
      <c r="N368" s="7"/>
      <c r="O368" s="21"/>
      <c r="P368" s="74"/>
      <c r="Q368" s="72"/>
    </row>
    <row r="369" spans="1:17" ht="12.75">
      <c r="A369" s="36" t="s">
        <v>157</v>
      </c>
      <c r="B369" s="91"/>
      <c r="C369" s="108">
        <f>SUM(C370:C383)</f>
        <v>345063.16000000003</v>
      </c>
      <c r="D369" s="107">
        <f>SUM(D370:D383)</f>
        <v>1138008.0999999999</v>
      </c>
      <c r="E369" s="107">
        <f aca="true" t="shared" si="110" ref="E369:Q369">SUM(E370:E383)</f>
        <v>29687.05</v>
      </c>
      <c r="F369" s="206">
        <f t="shared" si="110"/>
        <v>1512758.31</v>
      </c>
      <c r="G369" s="236">
        <f t="shared" si="110"/>
        <v>111944.82999999999</v>
      </c>
      <c r="H369" s="224">
        <f t="shared" si="110"/>
        <v>4008.790000000001</v>
      </c>
      <c r="I369" s="223">
        <f t="shared" si="110"/>
        <v>1628711.9299999997</v>
      </c>
      <c r="J369" s="236">
        <f t="shared" si="110"/>
        <v>28507.28000000001</v>
      </c>
      <c r="K369" s="286">
        <f t="shared" si="110"/>
        <v>0</v>
      </c>
      <c r="L369" s="223">
        <f t="shared" si="110"/>
        <v>1657219.21</v>
      </c>
      <c r="M369" s="132">
        <f t="shared" si="110"/>
        <v>0</v>
      </c>
      <c r="N369" s="132">
        <f t="shared" si="110"/>
        <v>0</v>
      </c>
      <c r="O369" s="132">
        <f t="shared" si="110"/>
        <v>0</v>
      </c>
      <c r="P369" s="132">
        <f t="shared" si="110"/>
        <v>0</v>
      </c>
      <c r="Q369" s="160">
        <f t="shared" si="110"/>
        <v>0</v>
      </c>
    </row>
    <row r="370" spans="1:17" ht="12.75">
      <c r="A370" s="32" t="s">
        <v>201</v>
      </c>
      <c r="B370" s="91"/>
      <c r="C370" s="187">
        <v>1500</v>
      </c>
      <c r="D370" s="118"/>
      <c r="E370" s="107"/>
      <c r="F370" s="206">
        <f>C370+D370+E370</f>
        <v>1500</v>
      </c>
      <c r="G370" s="236"/>
      <c r="H370" s="224"/>
      <c r="I370" s="223">
        <f aca="true" t="shared" si="111" ref="I370:I383">F370+G370+H370</f>
        <v>1500</v>
      </c>
      <c r="J370" s="236"/>
      <c r="K370" s="286"/>
      <c r="L370" s="223">
        <f aca="true" t="shared" si="112" ref="L370:L383">I370+J370+K370</f>
        <v>1500</v>
      </c>
      <c r="M370" s="28"/>
      <c r="N370" s="7"/>
      <c r="O370" s="21"/>
      <c r="P370" s="74"/>
      <c r="Q370" s="72"/>
    </row>
    <row r="371" spans="1:17" ht="12.75">
      <c r="A371" s="32" t="s">
        <v>165</v>
      </c>
      <c r="B371" s="91"/>
      <c r="C371" s="187">
        <f>8534</f>
        <v>8534</v>
      </c>
      <c r="D371" s="118">
        <f>122032.84-2533.61-8000+2040.02</f>
        <v>113539.25</v>
      </c>
      <c r="E371" s="107"/>
      <c r="F371" s="206">
        <f>C371+D371+E371</f>
        <v>122073.25</v>
      </c>
      <c r="G371" s="236">
        <f>-1500-2000</f>
        <v>-3500</v>
      </c>
      <c r="H371" s="224"/>
      <c r="I371" s="223">
        <f t="shared" si="111"/>
        <v>118573.25</v>
      </c>
      <c r="J371" s="236">
        <f>780.74+13272.67+1000</f>
        <v>15053.41</v>
      </c>
      <c r="K371" s="286"/>
      <c r="L371" s="223">
        <f t="shared" si="112"/>
        <v>133626.66</v>
      </c>
      <c r="M371" s="28"/>
      <c r="N371" s="7"/>
      <c r="O371" s="21"/>
      <c r="P371" s="74"/>
      <c r="Q371" s="72"/>
    </row>
    <row r="372" spans="1:17" ht="12.75">
      <c r="A372" s="32" t="s">
        <v>284</v>
      </c>
      <c r="B372" s="91"/>
      <c r="C372" s="187">
        <v>604</v>
      </c>
      <c r="D372" s="118">
        <f>4625</f>
        <v>4625</v>
      </c>
      <c r="E372" s="107"/>
      <c r="F372" s="206">
        <f>C372+D372+E372</f>
        <v>5229</v>
      </c>
      <c r="G372" s="236"/>
      <c r="H372" s="224"/>
      <c r="I372" s="223">
        <f t="shared" si="111"/>
        <v>5229</v>
      </c>
      <c r="J372" s="236"/>
      <c r="K372" s="286"/>
      <c r="L372" s="223">
        <f t="shared" si="112"/>
        <v>5229</v>
      </c>
      <c r="M372" s="28"/>
      <c r="N372" s="7"/>
      <c r="O372" s="21"/>
      <c r="P372" s="74"/>
      <c r="Q372" s="72"/>
    </row>
    <row r="373" spans="1:17" ht="12.75" hidden="1">
      <c r="A373" s="32" t="s">
        <v>323</v>
      </c>
      <c r="B373" s="91"/>
      <c r="C373" s="187"/>
      <c r="D373" s="118">
        <f>6000-6000</f>
        <v>0</v>
      </c>
      <c r="E373" s="107"/>
      <c r="F373" s="206">
        <f>C373+D373+E373</f>
        <v>0</v>
      </c>
      <c r="G373" s="236"/>
      <c r="H373" s="224"/>
      <c r="I373" s="223">
        <f t="shared" si="111"/>
        <v>0</v>
      </c>
      <c r="J373" s="236"/>
      <c r="K373" s="286"/>
      <c r="L373" s="223">
        <f t="shared" si="112"/>
        <v>0</v>
      </c>
      <c r="M373" s="28"/>
      <c r="N373" s="7"/>
      <c r="O373" s="21"/>
      <c r="P373" s="74"/>
      <c r="Q373" s="72"/>
    </row>
    <row r="374" spans="1:17" ht="12.75">
      <c r="A374" s="32" t="s">
        <v>249</v>
      </c>
      <c r="B374" s="91"/>
      <c r="C374" s="187">
        <v>19500</v>
      </c>
      <c r="D374" s="118">
        <f>-19500</f>
        <v>-19500</v>
      </c>
      <c r="E374" s="107"/>
      <c r="F374" s="206">
        <f t="shared" si="107"/>
        <v>0</v>
      </c>
      <c r="G374" s="236"/>
      <c r="H374" s="224"/>
      <c r="I374" s="223">
        <f t="shared" si="111"/>
        <v>0</v>
      </c>
      <c r="J374" s="236"/>
      <c r="K374" s="286"/>
      <c r="L374" s="223">
        <f t="shared" si="112"/>
        <v>0</v>
      </c>
      <c r="M374" s="28"/>
      <c r="N374" s="7"/>
      <c r="O374" s="21"/>
      <c r="P374" s="74"/>
      <c r="Q374" s="72"/>
    </row>
    <row r="375" spans="1:17" ht="12.75">
      <c r="A375" s="32" t="s">
        <v>213</v>
      </c>
      <c r="B375" s="91"/>
      <c r="C375" s="187">
        <v>157557</v>
      </c>
      <c r="D375" s="118">
        <f>251025.19+10000</f>
        <v>261025.19</v>
      </c>
      <c r="E375" s="107"/>
      <c r="F375" s="206">
        <f t="shared" si="107"/>
        <v>418582.19</v>
      </c>
      <c r="G375" s="236">
        <f>10000</f>
        <v>10000</v>
      </c>
      <c r="H375" s="224"/>
      <c r="I375" s="223">
        <f t="shared" si="111"/>
        <v>428582.19</v>
      </c>
      <c r="J375" s="236">
        <f>2000-10000+10000</f>
        <v>2000</v>
      </c>
      <c r="K375" s="286"/>
      <c r="L375" s="223">
        <f t="shared" si="112"/>
        <v>430582.19</v>
      </c>
      <c r="M375" s="28"/>
      <c r="N375" s="7"/>
      <c r="O375" s="21"/>
      <c r="P375" s="74"/>
      <c r="Q375" s="72"/>
    </row>
    <row r="376" spans="1:17" ht="12.75">
      <c r="A376" s="32" t="s">
        <v>164</v>
      </c>
      <c r="B376" s="91"/>
      <c r="C376" s="187">
        <v>2000</v>
      </c>
      <c r="D376" s="118">
        <f>13468.07+1500.93+45.98+89.14+520.53+299.15+664.17+5561.39+5332.24</f>
        <v>27481.6</v>
      </c>
      <c r="E376" s="107">
        <f>11123.26</f>
        <v>11123.26</v>
      </c>
      <c r="F376" s="206">
        <f t="shared" si="107"/>
        <v>40604.86</v>
      </c>
      <c r="G376" s="236">
        <f>4859.85+9475.15+9.68+1681.41+3023.35-1361.71</f>
        <v>17687.73</v>
      </c>
      <c r="H376" s="224">
        <f>38.92+8569.87</f>
        <v>8608.79</v>
      </c>
      <c r="I376" s="223">
        <f t="shared" si="111"/>
        <v>66901.38</v>
      </c>
      <c r="J376" s="236">
        <f>500.59+48.04+41.14+564.41+749.74+1742.27+1288.08+3100.16+977.33+2389.63+2872.22+3460.12+1675.85+530.54+3254.72+4796.58</f>
        <v>27991.42</v>
      </c>
      <c r="K376" s="286"/>
      <c r="L376" s="223">
        <f t="shared" si="112"/>
        <v>94892.8</v>
      </c>
      <c r="M376" s="28"/>
      <c r="N376" s="7"/>
      <c r="O376" s="21"/>
      <c r="P376" s="74"/>
      <c r="Q376" s="72"/>
    </row>
    <row r="377" spans="1:17" ht="12.75">
      <c r="A377" s="32" t="s">
        <v>167</v>
      </c>
      <c r="B377" s="91"/>
      <c r="C377" s="187">
        <v>5800</v>
      </c>
      <c r="D377" s="118">
        <f>97153.65</f>
        <v>97153.65</v>
      </c>
      <c r="E377" s="107"/>
      <c r="F377" s="206">
        <f t="shared" si="107"/>
        <v>102953.65</v>
      </c>
      <c r="G377" s="236">
        <f>1710.16+650</f>
        <v>2360.16</v>
      </c>
      <c r="H377" s="224">
        <f>-4600</f>
        <v>-4600</v>
      </c>
      <c r="I377" s="223">
        <f t="shared" si="111"/>
        <v>100713.81</v>
      </c>
      <c r="J377" s="236">
        <f>3727.9+1200</f>
        <v>4927.9</v>
      </c>
      <c r="K377" s="286"/>
      <c r="L377" s="223">
        <f t="shared" si="112"/>
        <v>105641.70999999999</v>
      </c>
      <c r="M377" s="28"/>
      <c r="N377" s="7"/>
      <c r="O377" s="21"/>
      <c r="P377" s="74"/>
      <c r="Q377" s="72"/>
    </row>
    <row r="378" spans="1:17" ht="12.75">
      <c r="A378" s="32" t="s">
        <v>171</v>
      </c>
      <c r="B378" s="91"/>
      <c r="C378" s="187">
        <v>3000</v>
      </c>
      <c r="D378" s="118">
        <f>7125.32+2216.61+1687.72+4327.31+372.53</f>
        <v>15729.49</v>
      </c>
      <c r="E378" s="107">
        <f>21009.77</f>
        <v>21009.77</v>
      </c>
      <c r="F378" s="206">
        <f t="shared" si="107"/>
        <v>39739.259999999995</v>
      </c>
      <c r="G378" s="236">
        <f>2144.21+165.71-3457.7-650</f>
        <v>-1797.7799999999997</v>
      </c>
      <c r="H378" s="224"/>
      <c r="I378" s="223">
        <f t="shared" si="111"/>
        <v>37941.479999999996</v>
      </c>
      <c r="J378" s="236">
        <f>2314.74+736.66</f>
        <v>3051.3999999999996</v>
      </c>
      <c r="K378" s="286"/>
      <c r="L378" s="223">
        <f t="shared" si="112"/>
        <v>40992.88</v>
      </c>
      <c r="M378" s="28"/>
      <c r="N378" s="7"/>
      <c r="O378" s="21"/>
      <c r="P378" s="74"/>
      <c r="Q378" s="72"/>
    </row>
    <row r="379" spans="1:17" ht="12.75">
      <c r="A379" s="32" t="s">
        <v>170</v>
      </c>
      <c r="B379" s="91"/>
      <c r="C379" s="187">
        <v>39500</v>
      </c>
      <c r="D379" s="107">
        <f>3855.98+200835.35+7.08+882.32+6438.34+912.12+2407.87+40000</f>
        <v>255339.06</v>
      </c>
      <c r="E379" s="107"/>
      <c r="F379" s="206">
        <f t="shared" si="107"/>
        <v>294839.06</v>
      </c>
      <c r="G379" s="236">
        <f>2276.42+297.17+1382.39+610.36+2752.23+6302.11+7035.71+6519.68+1289.33</f>
        <v>28465.4</v>
      </c>
      <c r="H379" s="224"/>
      <c r="I379" s="223">
        <f t="shared" si="111"/>
        <v>323304.46</v>
      </c>
      <c r="J379" s="236">
        <f>1998.53+3285.61+1792.29-4030.83-3000+764.74</f>
        <v>810.3400000000004</v>
      </c>
      <c r="K379" s="286"/>
      <c r="L379" s="223">
        <f t="shared" si="112"/>
        <v>324114.80000000005</v>
      </c>
      <c r="M379" s="28"/>
      <c r="N379" s="7"/>
      <c r="O379" s="21"/>
      <c r="P379" s="74"/>
      <c r="Q379" s="72"/>
    </row>
    <row r="380" spans="1:17" ht="12.75" hidden="1">
      <c r="A380" s="32" t="s">
        <v>290</v>
      </c>
      <c r="B380" s="91"/>
      <c r="C380" s="187"/>
      <c r="D380" s="107"/>
      <c r="E380" s="107"/>
      <c r="F380" s="206">
        <f t="shared" si="107"/>
        <v>0</v>
      </c>
      <c r="G380" s="236"/>
      <c r="H380" s="224"/>
      <c r="I380" s="223">
        <f t="shared" si="111"/>
        <v>0</v>
      </c>
      <c r="J380" s="236"/>
      <c r="K380" s="286"/>
      <c r="L380" s="223">
        <f t="shared" si="112"/>
        <v>0</v>
      </c>
      <c r="M380" s="28"/>
      <c r="N380" s="7"/>
      <c r="O380" s="21"/>
      <c r="P380" s="74"/>
      <c r="Q380" s="72"/>
    </row>
    <row r="381" spans="1:17" ht="12.75">
      <c r="A381" s="32" t="s">
        <v>257</v>
      </c>
      <c r="B381" s="91">
        <v>2088</v>
      </c>
      <c r="C381" s="187"/>
      <c r="D381" s="107">
        <f>150947.12+21889.3+15539.92</f>
        <v>188376.34</v>
      </c>
      <c r="E381" s="107"/>
      <c r="F381" s="206">
        <f t="shared" si="107"/>
        <v>188376.34</v>
      </c>
      <c r="G381" s="236">
        <f>7249.16</f>
        <v>7249.16</v>
      </c>
      <c r="H381" s="224"/>
      <c r="I381" s="223">
        <f t="shared" si="111"/>
        <v>195625.5</v>
      </c>
      <c r="J381" s="236"/>
      <c r="K381" s="286"/>
      <c r="L381" s="223">
        <f t="shared" si="112"/>
        <v>195625.5</v>
      </c>
      <c r="M381" s="28"/>
      <c r="N381" s="7"/>
      <c r="O381" s="21"/>
      <c r="P381" s="74"/>
      <c r="Q381" s="72"/>
    </row>
    <row r="382" spans="1:17" ht="12.75">
      <c r="A382" s="36" t="s">
        <v>223</v>
      </c>
      <c r="B382" s="91">
        <v>2077</v>
      </c>
      <c r="C382" s="187">
        <f>97068.16+10000</f>
        <v>107068.16</v>
      </c>
      <c r="D382" s="107">
        <f>121377.45+5000-302.5-2202.72-1474.08-45.98-57.31-487.76-172.52-664.17-1624.63-4327.31-2761.29-3333.97+25500+19600-364.33-57</f>
        <v>153601.88000000003</v>
      </c>
      <c r="E382" s="107"/>
      <c r="F382" s="206">
        <f t="shared" si="107"/>
        <v>260670.04000000004</v>
      </c>
      <c r="G382" s="236">
        <f>-2143.38-6183.38-9.68-1008.85-165.71-1814.01-800-700+3457.7</f>
        <v>-9367.310000000001</v>
      </c>
      <c r="H382" s="224"/>
      <c r="I382" s="223">
        <f t="shared" si="111"/>
        <v>251302.73000000004</v>
      </c>
      <c r="J382" s="236">
        <f>-300.35-28.82-24.68-92-322.83-449.85-1045.36-772.85-2294.41-1461.34-586.4-1433.78-1723.33-1863.46-1005.51-318.32-1952.83-2519.99-736.66-1200-1000</f>
        <v>-21132.77</v>
      </c>
      <c r="K382" s="286"/>
      <c r="L382" s="223">
        <f t="shared" si="112"/>
        <v>230169.96000000005</v>
      </c>
      <c r="M382" s="28"/>
      <c r="N382" s="7"/>
      <c r="O382" s="21"/>
      <c r="P382" s="74"/>
      <c r="Q382" s="72"/>
    </row>
    <row r="383" spans="1:18" ht="12.75">
      <c r="A383" s="43" t="s">
        <v>258</v>
      </c>
      <c r="B383" s="94">
        <v>2099</v>
      </c>
      <c r="C383" s="186"/>
      <c r="D383" s="115">
        <f>116031.47+1530+16.41+13.64-13.89-26.85-31.83-7.08-32.77-126.63-63.09-5000-882.32-2800.1-493.57+11732.78-1998.27+10557.37-19600-10500-15000-8.2-912.12-2407.87+659.56-40000</f>
        <v>40636.63999999997</v>
      </c>
      <c r="E383" s="115">
        <f>-11155.93-21009.77+11155.93+21009.77-2445.98</f>
        <v>-2445.98</v>
      </c>
      <c r="F383" s="211">
        <f t="shared" si="107"/>
        <v>38190.65999999997</v>
      </c>
      <c r="G383" s="235">
        <f>1556.23+4257.22+2057.75-5066.14-0.83-3291.77-2276.42-297.17-1382.39-672.56+381.38-610.36+21.2+30925.71+2767.29+5056.24-1209.34+1891.4-2752.23+1805.25+5222.21+5406.13-1289.33-1000-652+20000</f>
        <v>60847.46999999999</v>
      </c>
      <c r="H383" s="253">
        <f>-99.55-8591.65+99.55+8591.65</f>
        <v>0</v>
      </c>
      <c r="I383" s="231">
        <f t="shared" si="111"/>
        <v>99038.12999999995</v>
      </c>
      <c r="J383" s="235">
        <f>4000+67.75+1127.35-200.24-19.22-16.46-4692.45-521.32-241.58-299.89-696.91-1998.53-515.23-3285.61-20.33-1638.82-390.93-1792.29-955.85-1148.89+5475.79+100.15+7152.84+1960.27+1875.78+814.93+20299.6-1596.66-670.34-212.22-1301.89-2276.59+4030.83-31600+3161.87+2595.41-764.74</f>
        <v>-4194.419999999999</v>
      </c>
      <c r="K383" s="289"/>
      <c r="L383" s="231">
        <f t="shared" si="112"/>
        <v>94843.70999999995</v>
      </c>
      <c r="M383" s="28"/>
      <c r="N383" s="7"/>
      <c r="O383" s="21"/>
      <c r="P383" s="74"/>
      <c r="Q383" s="72"/>
      <c r="R383" s="60"/>
    </row>
    <row r="384" spans="1:17" ht="12.75">
      <c r="A384" s="29" t="s">
        <v>89</v>
      </c>
      <c r="B384" s="95"/>
      <c r="C384" s="105">
        <f aca="true" t="shared" si="113" ref="C384:Q384">C385+C411</f>
        <v>334783.56</v>
      </c>
      <c r="D384" s="106">
        <f t="shared" si="113"/>
        <v>351191.82</v>
      </c>
      <c r="E384" s="106">
        <f t="shared" si="113"/>
        <v>0</v>
      </c>
      <c r="F384" s="205">
        <f t="shared" si="113"/>
        <v>685975.3800000001</v>
      </c>
      <c r="G384" s="232">
        <f t="shared" si="113"/>
        <v>861576.0499999999</v>
      </c>
      <c r="H384" s="248">
        <f t="shared" si="113"/>
        <v>0</v>
      </c>
      <c r="I384" s="222">
        <f t="shared" si="113"/>
        <v>1547551.43</v>
      </c>
      <c r="J384" s="232">
        <f>J385+J411</f>
        <v>51326.88</v>
      </c>
      <c r="K384" s="285">
        <f>K385+K411</f>
        <v>0</v>
      </c>
      <c r="L384" s="222">
        <f>L385+L411</f>
        <v>1598878.31</v>
      </c>
      <c r="M384" s="105">
        <f t="shared" si="113"/>
        <v>0</v>
      </c>
      <c r="N384" s="105">
        <f t="shared" si="113"/>
        <v>0</v>
      </c>
      <c r="O384" s="105">
        <f t="shared" si="113"/>
        <v>428415.07</v>
      </c>
      <c r="P384" s="105">
        <f t="shared" si="113"/>
        <v>0</v>
      </c>
      <c r="Q384" s="159">
        <f t="shared" si="113"/>
        <v>428415.07</v>
      </c>
    </row>
    <row r="385" spans="1:17" ht="12.75">
      <c r="A385" s="38" t="s">
        <v>49</v>
      </c>
      <c r="B385" s="95"/>
      <c r="C385" s="113">
        <f aca="true" t="shared" si="114" ref="C385:Q385">SUM(C387:C410)</f>
        <v>334783.56</v>
      </c>
      <c r="D385" s="114">
        <f t="shared" si="114"/>
        <v>351191.82</v>
      </c>
      <c r="E385" s="114">
        <f t="shared" si="114"/>
        <v>0</v>
      </c>
      <c r="F385" s="209">
        <f t="shared" si="114"/>
        <v>685975.3800000001</v>
      </c>
      <c r="G385" s="233">
        <f t="shared" si="114"/>
        <v>861576.0499999999</v>
      </c>
      <c r="H385" s="251">
        <f t="shared" si="114"/>
        <v>0</v>
      </c>
      <c r="I385" s="229">
        <f t="shared" si="114"/>
        <v>1547551.43</v>
      </c>
      <c r="J385" s="233">
        <f>SUM(J387:J410)</f>
        <v>51326.88</v>
      </c>
      <c r="K385" s="290">
        <f>SUM(K387:K410)</f>
        <v>0</v>
      </c>
      <c r="L385" s="229">
        <f>SUM(L387:L410)</f>
        <v>1598878.31</v>
      </c>
      <c r="M385" s="113">
        <f t="shared" si="114"/>
        <v>0</v>
      </c>
      <c r="N385" s="113">
        <f t="shared" si="114"/>
        <v>0</v>
      </c>
      <c r="O385" s="113">
        <f t="shared" si="114"/>
        <v>428415.07</v>
      </c>
      <c r="P385" s="113">
        <f t="shared" si="114"/>
        <v>0</v>
      </c>
      <c r="Q385" s="164">
        <f t="shared" si="114"/>
        <v>428415.07</v>
      </c>
    </row>
    <row r="386" spans="1:17" ht="12.75">
      <c r="A386" s="34" t="s">
        <v>26</v>
      </c>
      <c r="B386" s="91"/>
      <c r="C386" s="108"/>
      <c r="D386" s="107"/>
      <c r="E386" s="107"/>
      <c r="F386" s="206"/>
      <c r="G386" s="236"/>
      <c r="H386" s="224"/>
      <c r="I386" s="223"/>
      <c r="J386" s="236"/>
      <c r="K386" s="286"/>
      <c r="L386" s="223"/>
      <c r="M386" s="20"/>
      <c r="N386" s="7"/>
      <c r="O386" s="21"/>
      <c r="P386" s="74"/>
      <c r="Q386" s="72"/>
    </row>
    <row r="387" spans="1:17" ht="12.75">
      <c r="A387" s="179" t="s">
        <v>90</v>
      </c>
      <c r="B387" s="97"/>
      <c r="C387" s="108">
        <v>253700</v>
      </c>
      <c r="D387" s="107">
        <f>38016+27.2</f>
        <v>38043.2</v>
      </c>
      <c r="E387" s="107"/>
      <c r="F387" s="206">
        <f aca="true" t="shared" si="115" ref="F387:F410">C387+D387+E387</f>
        <v>291743.2</v>
      </c>
      <c r="G387" s="236">
        <f>30000</f>
        <v>30000</v>
      </c>
      <c r="H387" s="224"/>
      <c r="I387" s="223">
        <f>F387+G387+H387</f>
        <v>321743.2</v>
      </c>
      <c r="J387" s="236">
        <f>3357</f>
        <v>3357</v>
      </c>
      <c r="K387" s="286"/>
      <c r="L387" s="223">
        <f>I387+J387+K387</f>
        <v>325100.2</v>
      </c>
      <c r="M387" s="20"/>
      <c r="N387" s="7"/>
      <c r="O387" s="21">
        <f>L387+M387+N387</f>
        <v>325100.2</v>
      </c>
      <c r="P387" s="74"/>
      <c r="Q387" s="72">
        <f>O387+P387</f>
        <v>325100.2</v>
      </c>
    </row>
    <row r="388" spans="1:17" ht="12.75" hidden="1">
      <c r="A388" s="92" t="s">
        <v>191</v>
      </c>
      <c r="B388" s="97"/>
      <c r="C388" s="108"/>
      <c r="D388" s="107"/>
      <c r="E388" s="107"/>
      <c r="F388" s="206">
        <f t="shared" si="115"/>
        <v>0</v>
      </c>
      <c r="G388" s="236"/>
      <c r="H388" s="224"/>
      <c r="I388" s="223">
        <f aca="true" t="shared" si="116" ref="I388:I410">F388+G388+H388</f>
        <v>0</v>
      </c>
      <c r="J388" s="236"/>
      <c r="K388" s="286"/>
      <c r="L388" s="223">
        <f aca="true" t="shared" si="117" ref="L388:L403">I388+J388+K388</f>
        <v>0</v>
      </c>
      <c r="M388" s="20"/>
      <c r="N388" s="7"/>
      <c r="O388" s="21"/>
      <c r="P388" s="74"/>
      <c r="Q388" s="72"/>
    </row>
    <row r="389" spans="1:17" ht="12.75" hidden="1">
      <c r="A389" s="32" t="s">
        <v>134</v>
      </c>
      <c r="B389" s="91"/>
      <c r="C389" s="108"/>
      <c r="D389" s="107"/>
      <c r="E389" s="107"/>
      <c r="F389" s="206">
        <f t="shared" si="115"/>
        <v>0</v>
      </c>
      <c r="G389" s="236"/>
      <c r="H389" s="224"/>
      <c r="I389" s="223">
        <f t="shared" si="116"/>
        <v>0</v>
      </c>
      <c r="J389" s="236"/>
      <c r="K389" s="286"/>
      <c r="L389" s="223">
        <f t="shared" si="117"/>
        <v>0</v>
      </c>
      <c r="M389" s="20"/>
      <c r="N389" s="7"/>
      <c r="O389" s="21">
        <f>L389+M389+N389</f>
        <v>0</v>
      </c>
      <c r="P389" s="74"/>
      <c r="Q389" s="72">
        <f>O389+P389</f>
        <v>0</v>
      </c>
    </row>
    <row r="390" spans="1:17" ht="12.75">
      <c r="A390" s="32" t="s">
        <v>150</v>
      </c>
      <c r="B390" s="91"/>
      <c r="C390" s="108">
        <v>70000</v>
      </c>
      <c r="D390" s="107"/>
      <c r="E390" s="107"/>
      <c r="F390" s="206">
        <f t="shared" si="115"/>
        <v>70000</v>
      </c>
      <c r="G390" s="236"/>
      <c r="H390" s="224"/>
      <c r="I390" s="223">
        <f t="shared" si="116"/>
        <v>70000</v>
      </c>
      <c r="J390" s="236">
        <f>300.77+40.27</f>
        <v>341.03999999999996</v>
      </c>
      <c r="K390" s="286"/>
      <c r="L390" s="223">
        <f t="shared" si="117"/>
        <v>70341.04</v>
      </c>
      <c r="M390" s="20"/>
      <c r="N390" s="7"/>
      <c r="O390" s="21"/>
      <c r="P390" s="74"/>
      <c r="Q390" s="72"/>
    </row>
    <row r="391" spans="1:17" ht="12.75">
      <c r="A391" s="32" t="s">
        <v>51</v>
      </c>
      <c r="B391" s="91"/>
      <c r="C391" s="108">
        <v>10593.56</v>
      </c>
      <c r="D391" s="107"/>
      <c r="E391" s="107"/>
      <c r="F391" s="206">
        <f t="shared" si="115"/>
        <v>10593.56</v>
      </c>
      <c r="G391" s="236">
        <f>134</f>
        <v>134</v>
      </c>
      <c r="H391" s="224"/>
      <c r="I391" s="223">
        <f t="shared" si="116"/>
        <v>10727.56</v>
      </c>
      <c r="J391" s="236"/>
      <c r="K391" s="286"/>
      <c r="L391" s="223">
        <f t="shared" si="117"/>
        <v>10727.56</v>
      </c>
      <c r="M391" s="20"/>
      <c r="N391" s="7"/>
      <c r="O391" s="21">
        <f>L391+M391+N391</f>
        <v>10727.56</v>
      </c>
      <c r="P391" s="74"/>
      <c r="Q391" s="72">
        <f>O391+P391</f>
        <v>10727.56</v>
      </c>
    </row>
    <row r="392" spans="1:17" ht="12.75" hidden="1">
      <c r="A392" s="32" t="s">
        <v>64</v>
      </c>
      <c r="B392" s="91"/>
      <c r="C392" s="108"/>
      <c r="D392" s="107"/>
      <c r="E392" s="107"/>
      <c r="F392" s="206">
        <f t="shared" si="115"/>
        <v>0</v>
      </c>
      <c r="G392" s="236"/>
      <c r="H392" s="224"/>
      <c r="I392" s="223">
        <f t="shared" si="116"/>
        <v>0</v>
      </c>
      <c r="J392" s="236"/>
      <c r="K392" s="286"/>
      <c r="L392" s="223">
        <f t="shared" si="117"/>
        <v>0</v>
      </c>
      <c r="M392" s="20"/>
      <c r="N392" s="7"/>
      <c r="O392" s="21">
        <f>L392+M392+N392</f>
        <v>0</v>
      </c>
      <c r="P392" s="74"/>
      <c r="Q392" s="72">
        <f>O392+P392</f>
        <v>0</v>
      </c>
    </row>
    <row r="393" spans="1:17" ht="12.75" hidden="1">
      <c r="A393" s="32" t="s">
        <v>245</v>
      </c>
      <c r="B393" s="91">
        <v>13013</v>
      </c>
      <c r="C393" s="108"/>
      <c r="D393" s="107"/>
      <c r="E393" s="107"/>
      <c r="F393" s="206">
        <f t="shared" si="115"/>
        <v>0</v>
      </c>
      <c r="G393" s="236"/>
      <c r="H393" s="224"/>
      <c r="I393" s="223">
        <f t="shared" si="116"/>
        <v>0</v>
      </c>
      <c r="J393" s="236"/>
      <c r="K393" s="286"/>
      <c r="L393" s="223">
        <f t="shared" si="117"/>
        <v>0</v>
      </c>
      <c r="M393" s="20"/>
      <c r="N393" s="7"/>
      <c r="O393" s="21"/>
      <c r="P393" s="74"/>
      <c r="Q393" s="72"/>
    </row>
    <row r="394" spans="1:17" ht="12.75">
      <c r="A394" s="92" t="s">
        <v>315</v>
      </c>
      <c r="B394" s="91">
        <v>2178</v>
      </c>
      <c r="C394" s="108"/>
      <c r="D394" s="107">
        <f>908.07</f>
        <v>908.07</v>
      </c>
      <c r="E394" s="107"/>
      <c r="F394" s="206">
        <f t="shared" si="115"/>
        <v>908.07</v>
      </c>
      <c r="G394" s="236"/>
      <c r="H394" s="224"/>
      <c r="I394" s="223">
        <f t="shared" si="116"/>
        <v>908.07</v>
      </c>
      <c r="J394" s="236"/>
      <c r="K394" s="286"/>
      <c r="L394" s="223">
        <f t="shared" si="117"/>
        <v>908.07</v>
      </c>
      <c r="M394" s="20"/>
      <c r="N394" s="7"/>
      <c r="O394" s="21"/>
      <c r="P394" s="74"/>
      <c r="Q394" s="72"/>
    </row>
    <row r="395" spans="1:17" ht="13.5" thickBot="1">
      <c r="A395" s="315" t="s">
        <v>342</v>
      </c>
      <c r="B395" s="130">
        <v>2178</v>
      </c>
      <c r="C395" s="188"/>
      <c r="D395" s="131"/>
      <c r="E395" s="131"/>
      <c r="F395" s="212">
        <f t="shared" si="115"/>
        <v>0</v>
      </c>
      <c r="G395" s="310">
        <f>1391.46</f>
        <v>1391.46</v>
      </c>
      <c r="H395" s="311"/>
      <c r="I395" s="312">
        <f t="shared" si="116"/>
        <v>1391.46</v>
      </c>
      <c r="J395" s="310"/>
      <c r="K395" s="313"/>
      <c r="L395" s="312">
        <f t="shared" si="117"/>
        <v>1391.46</v>
      </c>
      <c r="M395" s="20"/>
      <c r="N395" s="7"/>
      <c r="O395" s="21"/>
      <c r="P395" s="74"/>
      <c r="Q395" s="72"/>
    </row>
    <row r="396" spans="1:17" ht="12.75">
      <c r="A396" s="32" t="s">
        <v>316</v>
      </c>
      <c r="B396" s="91">
        <v>2073</v>
      </c>
      <c r="C396" s="108"/>
      <c r="D396" s="107">
        <f>1390.57</f>
        <v>1390.57</v>
      </c>
      <c r="E396" s="107"/>
      <c r="F396" s="206">
        <f t="shared" si="115"/>
        <v>1390.57</v>
      </c>
      <c r="G396" s="236"/>
      <c r="H396" s="224"/>
      <c r="I396" s="223">
        <f t="shared" si="116"/>
        <v>1390.57</v>
      </c>
      <c r="J396" s="236"/>
      <c r="K396" s="286"/>
      <c r="L396" s="223">
        <f t="shared" si="117"/>
        <v>1390.57</v>
      </c>
      <c r="M396" s="20"/>
      <c r="N396" s="7"/>
      <c r="O396" s="21"/>
      <c r="P396" s="74"/>
      <c r="Q396" s="72"/>
    </row>
    <row r="397" spans="1:17" ht="12.75" hidden="1">
      <c r="A397" s="32" t="s">
        <v>301</v>
      </c>
      <c r="B397" s="91"/>
      <c r="C397" s="108"/>
      <c r="D397" s="107">
        <f>29773.34</f>
        <v>29773.34</v>
      </c>
      <c r="E397" s="107"/>
      <c r="F397" s="206">
        <f t="shared" si="115"/>
        <v>29773.34</v>
      </c>
      <c r="G397" s="236">
        <f>-29773.34</f>
        <v>-29773.34</v>
      </c>
      <c r="H397" s="224"/>
      <c r="I397" s="223">
        <f t="shared" si="116"/>
        <v>0</v>
      </c>
      <c r="J397" s="236"/>
      <c r="K397" s="286"/>
      <c r="L397" s="223">
        <f t="shared" si="117"/>
        <v>0</v>
      </c>
      <c r="M397" s="20"/>
      <c r="N397" s="7"/>
      <c r="O397" s="21"/>
      <c r="P397" s="74"/>
      <c r="Q397" s="72"/>
    </row>
    <row r="398" spans="1:17" ht="12.75">
      <c r="A398" s="32" t="s">
        <v>317</v>
      </c>
      <c r="B398" s="91">
        <v>1230</v>
      </c>
      <c r="C398" s="108"/>
      <c r="D398" s="107">
        <f>11294.79</f>
        <v>11294.79</v>
      </c>
      <c r="E398" s="107"/>
      <c r="F398" s="206">
        <f t="shared" si="115"/>
        <v>11294.79</v>
      </c>
      <c r="G398" s="236"/>
      <c r="H398" s="224"/>
      <c r="I398" s="223">
        <f t="shared" si="116"/>
        <v>11294.79</v>
      </c>
      <c r="J398" s="236"/>
      <c r="K398" s="286"/>
      <c r="L398" s="223">
        <f t="shared" si="117"/>
        <v>11294.79</v>
      </c>
      <c r="M398" s="20"/>
      <c r="N398" s="7"/>
      <c r="O398" s="21"/>
      <c r="P398" s="74"/>
      <c r="Q398" s="72"/>
    </row>
    <row r="399" spans="1:17" ht="12.75">
      <c r="A399" s="32" t="s">
        <v>340</v>
      </c>
      <c r="B399" s="91">
        <v>1230</v>
      </c>
      <c r="C399" s="108"/>
      <c r="D399" s="107"/>
      <c r="E399" s="107"/>
      <c r="F399" s="206">
        <f t="shared" si="115"/>
        <v>0</v>
      </c>
      <c r="G399" s="236">
        <f>17341.72</f>
        <v>17341.72</v>
      </c>
      <c r="H399" s="224"/>
      <c r="I399" s="223">
        <f t="shared" si="116"/>
        <v>17341.72</v>
      </c>
      <c r="J399" s="236"/>
      <c r="K399" s="286"/>
      <c r="L399" s="223">
        <f t="shared" si="117"/>
        <v>17341.72</v>
      </c>
      <c r="M399" s="20"/>
      <c r="N399" s="7"/>
      <c r="O399" s="21"/>
      <c r="P399" s="74"/>
      <c r="Q399" s="72"/>
    </row>
    <row r="400" spans="1:17" ht="12.75">
      <c r="A400" s="32" t="s">
        <v>318</v>
      </c>
      <c r="B400" s="91">
        <v>2080</v>
      </c>
      <c r="C400" s="108"/>
      <c r="D400" s="107">
        <f>4929.64</f>
        <v>4929.64</v>
      </c>
      <c r="E400" s="107"/>
      <c r="F400" s="206">
        <f t="shared" si="115"/>
        <v>4929.64</v>
      </c>
      <c r="G400" s="236"/>
      <c r="H400" s="224"/>
      <c r="I400" s="223">
        <f t="shared" si="116"/>
        <v>4929.64</v>
      </c>
      <c r="J400" s="236"/>
      <c r="K400" s="286"/>
      <c r="L400" s="223">
        <f t="shared" si="117"/>
        <v>4929.64</v>
      </c>
      <c r="M400" s="20"/>
      <c r="N400" s="7"/>
      <c r="O400" s="21"/>
      <c r="P400" s="74"/>
      <c r="Q400" s="72"/>
    </row>
    <row r="401" spans="1:17" ht="12.75">
      <c r="A401" s="32" t="s">
        <v>325</v>
      </c>
      <c r="B401" s="91">
        <v>2080</v>
      </c>
      <c r="C401" s="108"/>
      <c r="D401" s="107">
        <f>1449.15</f>
        <v>1449.15</v>
      </c>
      <c r="E401" s="107"/>
      <c r="F401" s="206">
        <f t="shared" si="115"/>
        <v>1449.15</v>
      </c>
      <c r="G401" s="236"/>
      <c r="H401" s="224"/>
      <c r="I401" s="223">
        <f t="shared" si="116"/>
        <v>1449.15</v>
      </c>
      <c r="J401" s="236"/>
      <c r="K401" s="286"/>
      <c r="L401" s="223">
        <f t="shared" si="117"/>
        <v>1449.15</v>
      </c>
      <c r="M401" s="20"/>
      <c r="N401" s="7"/>
      <c r="O401" s="21"/>
      <c r="P401" s="74"/>
      <c r="Q401" s="72"/>
    </row>
    <row r="402" spans="1:17" ht="12.75">
      <c r="A402" s="32" t="s">
        <v>319</v>
      </c>
      <c r="B402" s="91">
        <v>1233</v>
      </c>
      <c r="C402" s="108"/>
      <c r="D402" s="107">
        <f>7214.55</f>
        <v>7214.55</v>
      </c>
      <c r="E402" s="107"/>
      <c r="F402" s="206">
        <f t="shared" si="115"/>
        <v>7214.55</v>
      </c>
      <c r="G402" s="236"/>
      <c r="H402" s="224"/>
      <c r="I402" s="223">
        <f t="shared" si="116"/>
        <v>7214.55</v>
      </c>
      <c r="J402" s="236"/>
      <c r="K402" s="286"/>
      <c r="L402" s="223">
        <f t="shared" si="117"/>
        <v>7214.55</v>
      </c>
      <c r="M402" s="20"/>
      <c r="N402" s="7"/>
      <c r="O402" s="21"/>
      <c r="P402" s="74"/>
      <c r="Q402" s="72"/>
    </row>
    <row r="403" spans="1:17" ht="12.75">
      <c r="A403" s="41" t="s">
        <v>187</v>
      </c>
      <c r="B403" s="91">
        <v>13305</v>
      </c>
      <c r="C403" s="108"/>
      <c r="D403" s="107">
        <f>206235.5</f>
        <v>206235.5</v>
      </c>
      <c r="E403" s="107"/>
      <c r="F403" s="206">
        <f t="shared" si="115"/>
        <v>206235.5</v>
      </c>
      <c r="G403" s="236">
        <f>103117.75+744849</f>
        <v>847966.75</v>
      </c>
      <c r="H403" s="224"/>
      <c r="I403" s="223">
        <f t="shared" si="116"/>
        <v>1054202.25</v>
      </c>
      <c r="J403" s="236"/>
      <c r="K403" s="286"/>
      <c r="L403" s="223">
        <f t="shared" si="117"/>
        <v>1054202.25</v>
      </c>
      <c r="M403" s="20"/>
      <c r="N403" s="7"/>
      <c r="O403" s="21"/>
      <c r="P403" s="74"/>
      <c r="Q403" s="72"/>
    </row>
    <row r="404" spans="1:17" ht="12.75">
      <c r="A404" s="32" t="s">
        <v>91</v>
      </c>
      <c r="B404" s="91">
        <v>13307</v>
      </c>
      <c r="C404" s="108"/>
      <c r="D404" s="107">
        <f>3000</f>
        <v>3000</v>
      </c>
      <c r="E404" s="107"/>
      <c r="F404" s="206">
        <f t="shared" si="115"/>
        <v>3000</v>
      </c>
      <c r="G404" s="236">
        <f>7000</f>
        <v>7000</v>
      </c>
      <c r="H404" s="224"/>
      <c r="I404" s="223">
        <f t="shared" si="116"/>
        <v>10000</v>
      </c>
      <c r="J404" s="236">
        <f>2000</f>
        <v>2000</v>
      </c>
      <c r="K404" s="286"/>
      <c r="L404" s="223">
        <f>I404+J404+K404</f>
        <v>12000</v>
      </c>
      <c r="M404" s="20"/>
      <c r="N404" s="7"/>
      <c r="O404" s="21">
        <f>L404+M404+N404</f>
        <v>12000</v>
      </c>
      <c r="P404" s="74"/>
      <c r="Q404" s="72">
        <f>O404+P404</f>
        <v>12000</v>
      </c>
    </row>
    <row r="405" spans="1:17" ht="12.75" hidden="1">
      <c r="A405" s="32" t="s">
        <v>133</v>
      </c>
      <c r="B405" s="91">
        <v>14032</v>
      </c>
      <c r="C405" s="108"/>
      <c r="D405" s="107"/>
      <c r="E405" s="107"/>
      <c r="F405" s="206">
        <f t="shared" si="115"/>
        <v>0</v>
      </c>
      <c r="G405" s="236"/>
      <c r="H405" s="224"/>
      <c r="I405" s="223">
        <f t="shared" si="116"/>
        <v>0</v>
      </c>
      <c r="J405" s="236"/>
      <c r="K405" s="286"/>
      <c r="L405" s="223">
        <f>I405+J405+K405</f>
        <v>0</v>
      </c>
      <c r="M405" s="20"/>
      <c r="N405" s="7"/>
      <c r="O405" s="21">
        <f>L405+M405+N405</f>
        <v>0</v>
      </c>
      <c r="P405" s="74"/>
      <c r="Q405" s="72">
        <f>O405+P405</f>
        <v>0</v>
      </c>
    </row>
    <row r="406" spans="1:17" ht="12.75" hidden="1">
      <c r="A406" s="92" t="s">
        <v>320</v>
      </c>
      <c r="B406" s="91">
        <v>13351</v>
      </c>
      <c r="C406" s="108"/>
      <c r="D406" s="107"/>
      <c r="E406" s="107"/>
      <c r="F406" s="206">
        <f t="shared" si="115"/>
        <v>0</v>
      </c>
      <c r="G406" s="236"/>
      <c r="H406" s="224"/>
      <c r="I406" s="223">
        <f t="shared" si="116"/>
        <v>0</v>
      </c>
      <c r="J406" s="236"/>
      <c r="K406" s="286"/>
      <c r="L406" s="223"/>
      <c r="M406" s="20"/>
      <c r="N406" s="7"/>
      <c r="O406" s="21"/>
      <c r="P406" s="74"/>
      <c r="Q406" s="72"/>
    </row>
    <row r="407" spans="1:17" ht="12.75" hidden="1">
      <c r="A407" s="53" t="s">
        <v>293</v>
      </c>
      <c r="B407" s="91">
        <v>13351</v>
      </c>
      <c r="C407" s="108"/>
      <c r="D407" s="107"/>
      <c r="E407" s="107"/>
      <c r="F407" s="206">
        <f t="shared" si="115"/>
        <v>0</v>
      </c>
      <c r="G407" s="236"/>
      <c r="H407" s="224"/>
      <c r="I407" s="223">
        <f t="shared" si="116"/>
        <v>0</v>
      </c>
      <c r="J407" s="236"/>
      <c r="K407" s="286"/>
      <c r="L407" s="223"/>
      <c r="M407" s="20"/>
      <c r="N407" s="7"/>
      <c r="O407" s="21"/>
      <c r="P407" s="74"/>
      <c r="Q407" s="72"/>
    </row>
    <row r="408" spans="1:17" ht="12.75">
      <c r="A408" s="92" t="s">
        <v>140</v>
      </c>
      <c r="B408" s="91">
        <v>4359</v>
      </c>
      <c r="C408" s="108"/>
      <c r="D408" s="107"/>
      <c r="E408" s="107"/>
      <c r="F408" s="206">
        <f t="shared" si="115"/>
        <v>0</v>
      </c>
      <c r="G408" s="236">
        <f>603+492</f>
        <v>1095</v>
      </c>
      <c r="H408" s="224"/>
      <c r="I408" s="223">
        <f t="shared" si="116"/>
        <v>1095</v>
      </c>
      <c r="J408" s="236"/>
      <c r="K408" s="286"/>
      <c r="L408" s="223">
        <f>I408+J408+K408</f>
        <v>1095</v>
      </c>
      <c r="M408" s="20"/>
      <c r="N408" s="7"/>
      <c r="O408" s="21">
        <f>L408+M408+N408</f>
        <v>1095</v>
      </c>
      <c r="P408" s="74"/>
      <c r="Q408" s="72">
        <f>O408+P408</f>
        <v>1095</v>
      </c>
    </row>
    <row r="409" spans="1:17" ht="12.75" hidden="1">
      <c r="A409" s="92" t="s">
        <v>279</v>
      </c>
      <c r="B409" s="91"/>
      <c r="C409" s="108"/>
      <c r="D409" s="107"/>
      <c r="E409" s="107"/>
      <c r="F409" s="206">
        <f t="shared" si="115"/>
        <v>0</v>
      </c>
      <c r="G409" s="236"/>
      <c r="H409" s="224"/>
      <c r="I409" s="223">
        <f t="shared" si="116"/>
        <v>0</v>
      </c>
      <c r="J409" s="236"/>
      <c r="K409" s="286"/>
      <c r="L409" s="223"/>
      <c r="M409" s="20"/>
      <c r="N409" s="7"/>
      <c r="O409" s="21"/>
      <c r="P409" s="74"/>
      <c r="Q409" s="72"/>
    </row>
    <row r="410" spans="1:17" ht="12.75">
      <c r="A410" s="35" t="s">
        <v>75</v>
      </c>
      <c r="B410" s="94"/>
      <c r="C410" s="186">
        <v>490</v>
      </c>
      <c r="D410" s="115">
        <f>3035+1003.99+352.05+2429.62+674.71+8957.64+5000+10500+15000</f>
        <v>46953.009999999995</v>
      </c>
      <c r="E410" s="115"/>
      <c r="F410" s="211">
        <f t="shared" si="115"/>
        <v>47443.009999999995</v>
      </c>
      <c r="G410" s="235">
        <f>5846.49+52.35+200.96+122.58+42.8+33.11+122.17-20000</f>
        <v>-13579.54</v>
      </c>
      <c r="H410" s="253"/>
      <c r="I410" s="231">
        <f t="shared" si="116"/>
        <v>33863.469999999994</v>
      </c>
      <c r="J410" s="235">
        <f>57.48+171.36+13800+31600</f>
        <v>45628.84</v>
      </c>
      <c r="K410" s="289"/>
      <c r="L410" s="231">
        <f>I410+J410+K410</f>
        <v>79492.31</v>
      </c>
      <c r="M410" s="20"/>
      <c r="N410" s="7"/>
      <c r="O410" s="21">
        <f>L410+M410+N410</f>
        <v>79492.31</v>
      </c>
      <c r="P410" s="74"/>
      <c r="Q410" s="72">
        <f>O410+P410</f>
        <v>79492.31</v>
      </c>
    </row>
    <row r="411" spans="1:17" ht="12.75" hidden="1">
      <c r="A411" s="38" t="s">
        <v>53</v>
      </c>
      <c r="B411" s="95"/>
      <c r="C411" s="113">
        <f>SUM(C413:C415)</f>
        <v>0</v>
      </c>
      <c r="D411" s="114">
        <f aca="true" t="shared" si="118" ref="D411:Q411">SUM(D413:D415)</f>
        <v>0</v>
      </c>
      <c r="E411" s="114">
        <f t="shared" si="118"/>
        <v>0</v>
      </c>
      <c r="F411" s="209">
        <f t="shared" si="118"/>
        <v>0</v>
      </c>
      <c r="G411" s="233">
        <f t="shared" si="118"/>
        <v>0</v>
      </c>
      <c r="H411" s="251">
        <f t="shared" si="118"/>
        <v>0</v>
      </c>
      <c r="I411" s="229">
        <f t="shared" si="118"/>
        <v>0</v>
      </c>
      <c r="J411" s="233">
        <f t="shared" si="118"/>
        <v>0</v>
      </c>
      <c r="K411" s="290">
        <f t="shared" si="118"/>
        <v>0</v>
      </c>
      <c r="L411" s="229">
        <f t="shared" si="118"/>
        <v>0</v>
      </c>
      <c r="M411" s="113">
        <f t="shared" si="118"/>
        <v>0</v>
      </c>
      <c r="N411" s="113">
        <f t="shared" si="118"/>
        <v>0</v>
      </c>
      <c r="O411" s="113">
        <f t="shared" si="118"/>
        <v>0</v>
      </c>
      <c r="P411" s="113">
        <f t="shared" si="118"/>
        <v>0</v>
      </c>
      <c r="Q411" s="164">
        <f t="shared" si="118"/>
        <v>0</v>
      </c>
    </row>
    <row r="412" spans="1:17" ht="12.75" hidden="1">
      <c r="A412" s="34" t="s">
        <v>26</v>
      </c>
      <c r="B412" s="91"/>
      <c r="C412" s="108"/>
      <c r="D412" s="107"/>
      <c r="E412" s="107"/>
      <c r="F412" s="206"/>
      <c r="G412" s="236"/>
      <c r="H412" s="224"/>
      <c r="I412" s="223"/>
      <c r="J412" s="236"/>
      <c r="K412" s="286"/>
      <c r="L412" s="223"/>
      <c r="M412" s="20"/>
      <c r="N412" s="7"/>
      <c r="O412" s="21"/>
      <c r="P412" s="74"/>
      <c r="Q412" s="72"/>
    </row>
    <row r="413" spans="1:17" ht="12.75" hidden="1">
      <c r="A413" s="32" t="s">
        <v>83</v>
      </c>
      <c r="B413" s="91"/>
      <c r="C413" s="108"/>
      <c r="D413" s="107"/>
      <c r="E413" s="107"/>
      <c r="F413" s="206">
        <f>C413+D413+E413</f>
        <v>0</v>
      </c>
      <c r="G413" s="236"/>
      <c r="H413" s="224"/>
      <c r="I413" s="223">
        <f>F413+G413+H413</f>
        <v>0</v>
      </c>
      <c r="J413" s="236"/>
      <c r="K413" s="286"/>
      <c r="L413" s="223">
        <f>I413+J413+K413</f>
        <v>0</v>
      </c>
      <c r="M413" s="20"/>
      <c r="N413" s="7"/>
      <c r="O413" s="21">
        <f>L413+M413+N413</f>
        <v>0</v>
      </c>
      <c r="P413" s="74"/>
      <c r="Q413" s="72">
        <f>O413+P413</f>
        <v>0</v>
      </c>
    </row>
    <row r="414" spans="1:17" ht="12.75" hidden="1">
      <c r="A414" s="32" t="s">
        <v>54</v>
      </c>
      <c r="B414" s="91"/>
      <c r="C414" s="108"/>
      <c r="D414" s="107"/>
      <c r="E414" s="107"/>
      <c r="F414" s="206">
        <f>C414+D414+E414</f>
        <v>0</v>
      </c>
      <c r="G414" s="236"/>
      <c r="H414" s="224"/>
      <c r="I414" s="223"/>
      <c r="J414" s="236"/>
      <c r="K414" s="286"/>
      <c r="L414" s="223">
        <f>I414+J414+K414</f>
        <v>0</v>
      </c>
      <c r="M414" s="20"/>
      <c r="N414" s="7"/>
      <c r="O414" s="21">
        <f>L414+M414+N414</f>
        <v>0</v>
      </c>
      <c r="P414" s="74"/>
      <c r="Q414" s="72">
        <f>O414+P414</f>
        <v>0</v>
      </c>
    </row>
    <row r="415" spans="1:17" ht="13.5" hidden="1" thickBot="1">
      <c r="A415" s="156" t="s">
        <v>75</v>
      </c>
      <c r="B415" s="130"/>
      <c r="C415" s="188"/>
      <c r="D415" s="131"/>
      <c r="E415" s="131"/>
      <c r="F415" s="212">
        <f>C415+D415+E415</f>
        <v>0</v>
      </c>
      <c r="G415" s="236"/>
      <c r="H415" s="224"/>
      <c r="I415" s="223">
        <f>F415+G415+H415</f>
        <v>0</v>
      </c>
      <c r="J415" s="236"/>
      <c r="K415" s="286"/>
      <c r="L415" s="223">
        <f>I415+J415+K415</f>
        <v>0</v>
      </c>
      <c r="M415" s="20"/>
      <c r="N415" s="7"/>
      <c r="O415" s="21">
        <f>L415+M415+N415</f>
        <v>0</v>
      </c>
      <c r="P415" s="74"/>
      <c r="Q415" s="72">
        <f>O415+P415</f>
        <v>0</v>
      </c>
    </row>
    <row r="416" spans="1:17" ht="12.75">
      <c r="A416" s="33" t="s">
        <v>289</v>
      </c>
      <c r="B416" s="95"/>
      <c r="C416" s="105">
        <f aca="true" t="shared" si="119" ref="C416:Q416">C417+C428</f>
        <v>7532.35</v>
      </c>
      <c r="D416" s="106">
        <f t="shared" si="119"/>
        <v>2706.3</v>
      </c>
      <c r="E416" s="106">
        <f t="shared" si="119"/>
        <v>4945.98</v>
      </c>
      <c r="F416" s="205">
        <f t="shared" si="119"/>
        <v>15184.630000000001</v>
      </c>
      <c r="G416" s="232">
        <f t="shared" si="119"/>
        <v>3351.96</v>
      </c>
      <c r="H416" s="248">
        <f t="shared" si="119"/>
        <v>0</v>
      </c>
      <c r="I416" s="222">
        <f t="shared" si="119"/>
        <v>18536.59</v>
      </c>
      <c r="J416" s="232">
        <f>J417+J428</f>
        <v>1011.46</v>
      </c>
      <c r="K416" s="285">
        <f>K417+K428</f>
        <v>0</v>
      </c>
      <c r="L416" s="222">
        <f>L417+L428</f>
        <v>19548.05</v>
      </c>
      <c r="M416" s="105">
        <f t="shared" si="119"/>
        <v>0</v>
      </c>
      <c r="N416" s="105">
        <f t="shared" si="119"/>
        <v>0</v>
      </c>
      <c r="O416" s="105">
        <f t="shared" si="119"/>
        <v>15109.7</v>
      </c>
      <c r="P416" s="105">
        <f t="shared" si="119"/>
        <v>0</v>
      </c>
      <c r="Q416" s="159">
        <f t="shared" si="119"/>
        <v>15109.7</v>
      </c>
    </row>
    <row r="417" spans="1:17" ht="12.75">
      <c r="A417" s="38" t="s">
        <v>49</v>
      </c>
      <c r="B417" s="95"/>
      <c r="C417" s="113">
        <f aca="true" t="shared" si="120" ref="C417:Q417">SUM(C419:C427)</f>
        <v>7532.35</v>
      </c>
      <c r="D417" s="114">
        <f t="shared" si="120"/>
        <v>2706.3</v>
      </c>
      <c r="E417" s="114">
        <f t="shared" si="120"/>
        <v>4945.98</v>
      </c>
      <c r="F417" s="209">
        <f t="shared" si="120"/>
        <v>15184.630000000001</v>
      </c>
      <c r="G417" s="233">
        <f t="shared" si="120"/>
        <v>3351.96</v>
      </c>
      <c r="H417" s="251">
        <f t="shared" si="120"/>
        <v>0</v>
      </c>
      <c r="I417" s="229">
        <f t="shared" si="120"/>
        <v>18536.59</v>
      </c>
      <c r="J417" s="233">
        <f>SUM(J419:J427)</f>
        <v>1011.46</v>
      </c>
      <c r="K417" s="290">
        <f>SUM(K419:K427)</f>
        <v>0</v>
      </c>
      <c r="L417" s="229">
        <f>SUM(L419:L427)</f>
        <v>19548.05</v>
      </c>
      <c r="M417" s="113">
        <f t="shared" si="120"/>
        <v>0</v>
      </c>
      <c r="N417" s="113">
        <f t="shared" si="120"/>
        <v>0</v>
      </c>
      <c r="O417" s="113">
        <f t="shared" si="120"/>
        <v>15109.7</v>
      </c>
      <c r="P417" s="113">
        <f t="shared" si="120"/>
        <v>0</v>
      </c>
      <c r="Q417" s="164">
        <f t="shared" si="120"/>
        <v>15109.7</v>
      </c>
    </row>
    <row r="418" spans="1:17" ht="12.75">
      <c r="A418" s="34" t="s">
        <v>26</v>
      </c>
      <c r="B418" s="91"/>
      <c r="C418" s="108"/>
      <c r="D418" s="107"/>
      <c r="E418" s="107"/>
      <c r="F418" s="205"/>
      <c r="G418" s="236"/>
      <c r="H418" s="224"/>
      <c r="I418" s="222"/>
      <c r="J418" s="236"/>
      <c r="K418" s="286"/>
      <c r="L418" s="222"/>
      <c r="M418" s="20"/>
      <c r="N418" s="7"/>
      <c r="O418" s="19"/>
      <c r="P418" s="74"/>
      <c r="Q418" s="72"/>
    </row>
    <row r="419" spans="1:17" ht="12.75">
      <c r="A419" s="32" t="s">
        <v>51</v>
      </c>
      <c r="B419" s="91"/>
      <c r="C419" s="108">
        <v>7532.35</v>
      </c>
      <c r="D419" s="107">
        <f>2306.3</f>
        <v>2306.3</v>
      </c>
      <c r="E419" s="107"/>
      <c r="F419" s="206">
        <f aca="true" t="shared" si="121" ref="F419:F427">C419+D419+E419</f>
        <v>9838.650000000001</v>
      </c>
      <c r="G419" s="236">
        <f>35.57+2000</f>
        <v>2035.57</v>
      </c>
      <c r="H419" s="224"/>
      <c r="I419" s="223">
        <f aca="true" t="shared" si="122" ref="I419:I427">F419+G419+H419</f>
        <v>11874.220000000001</v>
      </c>
      <c r="J419" s="236">
        <f>389.5</f>
        <v>389.5</v>
      </c>
      <c r="K419" s="286"/>
      <c r="L419" s="223">
        <f>I419+J419+K419</f>
        <v>12263.720000000001</v>
      </c>
      <c r="M419" s="20"/>
      <c r="N419" s="7"/>
      <c r="O419" s="21">
        <f>L419+M419+N419</f>
        <v>12263.720000000001</v>
      </c>
      <c r="P419" s="74"/>
      <c r="Q419" s="72">
        <f>O419+P419</f>
        <v>12263.720000000001</v>
      </c>
    </row>
    <row r="420" spans="1:17" ht="12.75">
      <c r="A420" s="86" t="s">
        <v>327</v>
      </c>
      <c r="B420" s="91"/>
      <c r="C420" s="108"/>
      <c r="D420" s="107"/>
      <c r="E420" s="107">
        <f>2500</f>
        <v>2500</v>
      </c>
      <c r="F420" s="206">
        <f t="shared" si="121"/>
        <v>2500</v>
      </c>
      <c r="G420" s="236"/>
      <c r="H420" s="224"/>
      <c r="I420" s="223">
        <f t="shared" si="122"/>
        <v>2500</v>
      </c>
      <c r="J420" s="236"/>
      <c r="K420" s="286"/>
      <c r="L420" s="223">
        <f aca="true" t="shared" si="123" ref="L420:L426">I420+J420+K420</f>
        <v>2500</v>
      </c>
      <c r="M420" s="20"/>
      <c r="N420" s="7"/>
      <c r="O420" s="21"/>
      <c r="P420" s="74"/>
      <c r="Q420" s="72"/>
    </row>
    <row r="421" spans="1:17" ht="12.75">
      <c r="A421" s="32" t="s">
        <v>75</v>
      </c>
      <c r="B421" s="91"/>
      <c r="C421" s="108"/>
      <c r="D421" s="124">
        <f>400</f>
        <v>400</v>
      </c>
      <c r="E421" s="107">
        <f>2445.98</f>
        <v>2445.98</v>
      </c>
      <c r="F421" s="206">
        <f t="shared" si="121"/>
        <v>2845.98</v>
      </c>
      <c r="G421" s="236"/>
      <c r="H421" s="224"/>
      <c r="I421" s="223">
        <f t="shared" si="122"/>
        <v>2845.98</v>
      </c>
      <c r="J421" s="236"/>
      <c r="K421" s="286"/>
      <c r="L421" s="223">
        <f t="shared" si="123"/>
        <v>2845.98</v>
      </c>
      <c r="M421" s="20"/>
      <c r="N421" s="7"/>
      <c r="O421" s="21">
        <f>L421+M421+N421</f>
        <v>2845.98</v>
      </c>
      <c r="P421" s="74"/>
      <c r="Q421" s="72">
        <f>O421+P421</f>
        <v>2845.98</v>
      </c>
    </row>
    <row r="422" spans="1:17" ht="12.75" hidden="1">
      <c r="A422" s="32" t="s">
        <v>64</v>
      </c>
      <c r="B422" s="91"/>
      <c r="C422" s="108"/>
      <c r="D422" s="107"/>
      <c r="E422" s="107"/>
      <c r="F422" s="206">
        <f t="shared" si="121"/>
        <v>0</v>
      </c>
      <c r="G422" s="236"/>
      <c r="H422" s="224"/>
      <c r="I422" s="223">
        <f t="shared" si="122"/>
        <v>0</v>
      </c>
      <c r="J422" s="269"/>
      <c r="K422" s="286"/>
      <c r="L422" s="223">
        <f t="shared" si="123"/>
        <v>0</v>
      </c>
      <c r="M422" s="20"/>
      <c r="N422" s="7"/>
      <c r="O422" s="21">
        <f>L422+M422+N422</f>
        <v>0</v>
      </c>
      <c r="P422" s="74"/>
      <c r="Q422" s="72">
        <f>O422+P422</f>
        <v>0</v>
      </c>
    </row>
    <row r="423" spans="1:17" ht="12.75" hidden="1">
      <c r="A423" s="32" t="s">
        <v>146</v>
      </c>
      <c r="B423" s="91"/>
      <c r="C423" s="108"/>
      <c r="D423" s="107"/>
      <c r="E423" s="107"/>
      <c r="F423" s="206">
        <f t="shared" si="121"/>
        <v>0</v>
      </c>
      <c r="G423" s="236"/>
      <c r="H423" s="224"/>
      <c r="I423" s="223">
        <f t="shared" si="122"/>
        <v>0</v>
      </c>
      <c r="J423" s="269"/>
      <c r="K423" s="286"/>
      <c r="L423" s="223">
        <f t="shared" si="123"/>
        <v>0</v>
      </c>
      <c r="M423" s="20"/>
      <c r="N423" s="7"/>
      <c r="O423" s="21">
        <f>L423+M423+N423</f>
        <v>0</v>
      </c>
      <c r="P423" s="74"/>
      <c r="Q423" s="72">
        <f>O423+P423</f>
        <v>0</v>
      </c>
    </row>
    <row r="424" spans="1:17" ht="12.75">
      <c r="A424" s="41" t="s">
        <v>347</v>
      </c>
      <c r="B424" s="91" t="s">
        <v>359</v>
      </c>
      <c r="C424" s="108"/>
      <c r="D424" s="107"/>
      <c r="E424" s="107"/>
      <c r="F424" s="206">
        <f t="shared" si="121"/>
        <v>0</v>
      </c>
      <c r="G424" s="236"/>
      <c r="H424" s="224"/>
      <c r="I424" s="223">
        <f t="shared" si="122"/>
        <v>0</v>
      </c>
      <c r="J424" s="269">
        <f>621.96</f>
        <v>621.96</v>
      </c>
      <c r="K424" s="286"/>
      <c r="L424" s="223">
        <f t="shared" si="123"/>
        <v>621.96</v>
      </c>
      <c r="M424" s="20"/>
      <c r="N424" s="7"/>
      <c r="O424" s="21"/>
      <c r="P424" s="74"/>
      <c r="Q424" s="72"/>
    </row>
    <row r="425" spans="1:17" ht="12.75" hidden="1">
      <c r="A425" s="32" t="s">
        <v>236</v>
      </c>
      <c r="B425" s="91">
        <v>98035</v>
      </c>
      <c r="C425" s="108"/>
      <c r="D425" s="107"/>
      <c r="E425" s="107"/>
      <c r="F425" s="206">
        <f t="shared" si="121"/>
        <v>0</v>
      </c>
      <c r="G425" s="236"/>
      <c r="H425" s="224"/>
      <c r="I425" s="223">
        <f t="shared" si="122"/>
        <v>0</v>
      </c>
      <c r="J425" s="269"/>
      <c r="K425" s="286"/>
      <c r="L425" s="223">
        <f t="shared" si="123"/>
        <v>0</v>
      </c>
      <c r="M425" s="20"/>
      <c r="N425" s="7"/>
      <c r="O425" s="21"/>
      <c r="P425" s="74"/>
      <c r="Q425" s="72"/>
    </row>
    <row r="426" spans="1:17" ht="12.75">
      <c r="A426" s="35" t="s">
        <v>337</v>
      </c>
      <c r="B426" s="279" t="s">
        <v>216</v>
      </c>
      <c r="C426" s="186"/>
      <c r="D426" s="115"/>
      <c r="E426" s="115"/>
      <c r="F426" s="211">
        <f t="shared" si="121"/>
        <v>0</v>
      </c>
      <c r="G426" s="235">
        <f>1316.39</f>
        <v>1316.39</v>
      </c>
      <c r="H426" s="253"/>
      <c r="I426" s="231">
        <f t="shared" si="122"/>
        <v>1316.39</v>
      </c>
      <c r="J426" s="306"/>
      <c r="K426" s="289"/>
      <c r="L426" s="231">
        <f t="shared" si="123"/>
        <v>1316.39</v>
      </c>
      <c r="M426" s="20"/>
      <c r="N426" s="7"/>
      <c r="O426" s="21"/>
      <c r="P426" s="74"/>
      <c r="Q426" s="72"/>
    </row>
    <row r="427" spans="1:17" ht="12.75" hidden="1">
      <c r="A427" s="32" t="s">
        <v>215</v>
      </c>
      <c r="B427" s="91">
        <v>33064</v>
      </c>
      <c r="C427" s="108"/>
      <c r="D427" s="107"/>
      <c r="E427" s="107"/>
      <c r="F427" s="206">
        <f t="shared" si="121"/>
        <v>0</v>
      </c>
      <c r="G427" s="236"/>
      <c r="H427" s="224"/>
      <c r="I427" s="223">
        <f t="shared" si="122"/>
        <v>0</v>
      </c>
      <c r="J427" s="269"/>
      <c r="K427" s="286"/>
      <c r="L427" s="223"/>
      <c r="M427" s="20"/>
      <c r="N427" s="7"/>
      <c r="O427" s="21"/>
      <c r="P427" s="74"/>
      <c r="Q427" s="72"/>
    </row>
    <row r="428" spans="1:17" ht="12.75" hidden="1">
      <c r="A428" s="38" t="s">
        <v>53</v>
      </c>
      <c r="B428" s="95"/>
      <c r="C428" s="113">
        <f>SUM(C430:C436)</f>
        <v>0</v>
      </c>
      <c r="D428" s="114">
        <f aca="true" t="shared" si="124" ref="D428:Q428">SUM(D430:D436)</f>
        <v>0</v>
      </c>
      <c r="E428" s="114">
        <f t="shared" si="124"/>
        <v>0</v>
      </c>
      <c r="F428" s="209">
        <f t="shared" si="124"/>
        <v>0</v>
      </c>
      <c r="G428" s="233">
        <f t="shared" si="124"/>
        <v>0</v>
      </c>
      <c r="H428" s="251">
        <f t="shared" si="124"/>
        <v>0</v>
      </c>
      <c r="I428" s="229">
        <f t="shared" si="124"/>
        <v>0</v>
      </c>
      <c r="J428" s="233">
        <f t="shared" si="124"/>
        <v>0</v>
      </c>
      <c r="K428" s="290">
        <f t="shared" si="124"/>
        <v>0</v>
      </c>
      <c r="L428" s="229">
        <f t="shared" si="124"/>
        <v>0</v>
      </c>
      <c r="M428" s="113">
        <f t="shared" si="124"/>
        <v>0</v>
      </c>
      <c r="N428" s="113">
        <f t="shared" si="124"/>
        <v>0</v>
      </c>
      <c r="O428" s="113">
        <f t="shared" si="124"/>
        <v>0</v>
      </c>
      <c r="P428" s="113">
        <f t="shared" si="124"/>
        <v>0</v>
      </c>
      <c r="Q428" s="164">
        <f t="shared" si="124"/>
        <v>0</v>
      </c>
    </row>
    <row r="429" spans="1:17" ht="12.75" hidden="1">
      <c r="A429" s="34" t="s">
        <v>26</v>
      </c>
      <c r="B429" s="91"/>
      <c r="C429" s="108"/>
      <c r="D429" s="107"/>
      <c r="E429" s="107"/>
      <c r="F429" s="206"/>
      <c r="G429" s="236"/>
      <c r="H429" s="224"/>
      <c r="I429" s="223"/>
      <c r="J429" s="236"/>
      <c r="K429" s="286"/>
      <c r="L429" s="223"/>
      <c r="M429" s="20"/>
      <c r="N429" s="7"/>
      <c r="O429" s="21"/>
      <c r="P429" s="74"/>
      <c r="Q429" s="72"/>
    </row>
    <row r="430" spans="1:17" ht="12.75" hidden="1">
      <c r="A430" s="36" t="s">
        <v>67</v>
      </c>
      <c r="B430" s="91"/>
      <c r="C430" s="108"/>
      <c r="D430" s="107"/>
      <c r="E430" s="107"/>
      <c r="F430" s="206">
        <f aca="true" t="shared" si="125" ref="F430:F436">C430+D430+E430</f>
        <v>0</v>
      </c>
      <c r="G430" s="236"/>
      <c r="H430" s="224"/>
      <c r="I430" s="223">
        <f aca="true" t="shared" si="126" ref="I430:I436">F430+G430+H430</f>
        <v>0</v>
      </c>
      <c r="J430" s="236"/>
      <c r="K430" s="286"/>
      <c r="L430" s="223">
        <f>I430+J430+K430</f>
        <v>0</v>
      </c>
      <c r="M430" s="20"/>
      <c r="N430" s="7"/>
      <c r="O430" s="21">
        <f>L430+M430+N430</f>
        <v>0</v>
      </c>
      <c r="P430" s="74"/>
      <c r="Q430" s="72">
        <f>O430+P430</f>
        <v>0</v>
      </c>
    </row>
    <row r="431" spans="1:17" ht="12.75" hidden="1">
      <c r="A431" s="36" t="s">
        <v>176</v>
      </c>
      <c r="B431" s="91"/>
      <c r="C431" s="108"/>
      <c r="D431" s="107"/>
      <c r="E431" s="107"/>
      <c r="F431" s="206">
        <f t="shared" si="125"/>
        <v>0</v>
      </c>
      <c r="G431" s="236"/>
      <c r="H431" s="224"/>
      <c r="I431" s="223">
        <f t="shared" si="126"/>
        <v>0</v>
      </c>
      <c r="J431" s="236"/>
      <c r="K431" s="286"/>
      <c r="L431" s="223"/>
      <c r="M431" s="20"/>
      <c r="N431" s="7"/>
      <c r="O431" s="21"/>
      <c r="P431" s="74"/>
      <c r="Q431" s="72"/>
    </row>
    <row r="432" spans="1:17" ht="12.75" hidden="1">
      <c r="A432" s="36" t="s">
        <v>177</v>
      </c>
      <c r="B432" s="91"/>
      <c r="C432" s="108"/>
      <c r="D432" s="107"/>
      <c r="E432" s="107"/>
      <c r="F432" s="206">
        <f t="shared" si="125"/>
        <v>0</v>
      </c>
      <c r="G432" s="236"/>
      <c r="H432" s="224"/>
      <c r="I432" s="223">
        <f t="shared" si="126"/>
        <v>0</v>
      </c>
      <c r="J432" s="236"/>
      <c r="K432" s="286"/>
      <c r="L432" s="223"/>
      <c r="M432" s="20"/>
      <c r="N432" s="7"/>
      <c r="O432" s="21"/>
      <c r="P432" s="74"/>
      <c r="Q432" s="72"/>
    </row>
    <row r="433" spans="1:17" ht="12.75" hidden="1">
      <c r="A433" s="36" t="s">
        <v>168</v>
      </c>
      <c r="B433" s="91"/>
      <c r="C433" s="108"/>
      <c r="D433" s="107"/>
      <c r="E433" s="107"/>
      <c r="F433" s="206">
        <f t="shared" si="125"/>
        <v>0</v>
      </c>
      <c r="G433" s="236"/>
      <c r="H433" s="224"/>
      <c r="I433" s="223">
        <f t="shared" si="126"/>
        <v>0</v>
      </c>
      <c r="J433" s="236"/>
      <c r="K433" s="286"/>
      <c r="L433" s="223"/>
      <c r="M433" s="20"/>
      <c r="N433" s="7"/>
      <c r="O433" s="21"/>
      <c r="P433" s="74"/>
      <c r="Q433" s="72"/>
    </row>
    <row r="434" spans="1:17" ht="12.75" hidden="1">
      <c r="A434" s="32" t="s">
        <v>54</v>
      </c>
      <c r="B434" s="91"/>
      <c r="C434" s="108"/>
      <c r="D434" s="107"/>
      <c r="E434" s="107"/>
      <c r="F434" s="206">
        <f t="shared" si="125"/>
        <v>0</v>
      </c>
      <c r="G434" s="236"/>
      <c r="H434" s="224"/>
      <c r="I434" s="223">
        <f t="shared" si="126"/>
        <v>0</v>
      </c>
      <c r="J434" s="236"/>
      <c r="K434" s="286"/>
      <c r="L434" s="223">
        <f>I434+J434+K434</f>
        <v>0</v>
      </c>
      <c r="M434" s="20"/>
      <c r="N434" s="7"/>
      <c r="O434" s="21">
        <f>L434+M434+N434</f>
        <v>0</v>
      </c>
      <c r="P434" s="74"/>
      <c r="Q434" s="72">
        <f>O434+P434</f>
        <v>0</v>
      </c>
    </row>
    <row r="435" spans="1:17" ht="12.75" hidden="1">
      <c r="A435" s="32" t="s">
        <v>75</v>
      </c>
      <c r="B435" s="91"/>
      <c r="C435" s="108"/>
      <c r="D435" s="107"/>
      <c r="E435" s="107"/>
      <c r="F435" s="185">
        <f t="shared" si="125"/>
        <v>0</v>
      </c>
      <c r="G435" s="236"/>
      <c r="H435" s="224"/>
      <c r="I435" s="223">
        <f t="shared" si="126"/>
        <v>0</v>
      </c>
      <c r="J435" s="236"/>
      <c r="K435" s="286"/>
      <c r="L435" s="223">
        <f>I435+J435+K435</f>
        <v>0</v>
      </c>
      <c r="M435" s="20"/>
      <c r="N435" s="7"/>
      <c r="O435" s="21">
        <f>L435+M435+N435</f>
        <v>0</v>
      </c>
      <c r="P435" s="74"/>
      <c r="Q435" s="72">
        <f>O435+P435</f>
        <v>0</v>
      </c>
    </row>
    <row r="436" spans="1:17" ht="12.75" hidden="1">
      <c r="A436" s="42" t="s">
        <v>169</v>
      </c>
      <c r="B436" s="94"/>
      <c r="C436" s="186"/>
      <c r="D436" s="115"/>
      <c r="E436" s="115"/>
      <c r="F436" s="211">
        <f t="shared" si="125"/>
        <v>0</v>
      </c>
      <c r="G436" s="235"/>
      <c r="H436" s="253"/>
      <c r="I436" s="231">
        <f t="shared" si="126"/>
        <v>0</v>
      </c>
      <c r="J436" s="235"/>
      <c r="K436" s="289"/>
      <c r="L436" s="231">
        <f>I436+J436+K436</f>
        <v>0</v>
      </c>
      <c r="M436" s="24"/>
      <c r="N436" s="9"/>
      <c r="O436" s="25">
        <f>L436+M436+N436</f>
        <v>0</v>
      </c>
      <c r="P436" s="77"/>
      <c r="Q436" s="78">
        <f>O436+P436</f>
        <v>0</v>
      </c>
    </row>
    <row r="437" spans="1:17" ht="12.75">
      <c r="A437" s="29" t="s">
        <v>92</v>
      </c>
      <c r="B437" s="95"/>
      <c r="C437" s="105">
        <f>C438+C441</f>
        <v>3238.8</v>
      </c>
      <c r="D437" s="106">
        <f aca="true" t="shared" si="127" ref="D437:Q437">D438+D441</f>
        <v>0</v>
      </c>
      <c r="E437" s="106">
        <f t="shared" si="127"/>
        <v>0</v>
      </c>
      <c r="F437" s="205">
        <f t="shared" si="127"/>
        <v>3238.8</v>
      </c>
      <c r="G437" s="232">
        <f t="shared" si="127"/>
        <v>0</v>
      </c>
      <c r="H437" s="248">
        <f t="shared" si="127"/>
        <v>0</v>
      </c>
      <c r="I437" s="222">
        <f t="shared" si="127"/>
        <v>3238.8</v>
      </c>
      <c r="J437" s="232">
        <f>J438+J441</f>
        <v>38.65</v>
      </c>
      <c r="K437" s="285">
        <f>K438+K441</f>
        <v>0</v>
      </c>
      <c r="L437" s="222">
        <f>L438+L441</f>
        <v>3277.4500000000003</v>
      </c>
      <c r="M437" s="105">
        <f t="shared" si="127"/>
        <v>0</v>
      </c>
      <c r="N437" s="105">
        <f t="shared" si="127"/>
        <v>0</v>
      </c>
      <c r="O437" s="105">
        <f t="shared" si="127"/>
        <v>3277.4500000000003</v>
      </c>
      <c r="P437" s="105">
        <f t="shared" si="127"/>
        <v>0</v>
      </c>
      <c r="Q437" s="159">
        <f t="shared" si="127"/>
        <v>3277.4500000000003</v>
      </c>
    </row>
    <row r="438" spans="1:17" ht="12.75">
      <c r="A438" s="38" t="s">
        <v>49</v>
      </c>
      <c r="B438" s="95"/>
      <c r="C438" s="113">
        <f>SUM(C440:C440)</f>
        <v>3238.8</v>
      </c>
      <c r="D438" s="114">
        <f aca="true" t="shared" si="128" ref="D438:Q438">SUM(D440:D440)</f>
        <v>0</v>
      </c>
      <c r="E438" s="114">
        <f t="shared" si="128"/>
        <v>0</v>
      </c>
      <c r="F438" s="209">
        <f t="shared" si="128"/>
        <v>3238.8</v>
      </c>
      <c r="G438" s="233">
        <f t="shared" si="128"/>
        <v>0</v>
      </c>
      <c r="H438" s="251">
        <f t="shared" si="128"/>
        <v>0</v>
      </c>
      <c r="I438" s="229">
        <f t="shared" si="128"/>
        <v>3238.8</v>
      </c>
      <c r="J438" s="233">
        <f>SUM(J440:J440)</f>
        <v>38.65</v>
      </c>
      <c r="K438" s="290">
        <f>SUM(K440:K440)</f>
        <v>0</v>
      </c>
      <c r="L438" s="229">
        <f>SUM(L440:L440)</f>
        <v>3277.4500000000003</v>
      </c>
      <c r="M438" s="113">
        <f t="shared" si="128"/>
        <v>0</v>
      </c>
      <c r="N438" s="113">
        <f t="shared" si="128"/>
        <v>0</v>
      </c>
      <c r="O438" s="113">
        <f t="shared" si="128"/>
        <v>3277.4500000000003</v>
      </c>
      <c r="P438" s="113">
        <f t="shared" si="128"/>
        <v>0</v>
      </c>
      <c r="Q438" s="164">
        <f t="shared" si="128"/>
        <v>3277.4500000000003</v>
      </c>
    </row>
    <row r="439" spans="1:17" ht="12.75">
      <c r="A439" s="34" t="s">
        <v>26</v>
      </c>
      <c r="B439" s="91"/>
      <c r="C439" s="108"/>
      <c r="D439" s="107"/>
      <c r="E439" s="107"/>
      <c r="F439" s="205"/>
      <c r="G439" s="236"/>
      <c r="H439" s="224"/>
      <c r="I439" s="222"/>
      <c r="J439" s="236"/>
      <c r="K439" s="286"/>
      <c r="L439" s="222"/>
      <c r="M439" s="20"/>
      <c r="N439" s="7"/>
      <c r="O439" s="19"/>
      <c r="P439" s="74"/>
      <c r="Q439" s="72"/>
    </row>
    <row r="440" spans="1:17" ht="12.75">
      <c r="A440" s="35" t="s">
        <v>51</v>
      </c>
      <c r="B440" s="94"/>
      <c r="C440" s="201">
        <v>3238.8</v>
      </c>
      <c r="D440" s="115"/>
      <c r="E440" s="115"/>
      <c r="F440" s="211">
        <f>C440+D440+E440</f>
        <v>3238.8</v>
      </c>
      <c r="G440" s="235"/>
      <c r="H440" s="253"/>
      <c r="I440" s="231">
        <f>F440+G440+H440</f>
        <v>3238.8</v>
      </c>
      <c r="J440" s="235">
        <f>38.65</f>
        <v>38.65</v>
      </c>
      <c r="K440" s="289"/>
      <c r="L440" s="231">
        <f>I440+J440+K440</f>
        <v>3277.4500000000003</v>
      </c>
      <c r="M440" s="20"/>
      <c r="N440" s="7"/>
      <c r="O440" s="21">
        <f>L440+M440+N440</f>
        <v>3277.4500000000003</v>
      </c>
      <c r="P440" s="74"/>
      <c r="Q440" s="72">
        <f>O440+P440</f>
        <v>3277.4500000000003</v>
      </c>
    </row>
    <row r="441" spans="1:17" ht="12.75" hidden="1">
      <c r="A441" s="38" t="s">
        <v>53</v>
      </c>
      <c r="B441" s="95"/>
      <c r="C441" s="113">
        <f aca="true" t="shared" si="129" ref="C441:Q441">SUM(C443:C443)</f>
        <v>0</v>
      </c>
      <c r="D441" s="114">
        <f t="shared" si="129"/>
        <v>0</v>
      </c>
      <c r="E441" s="114">
        <f t="shared" si="129"/>
        <v>0</v>
      </c>
      <c r="F441" s="209">
        <f t="shared" si="129"/>
        <v>0</v>
      </c>
      <c r="G441" s="233">
        <f t="shared" si="129"/>
        <v>0</v>
      </c>
      <c r="H441" s="251">
        <f t="shared" si="129"/>
        <v>0</v>
      </c>
      <c r="I441" s="229">
        <f t="shared" si="129"/>
        <v>0</v>
      </c>
      <c r="J441" s="233">
        <f t="shared" si="129"/>
        <v>0</v>
      </c>
      <c r="K441" s="290">
        <f t="shared" si="129"/>
        <v>0</v>
      </c>
      <c r="L441" s="229">
        <f t="shared" si="129"/>
        <v>0</v>
      </c>
      <c r="M441" s="113">
        <f t="shared" si="129"/>
        <v>0</v>
      </c>
      <c r="N441" s="113">
        <f t="shared" si="129"/>
        <v>0</v>
      </c>
      <c r="O441" s="113">
        <f t="shared" si="129"/>
        <v>0</v>
      </c>
      <c r="P441" s="113">
        <f t="shared" si="129"/>
        <v>0</v>
      </c>
      <c r="Q441" s="164">
        <f t="shared" si="129"/>
        <v>0</v>
      </c>
    </row>
    <row r="442" spans="1:17" ht="12.75" hidden="1">
      <c r="A442" s="34" t="s">
        <v>26</v>
      </c>
      <c r="B442" s="91"/>
      <c r="C442" s="108"/>
      <c r="D442" s="107"/>
      <c r="E442" s="107"/>
      <c r="F442" s="206"/>
      <c r="G442" s="236"/>
      <c r="H442" s="224"/>
      <c r="I442" s="223"/>
      <c r="J442" s="236"/>
      <c r="K442" s="286"/>
      <c r="L442" s="223"/>
      <c r="M442" s="20"/>
      <c r="N442" s="7"/>
      <c r="O442" s="21"/>
      <c r="P442" s="74"/>
      <c r="Q442" s="72"/>
    </row>
    <row r="443" spans="1:17" ht="12.75" hidden="1">
      <c r="A443" s="35" t="s">
        <v>54</v>
      </c>
      <c r="B443" s="94"/>
      <c r="C443" s="186"/>
      <c r="D443" s="115"/>
      <c r="E443" s="115"/>
      <c r="F443" s="211">
        <f>C443+D443+E443</f>
        <v>0</v>
      </c>
      <c r="G443" s="235"/>
      <c r="H443" s="253"/>
      <c r="I443" s="231">
        <f>F443+G443+H443</f>
        <v>0</v>
      </c>
      <c r="J443" s="235"/>
      <c r="K443" s="289"/>
      <c r="L443" s="231">
        <f>I443+J443+K443</f>
        <v>0</v>
      </c>
      <c r="M443" s="24"/>
      <c r="N443" s="9"/>
      <c r="O443" s="25">
        <f>L443+M443+N443</f>
        <v>0</v>
      </c>
      <c r="P443" s="77"/>
      <c r="Q443" s="78">
        <f>O443+P443</f>
        <v>0</v>
      </c>
    </row>
    <row r="444" spans="1:17" ht="12.75">
      <c r="A444" s="29" t="s">
        <v>93</v>
      </c>
      <c r="B444" s="95"/>
      <c r="C444" s="105">
        <f aca="true" t="shared" si="130" ref="C444:Q444">C445</f>
        <v>86090.05</v>
      </c>
      <c r="D444" s="106">
        <f t="shared" si="130"/>
        <v>45916.51</v>
      </c>
      <c r="E444" s="106">
        <f t="shared" si="130"/>
        <v>-27500</v>
      </c>
      <c r="F444" s="205">
        <f t="shared" si="130"/>
        <v>104506.56000000001</v>
      </c>
      <c r="G444" s="232">
        <f t="shared" si="130"/>
        <v>7568.209999999999</v>
      </c>
      <c r="H444" s="248">
        <f t="shared" si="130"/>
        <v>54418.48</v>
      </c>
      <c r="I444" s="222">
        <f t="shared" si="130"/>
        <v>166493.25</v>
      </c>
      <c r="J444" s="232">
        <f t="shared" si="130"/>
        <v>12536.340000000002</v>
      </c>
      <c r="K444" s="285">
        <f t="shared" si="130"/>
        <v>0</v>
      </c>
      <c r="L444" s="222">
        <f t="shared" si="130"/>
        <v>179029.59000000003</v>
      </c>
      <c r="M444" s="105">
        <f t="shared" si="130"/>
        <v>0</v>
      </c>
      <c r="N444" s="105">
        <f t="shared" si="130"/>
        <v>0</v>
      </c>
      <c r="O444" s="105">
        <f t="shared" si="130"/>
        <v>179029.59000000003</v>
      </c>
      <c r="P444" s="105">
        <f t="shared" si="130"/>
        <v>0</v>
      </c>
      <c r="Q444" s="159">
        <f t="shared" si="130"/>
        <v>179029.59000000003</v>
      </c>
    </row>
    <row r="445" spans="1:17" ht="12.75">
      <c r="A445" s="38" t="s">
        <v>49</v>
      </c>
      <c r="B445" s="95"/>
      <c r="C445" s="113">
        <f>SUM(C447:C450)</f>
        <v>86090.05</v>
      </c>
      <c r="D445" s="114">
        <f aca="true" t="shared" si="131" ref="D445:Q445">SUM(D447:D450)</f>
        <v>45916.51</v>
      </c>
      <c r="E445" s="114">
        <f t="shared" si="131"/>
        <v>-27500</v>
      </c>
      <c r="F445" s="209">
        <f t="shared" si="131"/>
        <v>104506.56000000001</v>
      </c>
      <c r="G445" s="233">
        <f t="shared" si="131"/>
        <v>7568.209999999999</v>
      </c>
      <c r="H445" s="251">
        <f t="shared" si="131"/>
        <v>54418.48</v>
      </c>
      <c r="I445" s="229">
        <f t="shared" si="131"/>
        <v>166493.25</v>
      </c>
      <c r="J445" s="233">
        <f>SUM(J447:J450)</f>
        <v>12536.340000000002</v>
      </c>
      <c r="K445" s="290">
        <f>SUM(K447:K450)</f>
        <v>0</v>
      </c>
      <c r="L445" s="229">
        <f>SUM(L447:L450)</f>
        <v>179029.59000000003</v>
      </c>
      <c r="M445" s="113">
        <f t="shared" si="131"/>
        <v>0</v>
      </c>
      <c r="N445" s="113">
        <f t="shared" si="131"/>
        <v>0</v>
      </c>
      <c r="O445" s="113">
        <f t="shared" si="131"/>
        <v>179029.59000000003</v>
      </c>
      <c r="P445" s="113">
        <f t="shared" si="131"/>
        <v>0</v>
      </c>
      <c r="Q445" s="164">
        <f t="shared" si="131"/>
        <v>179029.59000000003</v>
      </c>
    </row>
    <row r="446" spans="1:17" ht="12.75">
      <c r="A446" s="34" t="s">
        <v>26</v>
      </c>
      <c r="B446" s="91"/>
      <c r="C446" s="105"/>
      <c r="D446" s="106"/>
      <c r="E446" s="106"/>
      <c r="F446" s="205"/>
      <c r="G446" s="232"/>
      <c r="H446" s="248"/>
      <c r="I446" s="222"/>
      <c r="J446" s="232"/>
      <c r="K446" s="285"/>
      <c r="L446" s="222"/>
      <c r="M446" s="18"/>
      <c r="N446" s="6"/>
      <c r="O446" s="19"/>
      <c r="P446" s="74"/>
      <c r="Q446" s="72"/>
    </row>
    <row r="447" spans="1:17" ht="12.75">
      <c r="A447" s="92" t="s">
        <v>178</v>
      </c>
      <c r="B447" s="91"/>
      <c r="C447" s="108">
        <v>50590.05</v>
      </c>
      <c r="D447" s="107">
        <f>1463.86+602.55</f>
        <v>2066.41</v>
      </c>
      <c r="E447" s="118">
        <f>-25000-2500</f>
        <v>-27500</v>
      </c>
      <c r="F447" s="206">
        <f>C447+D447+E447</f>
        <v>25156.460000000006</v>
      </c>
      <c r="G447" s="236">
        <f>20349.31+1916.76-20000+2000+1435.13+1083.24-906.59-134</f>
        <v>5743.849999999999</v>
      </c>
      <c r="H447" s="224">
        <f>54418.48</f>
        <v>54418.48</v>
      </c>
      <c r="I447" s="223">
        <f>F447+G447+H447</f>
        <v>85318.79000000001</v>
      </c>
      <c r="J447" s="269">
        <f>10625.02+764.95-38.65+712.19</f>
        <v>12063.510000000002</v>
      </c>
      <c r="K447" s="286"/>
      <c r="L447" s="223">
        <f>I447+J447+K447</f>
        <v>97382.30000000002</v>
      </c>
      <c r="M447" s="20"/>
      <c r="N447" s="7"/>
      <c r="O447" s="21">
        <f>L447+M447+N447</f>
        <v>97382.30000000002</v>
      </c>
      <c r="P447" s="74"/>
      <c r="Q447" s="72">
        <f>O447+P447</f>
        <v>97382.30000000002</v>
      </c>
    </row>
    <row r="448" spans="1:17" ht="12.75">
      <c r="A448" s="92" t="s">
        <v>94</v>
      </c>
      <c r="B448" s="91"/>
      <c r="C448" s="108"/>
      <c r="D448" s="118">
        <f>32523.22</f>
        <v>32523.22</v>
      </c>
      <c r="E448" s="107"/>
      <c r="F448" s="206">
        <f>C448+D448+E448</f>
        <v>32523.22</v>
      </c>
      <c r="G448" s="236"/>
      <c r="H448" s="224"/>
      <c r="I448" s="223">
        <f>F448+G448+H448</f>
        <v>32523.22</v>
      </c>
      <c r="J448" s="236"/>
      <c r="K448" s="286"/>
      <c r="L448" s="223">
        <f>I448+J448+K448</f>
        <v>32523.22</v>
      </c>
      <c r="M448" s="20"/>
      <c r="N448" s="7"/>
      <c r="O448" s="21">
        <f>L448+M448+N448</f>
        <v>32523.22</v>
      </c>
      <c r="P448" s="74"/>
      <c r="Q448" s="72">
        <f>O448+P448</f>
        <v>32523.22</v>
      </c>
    </row>
    <row r="449" spans="1:17" ht="12.75">
      <c r="A449" s="92" t="s">
        <v>95</v>
      </c>
      <c r="B449" s="91"/>
      <c r="C449" s="108"/>
      <c r="D449" s="107">
        <f>11326.88</f>
        <v>11326.88</v>
      </c>
      <c r="E449" s="107"/>
      <c r="F449" s="206">
        <f>C449+D449+E449</f>
        <v>11326.88</v>
      </c>
      <c r="G449" s="236">
        <f>1824.36</f>
        <v>1824.36</v>
      </c>
      <c r="H449" s="224"/>
      <c r="I449" s="223">
        <f>F449+G449+H449</f>
        <v>13151.24</v>
      </c>
      <c r="J449" s="236">
        <f>472.83</f>
        <v>472.83</v>
      </c>
      <c r="K449" s="286"/>
      <c r="L449" s="223">
        <f>I449+J449+K449</f>
        <v>13624.07</v>
      </c>
      <c r="M449" s="20"/>
      <c r="N449" s="7"/>
      <c r="O449" s="21">
        <f>L449+M449+N449</f>
        <v>13624.07</v>
      </c>
      <c r="P449" s="74"/>
      <c r="Q449" s="72">
        <f>O449+P449</f>
        <v>13624.07</v>
      </c>
    </row>
    <row r="450" spans="1:17" ht="12.75">
      <c r="A450" s="35" t="s">
        <v>51</v>
      </c>
      <c r="B450" s="94"/>
      <c r="C450" s="186">
        <v>35500</v>
      </c>
      <c r="D450" s="115"/>
      <c r="E450" s="115"/>
      <c r="F450" s="211">
        <f>C450+D450+E450</f>
        <v>35500</v>
      </c>
      <c r="G450" s="235"/>
      <c r="H450" s="253"/>
      <c r="I450" s="231">
        <f>F450+G450+H450</f>
        <v>35500</v>
      </c>
      <c r="J450" s="235"/>
      <c r="K450" s="289"/>
      <c r="L450" s="231">
        <f>I450+J450+K450</f>
        <v>35500</v>
      </c>
      <c r="M450" s="24"/>
      <c r="N450" s="9"/>
      <c r="O450" s="25">
        <f>L450+M450+N450</f>
        <v>35500</v>
      </c>
      <c r="P450" s="77"/>
      <c r="Q450" s="78">
        <f>O450+P450</f>
        <v>35500</v>
      </c>
    </row>
    <row r="451" spans="1:17" ht="12.75">
      <c r="A451" s="29" t="s">
        <v>154</v>
      </c>
      <c r="B451" s="95"/>
      <c r="C451" s="105">
        <f aca="true" t="shared" si="132" ref="C451:Q451">C452+C465</f>
        <v>90002</v>
      </c>
      <c r="D451" s="106">
        <f t="shared" si="132"/>
        <v>91222.9</v>
      </c>
      <c r="E451" s="106">
        <f t="shared" si="132"/>
        <v>30195.6</v>
      </c>
      <c r="F451" s="205">
        <f t="shared" si="132"/>
        <v>211420.5</v>
      </c>
      <c r="G451" s="232">
        <f t="shared" si="132"/>
        <v>22831.56</v>
      </c>
      <c r="H451" s="248">
        <f t="shared" si="132"/>
        <v>26510.17</v>
      </c>
      <c r="I451" s="222">
        <f t="shared" si="132"/>
        <v>260762.23</v>
      </c>
      <c r="J451" s="232">
        <f>J452+J465</f>
        <v>29992.12</v>
      </c>
      <c r="K451" s="285">
        <f>K452+K465</f>
        <v>0</v>
      </c>
      <c r="L451" s="222">
        <f>L452+L465</f>
        <v>290754.35</v>
      </c>
      <c r="M451" s="105">
        <f t="shared" si="132"/>
        <v>0</v>
      </c>
      <c r="N451" s="105">
        <f t="shared" si="132"/>
        <v>0</v>
      </c>
      <c r="O451" s="105">
        <f t="shared" si="132"/>
        <v>0</v>
      </c>
      <c r="P451" s="105">
        <f t="shared" si="132"/>
        <v>0</v>
      </c>
      <c r="Q451" s="159">
        <f t="shared" si="132"/>
        <v>0</v>
      </c>
    </row>
    <row r="452" spans="1:17" ht="12.75">
      <c r="A452" s="38" t="s">
        <v>49</v>
      </c>
      <c r="B452" s="95"/>
      <c r="C452" s="113">
        <f>SUM(C454:C464)</f>
        <v>58152</v>
      </c>
      <c r="D452" s="114">
        <f>SUM(D454:D464)</f>
        <v>28207.97</v>
      </c>
      <c r="E452" s="114">
        <f>SUM(E453:E464)</f>
        <v>14094.5</v>
      </c>
      <c r="F452" s="209">
        <f>SUM(F454:F464)</f>
        <v>100454.47</v>
      </c>
      <c r="G452" s="233">
        <f aca="true" t="shared" si="133" ref="G452:Q452">SUM(G453:G464)</f>
        <v>-3860.19</v>
      </c>
      <c r="H452" s="251">
        <f t="shared" si="133"/>
        <v>8020.17</v>
      </c>
      <c r="I452" s="229">
        <f t="shared" si="133"/>
        <v>104614.45000000001</v>
      </c>
      <c r="J452" s="233">
        <f>SUM(J453:J464)</f>
        <v>4994.12</v>
      </c>
      <c r="K452" s="290">
        <f>SUM(K453:K464)</f>
        <v>0</v>
      </c>
      <c r="L452" s="229">
        <f>SUM(L453:L464)</f>
        <v>109608.57</v>
      </c>
      <c r="M452" s="113">
        <f t="shared" si="133"/>
        <v>0</v>
      </c>
      <c r="N452" s="113">
        <f t="shared" si="133"/>
        <v>0</v>
      </c>
      <c r="O452" s="113">
        <f t="shared" si="133"/>
        <v>0</v>
      </c>
      <c r="P452" s="113">
        <f t="shared" si="133"/>
        <v>0</v>
      </c>
      <c r="Q452" s="164">
        <f t="shared" si="133"/>
        <v>0</v>
      </c>
    </row>
    <row r="453" spans="1:17" ht="12.75">
      <c r="A453" s="34" t="s">
        <v>26</v>
      </c>
      <c r="B453" s="91"/>
      <c r="C453" s="108"/>
      <c r="D453" s="107"/>
      <c r="E453" s="107"/>
      <c r="F453" s="206"/>
      <c r="G453" s="236"/>
      <c r="H453" s="224"/>
      <c r="I453" s="223"/>
      <c r="J453" s="236"/>
      <c r="K453" s="286"/>
      <c r="L453" s="223"/>
      <c r="M453" s="20"/>
      <c r="N453" s="7"/>
      <c r="O453" s="21"/>
      <c r="P453" s="74"/>
      <c r="Q453" s="72"/>
    </row>
    <row r="454" spans="1:17" ht="12.75">
      <c r="A454" s="32" t="s">
        <v>232</v>
      </c>
      <c r="B454" s="91">
        <v>1202</v>
      </c>
      <c r="C454" s="108">
        <v>2950</v>
      </c>
      <c r="D454" s="107">
        <f>218.55+1000</f>
        <v>1218.55</v>
      </c>
      <c r="E454" s="107">
        <f>-743.5</f>
        <v>-743.5</v>
      </c>
      <c r="F454" s="206">
        <f aca="true" t="shared" si="134" ref="F454:F464">C454+D454+E454</f>
        <v>3425.05</v>
      </c>
      <c r="G454" s="236"/>
      <c r="H454" s="224"/>
      <c r="I454" s="223">
        <f>F454+G454+H454</f>
        <v>3425.05</v>
      </c>
      <c r="J454" s="236"/>
      <c r="K454" s="286"/>
      <c r="L454" s="223">
        <f>I454+J454+K454</f>
        <v>3425.05</v>
      </c>
      <c r="M454" s="20"/>
      <c r="N454" s="7"/>
      <c r="O454" s="21"/>
      <c r="P454" s="74"/>
      <c r="Q454" s="72"/>
    </row>
    <row r="455" spans="1:17" ht="12.75">
      <c r="A455" s="32" t="s">
        <v>172</v>
      </c>
      <c r="B455" s="91">
        <v>1207</v>
      </c>
      <c r="C455" s="108">
        <v>11550</v>
      </c>
      <c r="D455" s="107">
        <f>40.84-1550</f>
        <v>-1509.16</v>
      </c>
      <c r="E455" s="107">
        <f>4.7</f>
        <v>4.7</v>
      </c>
      <c r="F455" s="206">
        <f t="shared" si="134"/>
        <v>10045.54</v>
      </c>
      <c r="G455" s="236"/>
      <c r="H455" s="224"/>
      <c r="I455" s="223">
        <f aca="true" t="shared" si="135" ref="I455:I464">F455+G455+H455</f>
        <v>10045.54</v>
      </c>
      <c r="J455" s="236"/>
      <c r="K455" s="286"/>
      <c r="L455" s="223">
        <f aca="true" t="shared" si="136" ref="L455:L464">I455+J455+K455</f>
        <v>10045.54</v>
      </c>
      <c r="M455" s="20"/>
      <c r="N455" s="7"/>
      <c r="O455" s="21"/>
      <c r="P455" s="74"/>
      <c r="Q455" s="72"/>
    </row>
    <row r="456" spans="1:17" ht="12.75">
      <c r="A456" s="36" t="s">
        <v>296</v>
      </c>
      <c r="B456" s="91">
        <v>1209</v>
      </c>
      <c r="C456" s="108">
        <v>1730</v>
      </c>
      <c r="D456" s="107">
        <f>288.46+53</f>
        <v>341.46</v>
      </c>
      <c r="E456" s="107"/>
      <c r="F456" s="206">
        <f t="shared" si="134"/>
        <v>2071.46</v>
      </c>
      <c r="G456" s="236">
        <f>44</f>
        <v>44</v>
      </c>
      <c r="H456" s="224"/>
      <c r="I456" s="223">
        <f t="shared" si="135"/>
        <v>2115.46</v>
      </c>
      <c r="J456" s="236"/>
      <c r="K456" s="286"/>
      <c r="L456" s="223">
        <f t="shared" si="136"/>
        <v>2115.46</v>
      </c>
      <c r="M456" s="20"/>
      <c r="N456" s="7"/>
      <c r="O456" s="21"/>
      <c r="P456" s="74"/>
      <c r="Q456" s="72"/>
    </row>
    <row r="457" spans="1:17" ht="12.75">
      <c r="A457" s="32" t="s">
        <v>173</v>
      </c>
      <c r="B457" s="91">
        <v>1211</v>
      </c>
      <c r="C457" s="108">
        <v>2320</v>
      </c>
      <c r="D457" s="118">
        <f>225.63</f>
        <v>225.63</v>
      </c>
      <c r="E457" s="118"/>
      <c r="F457" s="206">
        <f t="shared" si="134"/>
        <v>2545.63</v>
      </c>
      <c r="G457" s="236"/>
      <c r="H457" s="224"/>
      <c r="I457" s="223">
        <f t="shared" si="135"/>
        <v>2545.63</v>
      </c>
      <c r="J457" s="236">
        <f>54.12</f>
        <v>54.12</v>
      </c>
      <c r="K457" s="286"/>
      <c r="L457" s="223">
        <f t="shared" si="136"/>
        <v>2599.75</v>
      </c>
      <c r="M457" s="20"/>
      <c r="N457" s="7"/>
      <c r="O457" s="21"/>
      <c r="P457" s="74"/>
      <c r="Q457" s="72"/>
    </row>
    <row r="458" spans="1:17" ht="12.75">
      <c r="A458" s="32" t="s">
        <v>219</v>
      </c>
      <c r="B458" s="91">
        <v>1214</v>
      </c>
      <c r="C458" s="108">
        <v>1400</v>
      </c>
      <c r="D458" s="118">
        <f>221.34+300</f>
        <v>521.34</v>
      </c>
      <c r="E458" s="107"/>
      <c r="F458" s="206">
        <f t="shared" si="134"/>
        <v>1921.3400000000001</v>
      </c>
      <c r="G458" s="236"/>
      <c r="H458" s="224"/>
      <c r="I458" s="223">
        <f t="shared" si="135"/>
        <v>1921.3400000000001</v>
      </c>
      <c r="J458" s="236"/>
      <c r="K458" s="286"/>
      <c r="L458" s="223">
        <f t="shared" si="136"/>
        <v>1921.3400000000001</v>
      </c>
      <c r="M458" s="20"/>
      <c r="N458" s="7"/>
      <c r="O458" s="21"/>
      <c r="P458" s="74"/>
      <c r="Q458" s="72"/>
    </row>
    <row r="459" spans="1:17" ht="12.75">
      <c r="A459" s="32" t="s">
        <v>220</v>
      </c>
      <c r="B459" s="91">
        <v>1213</v>
      </c>
      <c r="C459" s="108">
        <v>750</v>
      </c>
      <c r="D459" s="118">
        <f>35.68+250+1.66</f>
        <v>287.34000000000003</v>
      </c>
      <c r="E459" s="107"/>
      <c r="F459" s="206">
        <f t="shared" si="134"/>
        <v>1037.3400000000001</v>
      </c>
      <c r="G459" s="236"/>
      <c r="H459" s="224"/>
      <c r="I459" s="223">
        <f t="shared" si="135"/>
        <v>1037.3400000000001</v>
      </c>
      <c r="J459" s="236"/>
      <c r="K459" s="286"/>
      <c r="L459" s="223">
        <f t="shared" si="136"/>
        <v>1037.3400000000001</v>
      </c>
      <c r="M459" s="20"/>
      <c r="N459" s="7"/>
      <c r="O459" s="21"/>
      <c r="P459" s="74"/>
      <c r="Q459" s="72"/>
    </row>
    <row r="460" spans="1:17" ht="12.75">
      <c r="A460" s="32" t="s">
        <v>250</v>
      </c>
      <c r="B460" s="91">
        <v>1216</v>
      </c>
      <c r="C460" s="108">
        <v>19300</v>
      </c>
      <c r="D460" s="107">
        <f>1785.64+340+18.23</f>
        <v>2143.8700000000003</v>
      </c>
      <c r="E460" s="107">
        <f>-536</f>
        <v>-536</v>
      </c>
      <c r="F460" s="206">
        <f t="shared" si="134"/>
        <v>20907.87</v>
      </c>
      <c r="G460" s="236">
        <f>0.05</f>
        <v>0.05</v>
      </c>
      <c r="H460" s="224"/>
      <c r="I460" s="223">
        <f t="shared" si="135"/>
        <v>20907.92</v>
      </c>
      <c r="J460" s="236">
        <f>68</f>
        <v>68</v>
      </c>
      <c r="K460" s="286"/>
      <c r="L460" s="223">
        <f t="shared" si="136"/>
        <v>20975.92</v>
      </c>
      <c r="M460" s="20"/>
      <c r="N460" s="7"/>
      <c r="O460" s="21"/>
      <c r="P460" s="74"/>
      <c r="Q460" s="72"/>
    </row>
    <row r="461" spans="1:17" ht="12.75">
      <c r="A461" s="32" t="s">
        <v>174</v>
      </c>
      <c r="B461" s="91">
        <v>1239</v>
      </c>
      <c r="C461" s="108">
        <v>6600</v>
      </c>
      <c r="D461" s="107">
        <f>700+7204.72</f>
        <v>7904.72</v>
      </c>
      <c r="E461" s="107"/>
      <c r="F461" s="206">
        <f t="shared" si="134"/>
        <v>14504.720000000001</v>
      </c>
      <c r="G461" s="236">
        <f>-1083.24</f>
        <v>-1083.24</v>
      </c>
      <c r="H461" s="224"/>
      <c r="I461" s="223">
        <f t="shared" si="135"/>
        <v>13421.480000000001</v>
      </c>
      <c r="J461" s="236">
        <f>872+4000</f>
        <v>4872</v>
      </c>
      <c r="K461" s="286"/>
      <c r="L461" s="223">
        <f t="shared" si="136"/>
        <v>18293.480000000003</v>
      </c>
      <c r="M461" s="20"/>
      <c r="N461" s="7"/>
      <c r="O461" s="21"/>
      <c r="P461" s="74"/>
      <c r="Q461" s="72"/>
    </row>
    <row r="462" spans="1:17" ht="12.75">
      <c r="A462" s="32" t="s">
        <v>192</v>
      </c>
      <c r="B462" s="91">
        <v>1300</v>
      </c>
      <c r="C462" s="108">
        <v>6750</v>
      </c>
      <c r="D462" s="107">
        <f>5570+8267.14-1943-300</f>
        <v>11594.14</v>
      </c>
      <c r="E462" s="107">
        <f>-250+3230+10750+1644</f>
        <v>15374</v>
      </c>
      <c r="F462" s="206">
        <f t="shared" si="134"/>
        <v>33718.14</v>
      </c>
      <c r="G462" s="236"/>
      <c r="H462" s="224">
        <f>1000+2444+4742.84-840+300+1333.33</f>
        <v>8980.17</v>
      </c>
      <c r="I462" s="223">
        <f t="shared" si="135"/>
        <v>42698.31</v>
      </c>
      <c r="J462" s="236"/>
      <c r="K462" s="286"/>
      <c r="L462" s="223">
        <f t="shared" si="136"/>
        <v>42698.31</v>
      </c>
      <c r="M462" s="20"/>
      <c r="N462" s="7"/>
      <c r="O462" s="21"/>
      <c r="P462" s="74"/>
      <c r="Q462" s="72"/>
    </row>
    <row r="463" spans="1:17" ht="12.75">
      <c r="A463" s="32" t="s">
        <v>175</v>
      </c>
      <c r="B463" s="91">
        <v>1110</v>
      </c>
      <c r="C463" s="108">
        <v>4800</v>
      </c>
      <c r="D463" s="107">
        <f>313.31+5000</f>
        <v>5313.31</v>
      </c>
      <c r="E463" s="107"/>
      <c r="F463" s="206">
        <f t="shared" si="134"/>
        <v>10113.310000000001</v>
      </c>
      <c r="G463" s="236">
        <f>-2821</f>
        <v>-2821</v>
      </c>
      <c r="H463" s="224">
        <f>-960</f>
        <v>-960</v>
      </c>
      <c r="I463" s="223">
        <f t="shared" si="135"/>
        <v>6332.310000000001</v>
      </c>
      <c r="J463" s="236"/>
      <c r="K463" s="286"/>
      <c r="L463" s="223">
        <f t="shared" si="136"/>
        <v>6332.310000000001</v>
      </c>
      <c r="M463" s="20"/>
      <c r="N463" s="7"/>
      <c r="O463" s="21"/>
      <c r="P463" s="74"/>
      <c r="Q463" s="72"/>
    </row>
    <row r="464" spans="1:17" ht="12.75">
      <c r="A464" s="32" t="s">
        <v>287</v>
      </c>
      <c r="B464" s="91"/>
      <c r="C464" s="108">
        <v>2</v>
      </c>
      <c r="D464" s="107">
        <f>166.77</f>
        <v>166.77</v>
      </c>
      <c r="E464" s="107">
        <f>-4.7</f>
        <v>-4.7</v>
      </c>
      <c r="F464" s="206">
        <f t="shared" si="134"/>
        <v>164.07000000000002</v>
      </c>
      <c r="G464" s="236"/>
      <c r="H464" s="224"/>
      <c r="I464" s="223">
        <f t="shared" si="135"/>
        <v>164.07000000000002</v>
      </c>
      <c r="J464" s="236"/>
      <c r="K464" s="286"/>
      <c r="L464" s="223">
        <f t="shared" si="136"/>
        <v>164.07000000000002</v>
      </c>
      <c r="M464" s="20"/>
      <c r="N464" s="7"/>
      <c r="O464" s="21"/>
      <c r="P464" s="74"/>
      <c r="Q464" s="72"/>
    </row>
    <row r="465" spans="1:17" ht="12.75">
      <c r="A465" s="38" t="s">
        <v>53</v>
      </c>
      <c r="B465" s="95"/>
      <c r="C465" s="113">
        <f>SUM(C467:C474)</f>
        <v>31850</v>
      </c>
      <c r="D465" s="114">
        <f aca="true" t="shared" si="137" ref="D465:Q465">SUM(D467:D474)</f>
        <v>63014.93</v>
      </c>
      <c r="E465" s="114">
        <f t="shared" si="137"/>
        <v>16101.1</v>
      </c>
      <c r="F465" s="209">
        <f t="shared" si="137"/>
        <v>110966.03</v>
      </c>
      <c r="G465" s="233">
        <f t="shared" si="137"/>
        <v>26691.75</v>
      </c>
      <c r="H465" s="251">
        <f t="shared" si="137"/>
        <v>18490</v>
      </c>
      <c r="I465" s="229">
        <f t="shared" si="137"/>
        <v>156147.78</v>
      </c>
      <c r="J465" s="233">
        <f t="shared" si="137"/>
        <v>24998</v>
      </c>
      <c r="K465" s="290">
        <f t="shared" si="137"/>
        <v>0</v>
      </c>
      <c r="L465" s="229">
        <f t="shared" si="137"/>
        <v>181145.78</v>
      </c>
      <c r="M465" s="113">
        <f t="shared" si="137"/>
        <v>0</v>
      </c>
      <c r="N465" s="113">
        <f t="shared" si="137"/>
        <v>0</v>
      </c>
      <c r="O465" s="113">
        <f t="shared" si="137"/>
        <v>0</v>
      </c>
      <c r="P465" s="113">
        <f t="shared" si="137"/>
        <v>0</v>
      </c>
      <c r="Q465" s="164">
        <f t="shared" si="137"/>
        <v>0</v>
      </c>
    </row>
    <row r="466" spans="1:17" ht="12.75">
      <c r="A466" s="34" t="s">
        <v>26</v>
      </c>
      <c r="B466" s="91"/>
      <c r="C466" s="108"/>
      <c r="D466" s="107"/>
      <c r="E466" s="107"/>
      <c r="F466" s="206"/>
      <c r="G466" s="236"/>
      <c r="H466" s="224"/>
      <c r="I466" s="223"/>
      <c r="J466" s="236"/>
      <c r="K466" s="286"/>
      <c r="L466" s="223"/>
      <c r="M466" s="20"/>
      <c r="N466" s="7"/>
      <c r="O466" s="21"/>
      <c r="P466" s="74"/>
      <c r="Q466" s="72"/>
    </row>
    <row r="467" spans="1:17" ht="12.75">
      <c r="A467" s="36" t="s">
        <v>259</v>
      </c>
      <c r="B467" s="91">
        <v>1207</v>
      </c>
      <c r="C467" s="108"/>
      <c r="D467" s="107">
        <f>1200+200+1550+2030</f>
        <v>4980</v>
      </c>
      <c r="E467" s="107"/>
      <c r="F467" s="206">
        <f aca="true" t="shared" si="138" ref="F467:F474">C467+D467+E467</f>
        <v>4980</v>
      </c>
      <c r="G467" s="236"/>
      <c r="H467" s="224"/>
      <c r="I467" s="223">
        <f aca="true" t="shared" si="139" ref="I467:I474">F467+G467+H467</f>
        <v>4980</v>
      </c>
      <c r="J467" s="236">
        <f>870-690</f>
        <v>180</v>
      </c>
      <c r="K467" s="286"/>
      <c r="L467" s="223">
        <f aca="true" t="shared" si="140" ref="L467:L474">I467+J467+K467</f>
        <v>5160</v>
      </c>
      <c r="M467" s="20"/>
      <c r="N467" s="7"/>
      <c r="O467" s="21"/>
      <c r="P467" s="74"/>
      <c r="Q467" s="72"/>
    </row>
    <row r="468" spans="1:17" ht="12.75" hidden="1">
      <c r="A468" s="32" t="s">
        <v>324</v>
      </c>
      <c r="B468" s="91">
        <v>1214</v>
      </c>
      <c r="C468" s="108"/>
      <c r="D468" s="107"/>
      <c r="E468" s="107"/>
      <c r="F468" s="206">
        <f t="shared" si="138"/>
        <v>0</v>
      </c>
      <c r="G468" s="236"/>
      <c r="H468" s="224"/>
      <c r="I468" s="223">
        <f t="shared" si="139"/>
        <v>0</v>
      </c>
      <c r="J468" s="236"/>
      <c r="K468" s="286"/>
      <c r="L468" s="223">
        <f t="shared" si="140"/>
        <v>0</v>
      </c>
      <c r="M468" s="20"/>
      <c r="N468" s="7"/>
      <c r="O468" s="21"/>
      <c r="P468" s="74"/>
      <c r="Q468" s="72"/>
    </row>
    <row r="469" spans="1:17" ht="12.75">
      <c r="A469" s="36" t="s">
        <v>297</v>
      </c>
      <c r="B469" s="91">
        <v>1209</v>
      </c>
      <c r="C469" s="108"/>
      <c r="D469" s="107">
        <f>547</f>
        <v>547</v>
      </c>
      <c r="E469" s="107"/>
      <c r="F469" s="206">
        <f t="shared" si="138"/>
        <v>547</v>
      </c>
      <c r="G469" s="236"/>
      <c r="H469" s="224"/>
      <c r="I469" s="223">
        <f t="shared" si="139"/>
        <v>547</v>
      </c>
      <c r="J469" s="236"/>
      <c r="K469" s="286"/>
      <c r="L469" s="223">
        <f t="shared" si="140"/>
        <v>547</v>
      </c>
      <c r="M469" s="20"/>
      <c r="N469" s="7"/>
      <c r="O469" s="21"/>
      <c r="P469" s="74"/>
      <c r="Q469" s="72"/>
    </row>
    <row r="470" spans="1:17" ht="12.75">
      <c r="A470" s="32" t="s">
        <v>260</v>
      </c>
      <c r="B470" s="91">
        <v>1202</v>
      </c>
      <c r="C470" s="108"/>
      <c r="D470" s="107"/>
      <c r="E470" s="107">
        <f>743.5</f>
        <v>743.5</v>
      </c>
      <c r="F470" s="206">
        <f t="shared" si="138"/>
        <v>743.5</v>
      </c>
      <c r="G470" s="236"/>
      <c r="H470" s="224"/>
      <c r="I470" s="223">
        <f t="shared" si="139"/>
        <v>743.5</v>
      </c>
      <c r="J470" s="236"/>
      <c r="K470" s="286"/>
      <c r="L470" s="223">
        <f t="shared" si="140"/>
        <v>743.5</v>
      </c>
      <c r="M470" s="20"/>
      <c r="N470" s="7"/>
      <c r="O470" s="21"/>
      <c r="P470" s="74"/>
      <c r="Q470" s="72"/>
    </row>
    <row r="471" spans="1:17" ht="12.75">
      <c r="A471" s="32" t="s">
        <v>275</v>
      </c>
      <c r="B471" s="91">
        <v>1216</v>
      </c>
      <c r="C471" s="108"/>
      <c r="D471" s="107"/>
      <c r="E471" s="107">
        <f>536</f>
        <v>536</v>
      </c>
      <c r="F471" s="206">
        <f t="shared" si="138"/>
        <v>536</v>
      </c>
      <c r="G471" s="236"/>
      <c r="H471" s="224"/>
      <c r="I471" s="223">
        <f t="shared" si="139"/>
        <v>536</v>
      </c>
      <c r="J471" s="236"/>
      <c r="K471" s="286"/>
      <c r="L471" s="223">
        <f t="shared" si="140"/>
        <v>536</v>
      </c>
      <c r="M471" s="20"/>
      <c r="N471" s="7"/>
      <c r="O471" s="21"/>
      <c r="P471" s="74"/>
      <c r="Q471" s="72"/>
    </row>
    <row r="472" spans="1:17" ht="12.75">
      <c r="A472" s="32" t="s">
        <v>280</v>
      </c>
      <c r="B472" s="91">
        <v>1239</v>
      </c>
      <c r="C472" s="108">
        <v>19850</v>
      </c>
      <c r="D472" s="107">
        <f>1000+3000+5000+13500+2000</f>
        <v>24500</v>
      </c>
      <c r="E472" s="107"/>
      <c r="F472" s="206">
        <f t="shared" si="138"/>
        <v>44350</v>
      </c>
      <c r="G472" s="236">
        <f>0.75</f>
        <v>0.75</v>
      </c>
      <c r="H472" s="224"/>
      <c r="I472" s="223">
        <f t="shared" si="139"/>
        <v>44350.75</v>
      </c>
      <c r="J472" s="236">
        <f>-872</f>
        <v>-872</v>
      </c>
      <c r="K472" s="286"/>
      <c r="L472" s="223">
        <f t="shared" si="140"/>
        <v>43478.75</v>
      </c>
      <c r="M472" s="20"/>
      <c r="N472" s="7"/>
      <c r="O472" s="21"/>
      <c r="P472" s="74"/>
      <c r="Q472" s="72"/>
    </row>
    <row r="473" spans="1:17" ht="12.75">
      <c r="A473" s="36" t="s">
        <v>261</v>
      </c>
      <c r="B473" s="91">
        <v>1300</v>
      </c>
      <c r="C473" s="108"/>
      <c r="D473" s="107">
        <f>13134.93+5800-5747+1600+1200+5000+2000</f>
        <v>22987.93</v>
      </c>
      <c r="E473" s="107">
        <f>250+1571.6+12500+500</f>
        <v>14821.6</v>
      </c>
      <c r="F473" s="206">
        <f t="shared" si="138"/>
        <v>37809.53</v>
      </c>
      <c r="G473" s="236">
        <f>25000-2000</f>
        <v>23000</v>
      </c>
      <c r="H473" s="224">
        <f>10350+840+840+4000+1500</f>
        <v>17530</v>
      </c>
      <c r="I473" s="223">
        <f t="shared" si="139"/>
        <v>78339.53</v>
      </c>
      <c r="J473" s="236">
        <f>25000+690</f>
        <v>25690</v>
      </c>
      <c r="K473" s="286"/>
      <c r="L473" s="223">
        <f t="shared" si="140"/>
        <v>104029.53</v>
      </c>
      <c r="M473" s="20"/>
      <c r="N473" s="7"/>
      <c r="O473" s="21"/>
      <c r="P473" s="74"/>
      <c r="Q473" s="72"/>
    </row>
    <row r="474" spans="1:17" ht="12.75">
      <c r="A474" s="35" t="s">
        <v>274</v>
      </c>
      <c r="B474" s="94">
        <v>1110</v>
      </c>
      <c r="C474" s="189">
        <v>12000</v>
      </c>
      <c r="D474" s="115">
        <f>10000</f>
        <v>10000</v>
      </c>
      <c r="E474" s="115"/>
      <c r="F474" s="211">
        <f t="shared" si="138"/>
        <v>22000</v>
      </c>
      <c r="G474" s="235">
        <f>2821+870</f>
        <v>3691</v>
      </c>
      <c r="H474" s="253">
        <f>960</f>
        <v>960</v>
      </c>
      <c r="I474" s="231">
        <f t="shared" si="139"/>
        <v>26651</v>
      </c>
      <c r="J474" s="235"/>
      <c r="K474" s="289"/>
      <c r="L474" s="231">
        <f t="shared" si="140"/>
        <v>26651</v>
      </c>
      <c r="M474" s="20"/>
      <c r="N474" s="7"/>
      <c r="O474" s="21"/>
      <c r="P474" s="74"/>
      <c r="Q474" s="72"/>
    </row>
    <row r="475" spans="1:17" ht="12.75">
      <c r="A475" s="29" t="s">
        <v>132</v>
      </c>
      <c r="B475" s="95"/>
      <c r="C475" s="105">
        <f aca="true" t="shared" si="141" ref="C475:Q475">C476</f>
        <v>1</v>
      </c>
      <c r="D475" s="106">
        <f t="shared" si="141"/>
        <v>2380.11</v>
      </c>
      <c r="E475" s="106">
        <f t="shared" si="141"/>
        <v>0</v>
      </c>
      <c r="F475" s="205">
        <f t="shared" si="141"/>
        <v>2381.11</v>
      </c>
      <c r="G475" s="232">
        <f t="shared" si="141"/>
        <v>0</v>
      </c>
      <c r="H475" s="248">
        <f t="shared" si="141"/>
        <v>0</v>
      </c>
      <c r="I475" s="222">
        <f t="shared" si="141"/>
        <v>2381.11</v>
      </c>
      <c r="J475" s="232">
        <f t="shared" si="141"/>
        <v>0</v>
      </c>
      <c r="K475" s="285">
        <f t="shared" si="141"/>
        <v>0</v>
      </c>
      <c r="L475" s="222">
        <f t="shared" si="141"/>
        <v>2381.11</v>
      </c>
      <c r="M475" s="105">
        <f t="shared" si="141"/>
        <v>0</v>
      </c>
      <c r="N475" s="105">
        <f t="shared" si="141"/>
        <v>0</v>
      </c>
      <c r="O475" s="105">
        <f t="shared" si="141"/>
        <v>2381.11</v>
      </c>
      <c r="P475" s="105">
        <f t="shared" si="141"/>
        <v>0</v>
      </c>
      <c r="Q475" s="159">
        <f t="shared" si="141"/>
        <v>2381.11</v>
      </c>
    </row>
    <row r="476" spans="1:17" ht="12.75">
      <c r="A476" s="38" t="s">
        <v>49</v>
      </c>
      <c r="B476" s="95"/>
      <c r="C476" s="113">
        <f>C478</f>
        <v>1</v>
      </c>
      <c r="D476" s="114">
        <f aca="true" t="shared" si="142" ref="D476:Q476">D478</f>
        <v>2380.11</v>
      </c>
      <c r="E476" s="114">
        <f t="shared" si="142"/>
        <v>0</v>
      </c>
      <c r="F476" s="209">
        <f t="shared" si="142"/>
        <v>2381.11</v>
      </c>
      <c r="G476" s="233">
        <f t="shared" si="142"/>
        <v>0</v>
      </c>
      <c r="H476" s="251">
        <f t="shared" si="142"/>
        <v>0</v>
      </c>
      <c r="I476" s="229">
        <f t="shared" si="142"/>
        <v>2381.11</v>
      </c>
      <c r="J476" s="233">
        <f>J478</f>
        <v>0</v>
      </c>
      <c r="K476" s="290">
        <f>K478</f>
        <v>0</v>
      </c>
      <c r="L476" s="229">
        <f>L478</f>
        <v>2381.11</v>
      </c>
      <c r="M476" s="113">
        <f t="shared" si="142"/>
        <v>0</v>
      </c>
      <c r="N476" s="113">
        <f t="shared" si="142"/>
        <v>0</v>
      </c>
      <c r="O476" s="113">
        <f t="shared" si="142"/>
        <v>2381.11</v>
      </c>
      <c r="P476" s="113">
        <f t="shared" si="142"/>
        <v>0</v>
      </c>
      <c r="Q476" s="164">
        <f t="shared" si="142"/>
        <v>2381.11</v>
      </c>
    </row>
    <row r="477" spans="1:17" ht="12.75">
      <c r="A477" s="34" t="s">
        <v>26</v>
      </c>
      <c r="B477" s="91"/>
      <c r="C477" s="108"/>
      <c r="D477" s="107"/>
      <c r="E477" s="107"/>
      <c r="F477" s="206"/>
      <c r="G477" s="236"/>
      <c r="H477" s="224"/>
      <c r="I477" s="223"/>
      <c r="J477" s="236"/>
      <c r="K477" s="286"/>
      <c r="L477" s="223"/>
      <c r="M477" s="20"/>
      <c r="N477" s="7"/>
      <c r="O477" s="21"/>
      <c r="P477" s="74"/>
      <c r="Q477" s="72"/>
    </row>
    <row r="478" spans="1:17" ht="12.75">
      <c r="A478" s="177" t="s">
        <v>51</v>
      </c>
      <c r="B478" s="178"/>
      <c r="C478" s="186">
        <v>1</v>
      </c>
      <c r="D478" s="115">
        <f>2380.11</f>
        <v>2380.11</v>
      </c>
      <c r="E478" s="190"/>
      <c r="F478" s="211">
        <f>C478+D478+E478</f>
        <v>2381.11</v>
      </c>
      <c r="G478" s="235"/>
      <c r="H478" s="253"/>
      <c r="I478" s="231">
        <f>F478+G478+H478</f>
        <v>2381.11</v>
      </c>
      <c r="J478" s="235"/>
      <c r="K478" s="289"/>
      <c r="L478" s="231">
        <f>I478+J478+K478</f>
        <v>2381.11</v>
      </c>
      <c r="M478" s="24"/>
      <c r="N478" s="9"/>
      <c r="O478" s="25">
        <f>L478+M478+N478</f>
        <v>2381.11</v>
      </c>
      <c r="P478" s="77"/>
      <c r="Q478" s="78">
        <f>O478+P478</f>
        <v>2381.11</v>
      </c>
    </row>
    <row r="479" spans="1:17" ht="12.75">
      <c r="A479" s="29" t="s">
        <v>96</v>
      </c>
      <c r="B479" s="95"/>
      <c r="C479" s="105">
        <f>C481+C482</f>
        <v>806901</v>
      </c>
      <c r="D479" s="106">
        <f aca="true" t="shared" si="143" ref="D479:Q479">D481+D482</f>
        <v>533933.73</v>
      </c>
      <c r="E479" s="106">
        <f t="shared" si="143"/>
        <v>0</v>
      </c>
      <c r="F479" s="205">
        <f t="shared" si="143"/>
        <v>1340834.73</v>
      </c>
      <c r="G479" s="232">
        <f t="shared" si="143"/>
        <v>89083</v>
      </c>
      <c r="H479" s="248">
        <f t="shared" si="143"/>
        <v>0</v>
      </c>
      <c r="I479" s="222">
        <f t="shared" si="143"/>
        <v>1429917.73</v>
      </c>
      <c r="J479" s="232">
        <f>J481+J482</f>
        <v>164109.80000000002</v>
      </c>
      <c r="K479" s="285">
        <f>K481+K482</f>
        <v>0</v>
      </c>
      <c r="L479" s="222">
        <f>L481+L482</f>
        <v>1594027.53</v>
      </c>
      <c r="M479" s="105" t="e">
        <f t="shared" si="143"/>
        <v>#REF!</v>
      </c>
      <c r="N479" s="105" t="e">
        <f t="shared" si="143"/>
        <v>#REF!</v>
      </c>
      <c r="O479" s="105" t="e">
        <f t="shared" si="143"/>
        <v>#REF!</v>
      </c>
      <c r="P479" s="105" t="e">
        <f t="shared" si="143"/>
        <v>#REF!</v>
      </c>
      <c r="Q479" s="159" t="e">
        <f t="shared" si="143"/>
        <v>#REF!</v>
      </c>
    </row>
    <row r="480" spans="1:17" ht="12.75">
      <c r="A480" s="31" t="s">
        <v>26</v>
      </c>
      <c r="B480" s="91"/>
      <c r="C480" s="105"/>
      <c r="D480" s="106"/>
      <c r="E480" s="106"/>
      <c r="F480" s="205"/>
      <c r="G480" s="232"/>
      <c r="H480" s="248"/>
      <c r="I480" s="222"/>
      <c r="J480" s="232"/>
      <c r="K480" s="285"/>
      <c r="L480" s="222"/>
      <c r="M480" s="105"/>
      <c r="N480" s="105"/>
      <c r="O480" s="105"/>
      <c r="P480" s="105"/>
      <c r="Q480" s="159"/>
    </row>
    <row r="481" spans="1:17" ht="12.75">
      <c r="A481" s="29" t="s">
        <v>49</v>
      </c>
      <c r="B481" s="95"/>
      <c r="C481" s="109">
        <f aca="true" t="shared" si="144" ref="C481:I481">C485+C492+C494+C506+C508+C513+C524+C509+C499+C526+C501+C530</f>
        <v>58330</v>
      </c>
      <c r="D481" s="110">
        <f t="shared" si="144"/>
        <v>72518.21</v>
      </c>
      <c r="E481" s="110">
        <f t="shared" si="144"/>
        <v>0</v>
      </c>
      <c r="F481" s="207">
        <f t="shared" si="144"/>
        <v>130848.21</v>
      </c>
      <c r="G481" s="266">
        <f t="shared" si="144"/>
        <v>2900</v>
      </c>
      <c r="H481" s="250">
        <f t="shared" si="144"/>
        <v>0</v>
      </c>
      <c r="I481" s="225">
        <f t="shared" si="144"/>
        <v>133748.21</v>
      </c>
      <c r="J481" s="266">
        <f>J485+J492+J494+J506+J508+J513+J524+J509+J499+J526+J501+J530</f>
        <v>19587.5</v>
      </c>
      <c r="K481" s="288">
        <f>K485+K492+K494+K506+K508+K513+K524+K509+K499+K526+K501+K530</f>
        <v>0</v>
      </c>
      <c r="L481" s="225">
        <f>L485+L492+L494+L506+L508+L513+L524+L509+L499+L526+L501+L530</f>
        <v>153335.71</v>
      </c>
      <c r="M481" s="109">
        <f>M492+M494+M506+M508+M513+M524+M509+M499+M526+M501+M530</f>
        <v>0</v>
      </c>
      <c r="N481" s="109">
        <f>N492+N494+N506+N508+N513+N524+N509+N499+N526+N501+N530</f>
        <v>0</v>
      </c>
      <c r="O481" s="109">
        <f>O492+O494+O506+O508+O513+O524+O509+O499+O526+O501+O530</f>
        <v>148303.94</v>
      </c>
      <c r="P481" s="109">
        <f>P492+P494+P506+P508+P513+P524+P509+P499+P526+P501+P530</f>
        <v>0</v>
      </c>
      <c r="Q481" s="162">
        <f>Q492+Q494+Q506+Q508+Q513+Q524+Q509+Q499+Q526+Q501+Q530</f>
        <v>148303.94</v>
      </c>
    </row>
    <row r="482" spans="1:17" ht="12.75">
      <c r="A482" s="29" t="s">
        <v>53</v>
      </c>
      <c r="B482" s="95"/>
      <c r="C482" s="109">
        <f aca="true" t="shared" si="145" ref="C482:I482">+C486+C487+C489+C490+C491+C495+C496+C498+C500+C502+C504+C505+C507+C510+C512+C514+C515+C517+C518+C520+C521+C523+C525+C527+C529</f>
        <v>748571</v>
      </c>
      <c r="D482" s="110">
        <f t="shared" si="145"/>
        <v>461415.52</v>
      </c>
      <c r="E482" s="110">
        <f t="shared" si="145"/>
        <v>0</v>
      </c>
      <c r="F482" s="207">
        <f t="shared" si="145"/>
        <v>1209986.52</v>
      </c>
      <c r="G482" s="266">
        <f t="shared" si="145"/>
        <v>86183</v>
      </c>
      <c r="H482" s="250">
        <f t="shared" si="145"/>
        <v>0</v>
      </c>
      <c r="I482" s="225">
        <f t="shared" si="145"/>
        <v>1296169.52</v>
      </c>
      <c r="J482" s="266">
        <f>+J486+J487+J489+J490+J491+J495+J496+J498+J500+J502+J504+J505+J507+J510+J512+J514+J515+J517+J518+J520+J521+J523+J525+J527+J529</f>
        <v>144522.30000000002</v>
      </c>
      <c r="K482" s="288">
        <f>+K486+K487+K489+K490+K491+K495+K496+K498+K500+K502+K504+K505+K507+K510+K512+K514+K515+K517+K518+K520+K521+K523+K525+K527+K529</f>
        <v>0</v>
      </c>
      <c r="L482" s="225">
        <f>+L486+L487+L489+L490+L491+L495+L496+L498+L500+L502+L504+L505+L507+L510+L512+L514+L515+L517+L518+L520+L521+L523+L525+L527+L529</f>
        <v>1440691.82</v>
      </c>
      <c r="M482" s="109" t="e">
        <f>#REF!+#REF!+#REF!+#REF!+#REF!+M489+M490+M491+M495+M496+M498+M500+M502+M504+M505+M507+M510+M512+M514+M515+M523+M525+M527+M529</f>
        <v>#REF!</v>
      </c>
      <c r="N482" s="109" t="e">
        <f>#REF!+#REF!+#REF!+#REF!+#REF!+N489+N490+N491+N495+N496+N498+N500+N502+N504+N505+N507+N510+N512+N514+N515+N523+N525+N527+N529</f>
        <v>#REF!</v>
      </c>
      <c r="O482" s="109" t="e">
        <f>#REF!+#REF!+#REF!+#REF!+#REF!+O489+O490+O491+O495+O496+O498+O500+O502+O504+O505+O507+O510+O512+O514+O515+O523+O525+O527+O529</f>
        <v>#REF!</v>
      </c>
      <c r="P482" s="109" t="e">
        <f>#REF!+#REF!+#REF!+#REF!+#REF!+P489+P490+P491+P495+P496+P498+P500+P502+P504+P505+P507+P510+P512+P514+P515+P523+P525+P527+P529</f>
        <v>#REF!</v>
      </c>
      <c r="Q482" s="162" t="e">
        <f>#REF!+#REF!+#REF!+#REF!+#REF!+Q489+Q490+Q491+Q495+Q496+Q498+Q500+Q502+Q504+Q505+Q507+Q510+Q512+Q514+Q515+Q523+Q525+Q527+Q529</f>
        <v>#REF!</v>
      </c>
    </row>
    <row r="483" spans="1:17" ht="12.75">
      <c r="A483" s="30" t="s">
        <v>97</v>
      </c>
      <c r="B483" s="91"/>
      <c r="C483" s="105"/>
      <c r="D483" s="106"/>
      <c r="E483" s="106"/>
      <c r="F483" s="205"/>
      <c r="G483" s="232"/>
      <c r="H483" s="248"/>
      <c r="I483" s="222"/>
      <c r="J483" s="232"/>
      <c r="K483" s="285"/>
      <c r="L483" s="222"/>
      <c r="M483" s="18"/>
      <c r="N483" s="6"/>
      <c r="O483" s="19"/>
      <c r="P483" s="74"/>
      <c r="Q483" s="72"/>
    </row>
    <row r="484" spans="1:17" ht="12.75">
      <c r="A484" s="92" t="s">
        <v>299</v>
      </c>
      <c r="B484" s="91"/>
      <c r="C484" s="108">
        <f aca="true" t="shared" si="146" ref="C484:L484">C485+C486+C487</f>
        <v>0</v>
      </c>
      <c r="D484" s="107">
        <f t="shared" si="146"/>
        <v>21671.66</v>
      </c>
      <c r="E484" s="107">
        <f t="shared" si="146"/>
        <v>0</v>
      </c>
      <c r="F484" s="206">
        <f t="shared" si="146"/>
        <v>21671.66</v>
      </c>
      <c r="G484" s="236">
        <f t="shared" si="146"/>
        <v>14500</v>
      </c>
      <c r="H484" s="224">
        <f t="shared" si="146"/>
        <v>0</v>
      </c>
      <c r="I484" s="223">
        <f t="shared" si="146"/>
        <v>36171.66</v>
      </c>
      <c r="J484" s="236">
        <f t="shared" si="146"/>
        <v>0</v>
      </c>
      <c r="K484" s="286">
        <f t="shared" si="146"/>
        <v>0</v>
      </c>
      <c r="L484" s="223">
        <f t="shared" si="146"/>
        <v>36171.66</v>
      </c>
      <c r="M484" s="18"/>
      <c r="N484" s="174"/>
      <c r="O484" s="126"/>
      <c r="P484" s="74"/>
      <c r="Q484" s="72"/>
    </row>
    <row r="485" spans="1:17" ht="12.75" hidden="1">
      <c r="A485" s="31" t="s">
        <v>104</v>
      </c>
      <c r="B485" s="91"/>
      <c r="C485" s="105"/>
      <c r="D485" s="106"/>
      <c r="E485" s="106"/>
      <c r="F485" s="206">
        <f>C485+D485+E485</f>
        <v>0</v>
      </c>
      <c r="G485" s="232"/>
      <c r="H485" s="248"/>
      <c r="I485" s="222"/>
      <c r="J485" s="232"/>
      <c r="K485" s="285"/>
      <c r="L485" s="222"/>
      <c r="M485" s="18"/>
      <c r="N485" s="174"/>
      <c r="O485" s="126"/>
      <c r="P485" s="74"/>
      <c r="Q485" s="72"/>
    </row>
    <row r="486" spans="1:17" ht="12.75">
      <c r="A486" s="31" t="s">
        <v>99</v>
      </c>
      <c r="B486" s="91"/>
      <c r="C486" s="105"/>
      <c r="D486" s="107">
        <f>18835+600+41</f>
        <v>19476</v>
      </c>
      <c r="E486" s="106"/>
      <c r="F486" s="206">
        <f>C486+D486+E486</f>
        <v>19476</v>
      </c>
      <c r="G486" s="236">
        <f>14500</f>
        <v>14500</v>
      </c>
      <c r="H486" s="248"/>
      <c r="I486" s="223">
        <f>F486+G486+H486</f>
        <v>33976</v>
      </c>
      <c r="J486" s="232"/>
      <c r="K486" s="285"/>
      <c r="L486" s="223">
        <f>I486+J486+K486</f>
        <v>33976</v>
      </c>
      <c r="M486" s="18"/>
      <c r="N486" s="174"/>
      <c r="O486" s="126"/>
      <c r="P486" s="74"/>
      <c r="Q486" s="72"/>
    </row>
    <row r="487" spans="1:17" ht="13.5" thickBot="1">
      <c r="A487" s="315" t="s">
        <v>328</v>
      </c>
      <c r="B487" s="130"/>
      <c r="C487" s="316"/>
      <c r="D487" s="131">
        <f>2236.66-41</f>
        <v>2195.66</v>
      </c>
      <c r="E487" s="317"/>
      <c r="F487" s="212">
        <f>C487+D487+E487</f>
        <v>2195.66</v>
      </c>
      <c r="G487" s="318"/>
      <c r="H487" s="319"/>
      <c r="I487" s="312">
        <f>F487+G487+H487</f>
        <v>2195.66</v>
      </c>
      <c r="J487" s="318"/>
      <c r="K487" s="320"/>
      <c r="L487" s="312">
        <f>I487+J487+K487</f>
        <v>2195.66</v>
      </c>
      <c r="M487" s="18"/>
      <c r="N487" s="174"/>
      <c r="O487" s="126"/>
      <c r="P487" s="74"/>
      <c r="Q487" s="72"/>
    </row>
    <row r="488" spans="1:17" ht="12.75">
      <c r="A488" s="31" t="s">
        <v>101</v>
      </c>
      <c r="B488" s="91">
        <v>10</v>
      </c>
      <c r="C488" s="108">
        <f>SUM(C489:C492)</f>
        <v>160000</v>
      </c>
      <c r="D488" s="107">
        <f aca="true" t="shared" si="147" ref="D488:Q488">SUM(D489:D492)</f>
        <v>8403.39</v>
      </c>
      <c r="E488" s="107">
        <f t="shared" si="147"/>
        <v>0</v>
      </c>
      <c r="F488" s="206">
        <f t="shared" si="147"/>
        <v>168403.38999999998</v>
      </c>
      <c r="G488" s="236">
        <f t="shared" si="147"/>
        <v>40000</v>
      </c>
      <c r="H488" s="224">
        <f t="shared" si="147"/>
        <v>0</v>
      </c>
      <c r="I488" s="223">
        <f t="shared" si="147"/>
        <v>208403.38999999998</v>
      </c>
      <c r="J488" s="236">
        <f t="shared" si="147"/>
        <v>120000</v>
      </c>
      <c r="K488" s="286">
        <f t="shared" si="147"/>
        <v>0</v>
      </c>
      <c r="L488" s="223">
        <f t="shared" si="147"/>
        <v>328403.39</v>
      </c>
      <c r="M488" s="108">
        <f t="shared" si="147"/>
        <v>0</v>
      </c>
      <c r="N488" s="108">
        <f t="shared" si="147"/>
        <v>0</v>
      </c>
      <c r="O488" s="108">
        <f t="shared" si="147"/>
        <v>328403.39</v>
      </c>
      <c r="P488" s="108">
        <f t="shared" si="147"/>
        <v>0</v>
      </c>
      <c r="Q488" s="160">
        <f t="shared" si="147"/>
        <v>328403.39</v>
      </c>
    </row>
    <row r="489" spans="1:17" ht="12.75" hidden="1">
      <c r="A489" s="31" t="s">
        <v>102</v>
      </c>
      <c r="B489" s="91"/>
      <c r="C489" s="108"/>
      <c r="D489" s="107"/>
      <c r="E489" s="107"/>
      <c r="F489" s="206">
        <f aca="true" t="shared" si="148" ref="F489:F533">C489+D489+E489</f>
        <v>0</v>
      </c>
      <c r="G489" s="236"/>
      <c r="H489" s="224"/>
      <c r="I489" s="223">
        <f>F489+G489+H489</f>
        <v>0</v>
      </c>
      <c r="J489" s="236"/>
      <c r="K489" s="286"/>
      <c r="L489" s="223">
        <f>I489+J489+K489</f>
        <v>0</v>
      </c>
      <c r="M489" s="20"/>
      <c r="N489" s="7"/>
      <c r="O489" s="21">
        <f>L489+M489+N489</f>
        <v>0</v>
      </c>
      <c r="P489" s="74"/>
      <c r="Q489" s="72">
        <f>O489+P489</f>
        <v>0</v>
      </c>
    </row>
    <row r="490" spans="1:17" ht="12.75">
      <c r="A490" s="92" t="s">
        <v>99</v>
      </c>
      <c r="B490" s="91"/>
      <c r="C490" s="108">
        <v>140000</v>
      </c>
      <c r="D490" s="118">
        <f>3939.3</f>
        <v>3939.3</v>
      </c>
      <c r="E490" s="118"/>
      <c r="F490" s="206">
        <f t="shared" si="148"/>
        <v>143939.3</v>
      </c>
      <c r="G490" s="236">
        <f>40000</f>
        <v>40000</v>
      </c>
      <c r="H490" s="224"/>
      <c r="I490" s="223">
        <f>F490+G490+H490</f>
        <v>183939.3</v>
      </c>
      <c r="J490" s="236">
        <f>100000+20000</f>
        <v>120000</v>
      </c>
      <c r="K490" s="286"/>
      <c r="L490" s="223">
        <f>I490+J490+K490</f>
        <v>303939.3</v>
      </c>
      <c r="M490" s="20"/>
      <c r="N490" s="7"/>
      <c r="O490" s="21">
        <f>L490+M490+N490</f>
        <v>303939.3</v>
      </c>
      <c r="P490" s="74"/>
      <c r="Q490" s="72">
        <f>O490+P490</f>
        <v>303939.3</v>
      </c>
    </row>
    <row r="491" spans="1:17" ht="12.75">
      <c r="A491" s="92" t="s">
        <v>328</v>
      </c>
      <c r="B491" s="91"/>
      <c r="C491" s="108"/>
      <c r="D491" s="107">
        <f>389.8+365.89</f>
        <v>755.69</v>
      </c>
      <c r="E491" s="107"/>
      <c r="F491" s="206">
        <f t="shared" si="148"/>
        <v>755.69</v>
      </c>
      <c r="G491" s="236"/>
      <c r="H491" s="224"/>
      <c r="I491" s="223">
        <f>F491+G491+H491</f>
        <v>755.69</v>
      </c>
      <c r="J491" s="236"/>
      <c r="K491" s="286"/>
      <c r="L491" s="223">
        <f>I491+J491+K491</f>
        <v>755.69</v>
      </c>
      <c r="M491" s="20"/>
      <c r="N491" s="7"/>
      <c r="O491" s="21">
        <f>L491+M491+N491</f>
        <v>755.69</v>
      </c>
      <c r="P491" s="74"/>
      <c r="Q491" s="72">
        <f>O491+P491</f>
        <v>755.69</v>
      </c>
    </row>
    <row r="492" spans="1:17" ht="12.75">
      <c r="A492" s="32" t="s">
        <v>113</v>
      </c>
      <c r="B492" s="91"/>
      <c r="C492" s="108">
        <v>20000</v>
      </c>
      <c r="D492" s="129">
        <f>3708.4</f>
        <v>3708.4</v>
      </c>
      <c r="E492" s="107"/>
      <c r="F492" s="206">
        <f t="shared" si="148"/>
        <v>23708.4</v>
      </c>
      <c r="G492" s="236"/>
      <c r="H492" s="224"/>
      <c r="I492" s="223">
        <f>F492+G492+H492</f>
        <v>23708.4</v>
      </c>
      <c r="J492" s="236"/>
      <c r="K492" s="286"/>
      <c r="L492" s="223">
        <f>I492+J492+K492</f>
        <v>23708.4</v>
      </c>
      <c r="M492" s="20"/>
      <c r="N492" s="7"/>
      <c r="O492" s="21">
        <f>L492+M492+N492</f>
        <v>23708.4</v>
      </c>
      <c r="P492" s="74"/>
      <c r="Q492" s="72">
        <f>O492+P492</f>
        <v>23708.4</v>
      </c>
    </row>
    <row r="493" spans="1:17" ht="12.75">
      <c r="A493" s="31" t="s">
        <v>103</v>
      </c>
      <c r="B493" s="91">
        <v>12</v>
      </c>
      <c r="C493" s="108">
        <f aca="true" t="shared" si="149" ref="C493:Q493">C494+C495+C496</f>
        <v>29000</v>
      </c>
      <c r="D493" s="107">
        <f t="shared" si="149"/>
        <v>14287.900000000001</v>
      </c>
      <c r="E493" s="107">
        <f t="shared" si="149"/>
        <v>0</v>
      </c>
      <c r="F493" s="206">
        <f t="shared" si="149"/>
        <v>43287.9</v>
      </c>
      <c r="G493" s="236">
        <f t="shared" si="149"/>
        <v>0</v>
      </c>
      <c r="H493" s="224">
        <f t="shared" si="149"/>
        <v>0</v>
      </c>
      <c r="I493" s="223">
        <f t="shared" si="149"/>
        <v>43287.9</v>
      </c>
      <c r="J493" s="236">
        <f t="shared" si="149"/>
        <v>0</v>
      </c>
      <c r="K493" s="286">
        <f t="shared" si="149"/>
        <v>0</v>
      </c>
      <c r="L493" s="223">
        <f t="shared" si="149"/>
        <v>43287.9</v>
      </c>
      <c r="M493" s="108">
        <f t="shared" si="149"/>
        <v>0</v>
      </c>
      <c r="N493" s="108">
        <f t="shared" si="149"/>
        <v>0</v>
      </c>
      <c r="O493" s="108">
        <f t="shared" si="149"/>
        <v>43287.9</v>
      </c>
      <c r="P493" s="108">
        <f t="shared" si="149"/>
        <v>0</v>
      </c>
      <c r="Q493" s="160">
        <f t="shared" si="149"/>
        <v>43287.9</v>
      </c>
    </row>
    <row r="494" spans="1:17" ht="12.75">
      <c r="A494" s="31" t="s">
        <v>104</v>
      </c>
      <c r="B494" s="91"/>
      <c r="C494" s="108">
        <v>29000</v>
      </c>
      <c r="D494" s="107">
        <f>9895.01</f>
        <v>9895.01</v>
      </c>
      <c r="E494" s="107"/>
      <c r="F494" s="206">
        <f t="shared" si="148"/>
        <v>38895.01</v>
      </c>
      <c r="G494" s="236"/>
      <c r="H494" s="224"/>
      <c r="I494" s="223">
        <f>F494+G494+H494</f>
        <v>38895.01</v>
      </c>
      <c r="J494" s="236">
        <f>106-1801.4</f>
        <v>-1695.4</v>
      </c>
      <c r="K494" s="286"/>
      <c r="L494" s="223">
        <f>I494+J494+K494</f>
        <v>37199.61</v>
      </c>
      <c r="M494" s="20"/>
      <c r="N494" s="7"/>
      <c r="O494" s="21">
        <f>L494+M494+N494</f>
        <v>37199.61</v>
      </c>
      <c r="P494" s="74"/>
      <c r="Q494" s="72">
        <f>O494+P494</f>
        <v>37199.61</v>
      </c>
    </row>
    <row r="495" spans="1:17" ht="12.75">
      <c r="A495" s="92" t="s">
        <v>108</v>
      </c>
      <c r="B495" s="91"/>
      <c r="C495" s="108"/>
      <c r="D495" s="107">
        <f>3549.6</f>
        <v>3549.6</v>
      </c>
      <c r="E495" s="107"/>
      <c r="F495" s="206">
        <f t="shared" si="148"/>
        <v>3549.6</v>
      </c>
      <c r="G495" s="236"/>
      <c r="H495" s="224"/>
      <c r="I495" s="223">
        <f>F495+G495+H495</f>
        <v>3549.6</v>
      </c>
      <c r="J495" s="236">
        <f>737.29+1801.4</f>
        <v>2538.69</v>
      </c>
      <c r="K495" s="286"/>
      <c r="L495" s="223">
        <f>I495+J495+K495</f>
        <v>6088.29</v>
      </c>
      <c r="M495" s="20"/>
      <c r="N495" s="7"/>
      <c r="O495" s="21">
        <f>L495+M495+N495</f>
        <v>6088.29</v>
      </c>
      <c r="P495" s="74"/>
      <c r="Q495" s="72">
        <f>O495+P495</f>
        <v>6088.29</v>
      </c>
    </row>
    <row r="496" spans="1:17" ht="12.75" customHeight="1">
      <c r="A496" s="92" t="s">
        <v>328</v>
      </c>
      <c r="B496" s="91"/>
      <c r="C496" s="108"/>
      <c r="D496" s="107">
        <f>843.29</f>
        <v>843.29</v>
      </c>
      <c r="E496" s="107"/>
      <c r="F496" s="206">
        <f t="shared" si="148"/>
        <v>843.29</v>
      </c>
      <c r="G496" s="236"/>
      <c r="H496" s="224"/>
      <c r="I496" s="223">
        <f>F496+G496+H496</f>
        <v>843.29</v>
      </c>
      <c r="J496" s="236">
        <f>-843.29</f>
        <v>-843.29</v>
      </c>
      <c r="K496" s="286"/>
      <c r="L496" s="223">
        <f>I496+J496+K496</f>
        <v>0</v>
      </c>
      <c r="M496" s="20"/>
      <c r="N496" s="7"/>
      <c r="O496" s="21">
        <f>L496+M496+N496</f>
        <v>0</v>
      </c>
      <c r="P496" s="74"/>
      <c r="Q496" s="72">
        <f>O496+P496</f>
        <v>0</v>
      </c>
    </row>
    <row r="497" spans="1:17" ht="12.75">
      <c r="A497" s="31" t="s">
        <v>105</v>
      </c>
      <c r="B497" s="91">
        <v>14</v>
      </c>
      <c r="C497" s="108">
        <f>SUM(C498:C502)</f>
        <v>90000</v>
      </c>
      <c r="D497" s="107">
        <f aca="true" t="shared" si="150" ref="D497:Q497">SUM(D498:D502)</f>
        <v>116487.38</v>
      </c>
      <c r="E497" s="107">
        <f t="shared" si="150"/>
        <v>0</v>
      </c>
      <c r="F497" s="206">
        <f t="shared" si="150"/>
        <v>206487.38</v>
      </c>
      <c r="G497" s="236">
        <f t="shared" si="150"/>
        <v>19935</v>
      </c>
      <c r="H497" s="224">
        <f t="shared" si="150"/>
        <v>0</v>
      </c>
      <c r="I497" s="223">
        <f t="shared" si="150"/>
        <v>226422.38</v>
      </c>
      <c r="J497" s="236">
        <f t="shared" si="150"/>
        <v>40109.8</v>
      </c>
      <c r="K497" s="286">
        <f t="shared" si="150"/>
        <v>0</v>
      </c>
      <c r="L497" s="223">
        <f t="shared" si="150"/>
        <v>266532.18000000005</v>
      </c>
      <c r="M497" s="108">
        <f t="shared" si="150"/>
        <v>0</v>
      </c>
      <c r="N497" s="108">
        <f t="shared" si="150"/>
        <v>0</v>
      </c>
      <c r="O497" s="108">
        <f t="shared" si="150"/>
        <v>266532.18000000005</v>
      </c>
      <c r="P497" s="108">
        <f t="shared" si="150"/>
        <v>0</v>
      </c>
      <c r="Q497" s="160">
        <f t="shared" si="150"/>
        <v>266532.18000000005</v>
      </c>
    </row>
    <row r="498" spans="1:17" ht="12.75">
      <c r="A498" s="31" t="s">
        <v>106</v>
      </c>
      <c r="B498" s="91"/>
      <c r="C498" s="108">
        <v>82000</v>
      </c>
      <c r="D498" s="118">
        <f>47083.1+10250+500</f>
        <v>57833.1</v>
      </c>
      <c r="E498" s="118"/>
      <c r="F498" s="206">
        <f t="shared" si="148"/>
        <v>139833.1</v>
      </c>
      <c r="G498" s="236">
        <f>3563+1500+2000</f>
        <v>7063</v>
      </c>
      <c r="H498" s="224"/>
      <c r="I498" s="223">
        <f>F498+G498+H498</f>
        <v>146896.1</v>
      </c>
      <c r="J498" s="236">
        <f>-1100+10635+12000-840.2</f>
        <v>20694.8</v>
      </c>
      <c r="K498" s="286"/>
      <c r="L498" s="223">
        <f>I498+J498+K498</f>
        <v>167590.9</v>
      </c>
      <c r="M498" s="20"/>
      <c r="N498" s="7"/>
      <c r="O498" s="21">
        <f>L498+M498+N498</f>
        <v>167590.9</v>
      </c>
      <c r="P498" s="74"/>
      <c r="Q498" s="72">
        <f aca="true" t="shared" si="151" ref="Q498:Q544">O498+P498</f>
        <v>167590.9</v>
      </c>
    </row>
    <row r="499" spans="1:17" ht="12.75">
      <c r="A499" s="31" t="s">
        <v>107</v>
      </c>
      <c r="B499" s="91"/>
      <c r="C499" s="108">
        <v>5000</v>
      </c>
      <c r="D499" s="107">
        <f>20005+1700</f>
        <v>21705</v>
      </c>
      <c r="E499" s="107"/>
      <c r="F499" s="206">
        <f t="shared" si="148"/>
        <v>26705</v>
      </c>
      <c r="G499" s="236">
        <f>719+2500</f>
        <v>3219</v>
      </c>
      <c r="H499" s="224"/>
      <c r="I499" s="223">
        <f>F499+G499+H499</f>
        <v>29924</v>
      </c>
      <c r="J499" s="236">
        <f>1300+6486</f>
        <v>7786</v>
      </c>
      <c r="K499" s="286"/>
      <c r="L499" s="223">
        <f>I499+J499+K499</f>
        <v>37710</v>
      </c>
      <c r="M499" s="20"/>
      <c r="N499" s="7"/>
      <c r="O499" s="21">
        <f>L499+M499+N499</f>
        <v>37710</v>
      </c>
      <c r="P499" s="74"/>
      <c r="Q499" s="72">
        <f t="shared" si="151"/>
        <v>37710</v>
      </c>
    </row>
    <row r="500" spans="1:17" ht="13.5" customHeight="1">
      <c r="A500" s="31" t="s">
        <v>108</v>
      </c>
      <c r="B500" s="91"/>
      <c r="C500" s="108">
        <v>3000</v>
      </c>
      <c r="D500" s="107">
        <f>20950-3850+16300-500</f>
        <v>32900</v>
      </c>
      <c r="E500" s="107"/>
      <c r="F500" s="206">
        <f t="shared" si="148"/>
        <v>35900</v>
      </c>
      <c r="G500" s="236">
        <f>-2000+15450</f>
        <v>13450</v>
      </c>
      <c r="H500" s="224"/>
      <c r="I500" s="223">
        <f>F500+G500+H500</f>
        <v>49350</v>
      </c>
      <c r="J500" s="236">
        <f>-200-17121+17000+1950</f>
        <v>1629</v>
      </c>
      <c r="K500" s="286"/>
      <c r="L500" s="223">
        <f>I500+J500+K500</f>
        <v>50979</v>
      </c>
      <c r="M500" s="20"/>
      <c r="N500" s="7"/>
      <c r="O500" s="21">
        <f>L500+M500+N500</f>
        <v>50979</v>
      </c>
      <c r="P500" s="74"/>
      <c r="Q500" s="72">
        <f t="shared" si="151"/>
        <v>50979</v>
      </c>
    </row>
    <row r="501" spans="1:17" ht="13.5" customHeight="1">
      <c r="A501" s="32" t="s">
        <v>113</v>
      </c>
      <c r="B501" s="91"/>
      <c r="C501" s="108"/>
      <c r="D501" s="107">
        <f>436</f>
        <v>436</v>
      </c>
      <c r="E501" s="107"/>
      <c r="F501" s="206">
        <f t="shared" si="148"/>
        <v>436</v>
      </c>
      <c r="G501" s="236">
        <f>-319</f>
        <v>-319</v>
      </c>
      <c r="H501" s="224"/>
      <c r="I501" s="223">
        <f>F501+G501+H501</f>
        <v>117</v>
      </c>
      <c r="J501" s="236">
        <f>10000</f>
        <v>10000</v>
      </c>
      <c r="K501" s="286"/>
      <c r="L501" s="223">
        <f>I501+J501+K501</f>
        <v>10117</v>
      </c>
      <c r="M501" s="20"/>
      <c r="N501" s="7"/>
      <c r="O501" s="21">
        <f>L501+M501+N501</f>
        <v>10117</v>
      </c>
      <c r="P501" s="74"/>
      <c r="Q501" s="72">
        <f t="shared" si="151"/>
        <v>10117</v>
      </c>
    </row>
    <row r="502" spans="1:17" ht="12.75">
      <c r="A502" s="92" t="s">
        <v>328</v>
      </c>
      <c r="B502" s="91"/>
      <c r="C502" s="108"/>
      <c r="D502" s="107">
        <f>1863.28+1750</f>
        <v>3613.2799999999997</v>
      </c>
      <c r="E502" s="107"/>
      <c r="F502" s="206">
        <f t="shared" si="148"/>
        <v>3613.2799999999997</v>
      </c>
      <c r="G502" s="236">
        <f>-1963-1515</f>
        <v>-3478</v>
      </c>
      <c r="H502" s="224"/>
      <c r="I502" s="223">
        <f>F502+G502+H502</f>
        <v>135.27999999999975</v>
      </c>
      <c r="J502" s="236"/>
      <c r="K502" s="286"/>
      <c r="L502" s="223">
        <f>I502+J502+K502</f>
        <v>135.27999999999975</v>
      </c>
      <c r="M502" s="20"/>
      <c r="N502" s="7"/>
      <c r="O502" s="21">
        <f>L502+M502+N502</f>
        <v>135.27999999999975</v>
      </c>
      <c r="P502" s="74"/>
      <c r="Q502" s="72">
        <f t="shared" si="151"/>
        <v>135.27999999999975</v>
      </c>
    </row>
    <row r="503" spans="1:17" ht="12.75">
      <c r="A503" s="31" t="s">
        <v>109</v>
      </c>
      <c r="B503" s="91">
        <v>15</v>
      </c>
      <c r="C503" s="108">
        <f>SUM(C504:C510)</f>
        <v>450000</v>
      </c>
      <c r="D503" s="107">
        <f aca="true" t="shared" si="152" ref="D503:Q503">SUM(D504:D510)</f>
        <v>324599.38</v>
      </c>
      <c r="E503" s="107">
        <f t="shared" si="152"/>
        <v>0</v>
      </c>
      <c r="F503" s="206">
        <f t="shared" si="152"/>
        <v>774599.38</v>
      </c>
      <c r="G503" s="236">
        <f t="shared" si="152"/>
        <v>2148</v>
      </c>
      <c r="H503" s="224">
        <f t="shared" si="152"/>
        <v>0</v>
      </c>
      <c r="I503" s="223">
        <f t="shared" si="152"/>
        <v>776747.38</v>
      </c>
      <c r="J503" s="236">
        <f t="shared" si="152"/>
        <v>14000</v>
      </c>
      <c r="K503" s="286">
        <f t="shared" si="152"/>
        <v>0</v>
      </c>
      <c r="L503" s="223">
        <f t="shared" si="152"/>
        <v>790747.38</v>
      </c>
      <c r="M503" s="108">
        <f t="shared" si="152"/>
        <v>0</v>
      </c>
      <c r="N503" s="108">
        <f t="shared" si="152"/>
        <v>0</v>
      </c>
      <c r="O503" s="108">
        <f t="shared" si="152"/>
        <v>790747.38</v>
      </c>
      <c r="P503" s="108">
        <f t="shared" si="152"/>
        <v>0</v>
      </c>
      <c r="Q503" s="160">
        <f t="shared" si="152"/>
        <v>790747.38</v>
      </c>
    </row>
    <row r="504" spans="1:17" ht="12.75">
      <c r="A504" s="31" t="s">
        <v>110</v>
      </c>
      <c r="B504" s="91"/>
      <c r="C504" s="108">
        <v>415999</v>
      </c>
      <c r="D504" s="107">
        <f>176028.87-786.12-7712+7000+90000</f>
        <v>264530.75</v>
      </c>
      <c r="E504" s="107"/>
      <c r="F504" s="206">
        <f t="shared" si="148"/>
        <v>680529.75</v>
      </c>
      <c r="G504" s="236">
        <f>2148-123.5+85</f>
        <v>2109.5</v>
      </c>
      <c r="H504" s="224"/>
      <c r="I504" s="223">
        <f aca="true" t="shared" si="153" ref="I504:I510">F504+G504+H504</f>
        <v>682639.25</v>
      </c>
      <c r="J504" s="236">
        <f>420-735+14000-303.5</f>
        <v>13381.5</v>
      </c>
      <c r="K504" s="286"/>
      <c r="L504" s="223">
        <f aca="true" t="shared" si="154" ref="L504:L510">I504+J504+K504</f>
        <v>696020.75</v>
      </c>
      <c r="M504" s="20"/>
      <c r="N504" s="7"/>
      <c r="O504" s="21">
        <f aca="true" t="shared" si="155" ref="O504:O510">L504+M504+N504</f>
        <v>696020.75</v>
      </c>
      <c r="P504" s="74"/>
      <c r="Q504" s="72">
        <f t="shared" si="151"/>
        <v>696020.75</v>
      </c>
    </row>
    <row r="505" spans="1:17" ht="12.75" hidden="1">
      <c r="A505" s="31" t="s">
        <v>111</v>
      </c>
      <c r="B505" s="91"/>
      <c r="C505" s="108"/>
      <c r="D505" s="107"/>
      <c r="E505" s="107"/>
      <c r="F505" s="206">
        <f t="shared" si="148"/>
        <v>0</v>
      </c>
      <c r="G505" s="236"/>
      <c r="H505" s="224"/>
      <c r="I505" s="223">
        <f t="shared" si="153"/>
        <v>0</v>
      </c>
      <c r="J505" s="236"/>
      <c r="K505" s="286"/>
      <c r="L505" s="223">
        <f t="shared" si="154"/>
        <v>0</v>
      </c>
      <c r="M505" s="20"/>
      <c r="N505" s="7"/>
      <c r="O505" s="21">
        <f t="shared" si="155"/>
        <v>0</v>
      </c>
      <c r="P505" s="74"/>
      <c r="Q505" s="72">
        <f t="shared" si="151"/>
        <v>0</v>
      </c>
    </row>
    <row r="506" spans="1:17" ht="12.75" hidden="1">
      <c r="A506" s="31" t="s">
        <v>112</v>
      </c>
      <c r="B506" s="91"/>
      <c r="C506" s="108"/>
      <c r="D506" s="118"/>
      <c r="E506" s="118"/>
      <c r="F506" s="206">
        <f t="shared" si="148"/>
        <v>0</v>
      </c>
      <c r="G506" s="236"/>
      <c r="H506" s="224"/>
      <c r="I506" s="223">
        <f t="shared" si="153"/>
        <v>0</v>
      </c>
      <c r="J506" s="236"/>
      <c r="K506" s="286"/>
      <c r="L506" s="223">
        <f t="shared" si="154"/>
        <v>0</v>
      </c>
      <c r="M506" s="20"/>
      <c r="N506" s="7"/>
      <c r="O506" s="21">
        <f t="shared" si="155"/>
        <v>0</v>
      </c>
      <c r="P506" s="74"/>
      <c r="Q506" s="72">
        <f t="shared" si="151"/>
        <v>0</v>
      </c>
    </row>
    <row r="507" spans="1:17" ht="12.75">
      <c r="A507" s="92" t="s">
        <v>329</v>
      </c>
      <c r="B507" s="91"/>
      <c r="C507" s="108">
        <v>30396</v>
      </c>
      <c r="D507" s="107">
        <f>10303.78+6865</f>
        <v>17168.78</v>
      </c>
      <c r="E507" s="107"/>
      <c r="F507" s="206">
        <f t="shared" si="148"/>
        <v>47564.78</v>
      </c>
      <c r="G507" s="236"/>
      <c r="H507" s="224"/>
      <c r="I507" s="223">
        <f t="shared" si="153"/>
        <v>47564.78</v>
      </c>
      <c r="J507" s="236">
        <f>-2573.9</f>
        <v>-2573.9</v>
      </c>
      <c r="K507" s="286"/>
      <c r="L507" s="223">
        <f t="shared" si="154"/>
        <v>44990.88</v>
      </c>
      <c r="M507" s="20"/>
      <c r="N507" s="7"/>
      <c r="O507" s="21">
        <f t="shared" si="155"/>
        <v>44990.88</v>
      </c>
      <c r="P507" s="74"/>
      <c r="Q507" s="72">
        <f t="shared" si="151"/>
        <v>44990.88</v>
      </c>
    </row>
    <row r="508" spans="1:17" ht="12.75">
      <c r="A508" s="92" t="s">
        <v>330</v>
      </c>
      <c r="B508" s="91"/>
      <c r="C508" s="108">
        <v>1979</v>
      </c>
      <c r="D508" s="107"/>
      <c r="E508" s="107"/>
      <c r="F508" s="206">
        <f t="shared" si="148"/>
        <v>1979</v>
      </c>
      <c r="G508" s="236"/>
      <c r="H508" s="224"/>
      <c r="I508" s="223">
        <f t="shared" si="153"/>
        <v>1979</v>
      </c>
      <c r="J508" s="269"/>
      <c r="K508" s="286"/>
      <c r="L508" s="223">
        <f t="shared" si="154"/>
        <v>1979</v>
      </c>
      <c r="M508" s="20"/>
      <c r="N508" s="7"/>
      <c r="O508" s="21">
        <f t="shared" si="155"/>
        <v>1979</v>
      </c>
      <c r="P508" s="74"/>
      <c r="Q508" s="72">
        <f t="shared" si="151"/>
        <v>1979</v>
      </c>
    </row>
    <row r="509" spans="1:17" ht="12.75">
      <c r="A509" s="31" t="s">
        <v>113</v>
      </c>
      <c r="B509" s="91"/>
      <c r="C509" s="108"/>
      <c r="D509" s="107">
        <f>31187.36</f>
        <v>31187.36</v>
      </c>
      <c r="E509" s="107"/>
      <c r="F509" s="206">
        <f t="shared" si="148"/>
        <v>31187.36</v>
      </c>
      <c r="G509" s="236"/>
      <c r="H509" s="224"/>
      <c r="I509" s="223">
        <f t="shared" si="153"/>
        <v>31187.36</v>
      </c>
      <c r="J509" s="236">
        <f>350+573+2573.9</f>
        <v>3496.9</v>
      </c>
      <c r="K509" s="286"/>
      <c r="L509" s="223">
        <f t="shared" si="154"/>
        <v>34684.26</v>
      </c>
      <c r="M509" s="20"/>
      <c r="N509" s="7"/>
      <c r="O509" s="21">
        <f t="shared" si="155"/>
        <v>34684.26</v>
      </c>
      <c r="P509" s="74"/>
      <c r="Q509" s="72">
        <f t="shared" si="151"/>
        <v>34684.26</v>
      </c>
    </row>
    <row r="510" spans="1:17" ht="12.75">
      <c r="A510" s="92" t="s">
        <v>328</v>
      </c>
      <c r="B510" s="278"/>
      <c r="C510" s="108">
        <v>1626</v>
      </c>
      <c r="D510" s="107">
        <f>4000.49+7712</f>
        <v>11712.49</v>
      </c>
      <c r="E510" s="107"/>
      <c r="F510" s="185">
        <f t="shared" si="148"/>
        <v>13338.49</v>
      </c>
      <c r="G510" s="236">
        <f>123.5-85</f>
        <v>38.5</v>
      </c>
      <c r="H510" s="224"/>
      <c r="I510" s="223">
        <f t="shared" si="153"/>
        <v>13376.99</v>
      </c>
      <c r="J510" s="236">
        <f>-770+162+303.5</f>
        <v>-304.5</v>
      </c>
      <c r="K510" s="286"/>
      <c r="L510" s="223">
        <f t="shared" si="154"/>
        <v>13072.49</v>
      </c>
      <c r="M510" s="20"/>
      <c r="N510" s="7"/>
      <c r="O510" s="21">
        <f t="shared" si="155"/>
        <v>13072.49</v>
      </c>
      <c r="P510" s="74"/>
      <c r="Q510" s="72">
        <f t="shared" si="151"/>
        <v>13072.49</v>
      </c>
    </row>
    <row r="511" spans="1:17" ht="12.75">
      <c r="A511" s="31" t="s">
        <v>114</v>
      </c>
      <c r="B511" s="91">
        <v>16</v>
      </c>
      <c r="C511" s="108">
        <f>SUM(C512:C515)</f>
        <v>5000</v>
      </c>
      <c r="D511" s="107">
        <f aca="true" t="shared" si="156" ref="D511:Q511">SUM(D512:D515)</f>
        <v>3835.44</v>
      </c>
      <c r="E511" s="107">
        <f t="shared" si="156"/>
        <v>0</v>
      </c>
      <c r="F511" s="206">
        <f t="shared" si="156"/>
        <v>8835.44</v>
      </c>
      <c r="G511" s="236">
        <f t="shared" si="156"/>
        <v>0</v>
      </c>
      <c r="H511" s="224">
        <f t="shared" si="156"/>
        <v>0</v>
      </c>
      <c r="I511" s="223">
        <f t="shared" si="156"/>
        <v>8835.44</v>
      </c>
      <c r="J511" s="236">
        <f t="shared" si="156"/>
        <v>0</v>
      </c>
      <c r="K511" s="286">
        <f t="shared" si="156"/>
        <v>0</v>
      </c>
      <c r="L511" s="223">
        <f t="shared" si="156"/>
        <v>8835.44</v>
      </c>
      <c r="M511" s="108">
        <f t="shared" si="156"/>
        <v>0</v>
      </c>
      <c r="N511" s="108">
        <f t="shared" si="156"/>
        <v>0</v>
      </c>
      <c r="O511" s="108">
        <f t="shared" si="156"/>
        <v>8835.44</v>
      </c>
      <c r="P511" s="108">
        <f t="shared" si="156"/>
        <v>0</v>
      </c>
      <c r="Q511" s="160">
        <f t="shared" si="156"/>
        <v>8835.44</v>
      </c>
    </row>
    <row r="512" spans="1:17" ht="12.75">
      <c r="A512" s="31" t="s">
        <v>106</v>
      </c>
      <c r="B512" s="91"/>
      <c r="C512" s="108">
        <v>4605</v>
      </c>
      <c r="D512" s="107">
        <f>1485.35+583.42+60</f>
        <v>2128.77</v>
      </c>
      <c r="E512" s="107"/>
      <c r="F512" s="206">
        <f t="shared" si="148"/>
        <v>6733.77</v>
      </c>
      <c r="G512" s="236"/>
      <c r="H512" s="224"/>
      <c r="I512" s="223">
        <f>F512+G512+H512</f>
        <v>6733.77</v>
      </c>
      <c r="J512" s="236"/>
      <c r="K512" s="286"/>
      <c r="L512" s="223">
        <f>I512+J512+K512</f>
        <v>6733.77</v>
      </c>
      <c r="M512" s="20"/>
      <c r="N512" s="7"/>
      <c r="O512" s="21">
        <f>L512+M512+N512</f>
        <v>6733.77</v>
      </c>
      <c r="P512" s="74"/>
      <c r="Q512" s="72">
        <f t="shared" si="151"/>
        <v>6733.77</v>
      </c>
    </row>
    <row r="513" spans="1:17" ht="12.75">
      <c r="A513" s="92" t="s">
        <v>330</v>
      </c>
      <c r="B513" s="91"/>
      <c r="C513" s="108">
        <v>200</v>
      </c>
      <c r="D513" s="107"/>
      <c r="E513" s="107"/>
      <c r="F513" s="206">
        <f t="shared" si="148"/>
        <v>200</v>
      </c>
      <c r="G513" s="236"/>
      <c r="H513" s="224"/>
      <c r="I513" s="223">
        <f>F513+G513+H513</f>
        <v>200</v>
      </c>
      <c r="J513" s="236"/>
      <c r="K513" s="286"/>
      <c r="L513" s="223">
        <f>I513+J513+K513</f>
        <v>200</v>
      </c>
      <c r="M513" s="20"/>
      <c r="N513" s="7"/>
      <c r="O513" s="21">
        <f>L513+M513+N513</f>
        <v>200</v>
      </c>
      <c r="P513" s="74"/>
      <c r="Q513" s="72">
        <f t="shared" si="151"/>
        <v>200</v>
      </c>
    </row>
    <row r="514" spans="1:17" ht="12.75">
      <c r="A514" s="31" t="s">
        <v>108</v>
      </c>
      <c r="B514" s="91"/>
      <c r="C514" s="108">
        <v>6.1</v>
      </c>
      <c r="D514" s="107">
        <f>1902.26-583.42</f>
        <v>1318.8400000000001</v>
      </c>
      <c r="E514" s="107"/>
      <c r="F514" s="206">
        <f t="shared" si="148"/>
        <v>1324.94</v>
      </c>
      <c r="G514" s="236"/>
      <c r="H514" s="224"/>
      <c r="I514" s="223">
        <f>F514+G514+H514</f>
        <v>1324.94</v>
      </c>
      <c r="J514" s="236"/>
      <c r="K514" s="286"/>
      <c r="L514" s="223">
        <f>I514+J514+K514</f>
        <v>1324.94</v>
      </c>
      <c r="M514" s="20"/>
      <c r="N514" s="7"/>
      <c r="O514" s="21">
        <f>L514+M514+N514</f>
        <v>1324.94</v>
      </c>
      <c r="P514" s="74"/>
      <c r="Q514" s="72">
        <f t="shared" si="151"/>
        <v>1324.94</v>
      </c>
    </row>
    <row r="515" spans="1:17" ht="12.75">
      <c r="A515" s="92" t="s">
        <v>328</v>
      </c>
      <c r="B515" s="91"/>
      <c r="C515" s="108">
        <v>188.9</v>
      </c>
      <c r="D515" s="107">
        <f>447.83-60</f>
        <v>387.83</v>
      </c>
      <c r="E515" s="107"/>
      <c r="F515" s="206">
        <f t="shared" si="148"/>
        <v>576.73</v>
      </c>
      <c r="G515" s="236"/>
      <c r="H515" s="224"/>
      <c r="I515" s="223">
        <f>F515+G515+H515</f>
        <v>576.73</v>
      </c>
      <c r="J515" s="236"/>
      <c r="K515" s="286"/>
      <c r="L515" s="223">
        <f>I515+J515+K515</f>
        <v>576.73</v>
      </c>
      <c r="M515" s="20"/>
      <c r="N515" s="7"/>
      <c r="O515" s="21">
        <f>L515+M515+N515</f>
        <v>576.73</v>
      </c>
      <c r="P515" s="74"/>
      <c r="Q515" s="72">
        <f t="shared" si="151"/>
        <v>576.73</v>
      </c>
    </row>
    <row r="516" spans="1:17" ht="12.75">
      <c r="A516" s="31" t="s">
        <v>98</v>
      </c>
      <c r="B516" s="91">
        <v>18</v>
      </c>
      <c r="C516" s="108">
        <f aca="true" t="shared" si="157" ref="C516:L516">C517+C518</f>
        <v>900</v>
      </c>
      <c r="D516" s="107">
        <f t="shared" si="157"/>
        <v>362.28</v>
      </c>
      <c r="E516" s="107">
        <f t="shared" si="157"/>
        <v>0</v>
      </c>
      <c r="F516" s="206">
        <f t="shared" si="157"/>
        <v>1262.28</v>
      </c>
      <c r="G516" s="236">
        <f t="shared" si="157"/>
        <v>0</v>
      </c>
      <c r="H516" s="224">
        <f t="shared" si="157"/>
        <v>0</v>
      </c>
      <c r="I516" s="223">
        <f t="shared" si="157"/>
        <v>1262.28</v>
      </c>
      <c r="J516" s="236">
        <f t="shared" si="157"/>
        <v>0</v>
      </c>
      <c r="K516" s="286">
        <f t="shared" si="157"/>
        <v>0</v>
      </c>
      <c r="L516" s="223">
        <f t="shared" si="157"/>
        <v>1262.28</v>
      </c>
      <c r="M516" s="20"/>
      <c r="N516" s="125"/>
      <c r="O516" s="80"/>
      <c r="P516" s="74"/>
      <c r="Q516" s="72"/>
    </row>
    <row r="517" spans="1:17" ht="12.75">
      <c r="A517" s="31" t="s">
        <v>99</v>
      </c>
      <c r="B517" s="91"/>
      <c r="C517" s="108">
        <v>900</v>
      </c>
      <c r="D517" s="107">
        <f>362.28</f>
        <v>362.28</v>
      </c>
      <c r="E517" s="107"/>
      <c r="F517" s="206">
        <f>C517+D517+E517</f>
        <v>1262.28</v>
      </c>
      <c r="G517" s="236"/>
      <c r="H517" s="224"/>
      <c r="I517" s="223">
        <f>F517+G517+H517</f>
        <v>1262.28</v>
      </c>
      <c r="J517" s="236"/>
      <c r="K517" s="286"/>
      <c r="L517" s="223">
        <f>I517+J517+K517</f>
        <v>1262.28</v>
      </c>
      <c r="M517" s="20"/>
      <c r="N517" s="125"/>
      <c r="O517" s="80"/>
      <c r="P517" s="74"/>
      <c r="Q517" s="72"/>
    </row>
    <row r="518" spans="1:17" ht="12.75" hidden="1">
      <c r="A518" s="31" t="s">
        <v>100</v>
      </c>
      <c r="B518" s="91"/>
      <c r="C518" s="108">
        <v>0</v>
      </c>
      <c r="D518" s="107"/>
      <c r="E518" s="107"/>
      <c r="F518" s="206">
        <f>C518+D518+E518</f>
        <v>0</v>
      </c>
      <c r="G518" s="236"/>
      <c r="H518" s="224"/>
      <c r="I518" s="223"/>
      <c r="J518" s="236"/>
      <c r="K518" s="286"/>
      <c r="L518" s="223"/>
      <c r="M518" s="20"/>
      <c r="N518" s="125"/>
      <c r="O518" s="80"/>
      <c r="P518" s="74"/>
      <c r="Q518" s="72"/>
    </row>
    <row r="519" spans="1:17" ht="12.75">
      <c r="A519" s="92" t="s">
        <v>233</v>
      </c>
      <c r="B519" s="91">
        <v>19</v>
      </c>
      <c r="C519" s="108">
        <f aca="true" t="shared" si="158" ref="C519:L519">C520+C521</f>
        <v>12000</v>
      </c>
      <c r="D519" s="107">
        <f t="shared" si="158"/>
        <v>-9156.52</v>
      </c>
      <c r="E519" s="107">
        <f t="shared" si="158"/>
        <v>0</v>
      </c>
      <c r="F519" s="206">
        <f t="shared" si="158"/>
        <v>2843.4799999999996</v>
      </c>
      <c r="G519" s="236">
        <f t="shared" si="158"/>
        <v>0</v>
      </c>
      <c r="H519" s="224">
        <f t="shared" si="158"/>
        <v>0</v>
      </c>
      <c r="I519" s="223">
        <f t="shared" si="158"/>
        <v>2843.4799999999996</v>
      </c>
      <c r="J519" s="236">
        <f t="shared" si="158"/>
        <v>0</v>
      </c>
      <c r="K519" s="286">
        <f t="shared" si="158"/>
        <v>0</v>
      </c>
      <c r="L519" s="223">
        <f t="shared" si="158"/>
        <v>2843.4799999999996</v>
      </c>
      <c r="M519" s="20"/>
      <c r="N519" s="125"/>
      <c r="O519" s="80"/>
      <c r="P519" s="74"/>
      <c r="Q519" s="72"/>
    </row>
    <row r="520" spans="1:17" ht="12.75">
      <c r="A520" s="31" t="s">
        <v>99</v>
      </c>
      <c r="B520" s="91"/>
      <c r="C520" s="108">
        <v>12000</v>
      </c>
      <c r="D520" s="107">
        <f>11739.88-21071.66</f>
        <v>-9331.78</v>
      </c>
      <c r="E520" s="107"/>
      <c r="F520" s="206">
        <f>C520+D520+E520</f>
        <v>2668.2199999999993</v>
      </c>
      <c r="G520" s="236"/>
      <c r="H520" s="224"/>
      <c r="I520" s="223">
        <f>F520+G520+H520</f>
        <v>2668.2199999999993</v>
      </c>
      <c r="J520" s="236"/>
      <c r="K520" s="286"/>
      <c r="L520" s="223">
        <f>I520+J520+K520</f>
        <v>2668.2199999999993</v>
      </c>
      <c r="M520" s="20"/>
      <c r="N520" s="125"/>
      <c r="O520" s="80"/>
      <c r="P520" s="74"/>
      <c r="Q520" s="72"/>
    </row>
    <row r="521" spans="1:17" ht="12.75">
      <c r="A521" s="92" t="s">
        <v>328</v>
      </c>
      <c r="B521" s="91"/>
      <c r="C521" s="108"/>
      <c r="D521" s="107">
        <f>175.26</f>
        <v>175.26</v>
      </c>
      <c r="E521" s="107"/>
      <c r="F521" s="206">
        <f>C521+D521+E521</f>
        <v>175.26</v>
      </c>
      <c r="G521" s="236"/>
      <c r="H521" s="224"/>
      <c r="I521" s="223">
        <f>F521+G521+H521</f>
        <v>175.26</v>
      </c>
      <c r="J521" s="236"/>
      <c r="K521" s="286"/>
      <c r="L521" s="223">
        <f>I521+J521+K521</f>
        <v>175.26</v>
      </c>
      <c r="M521" s="20"/>
      <c r="N521" s="125"/>
      <c r="O521" s="80"/>
      <c r="P521" s="74"/>
      <c r="Q521" s="72"/>
    </row>
    <row r="522" spans="1:17" ht="12.75">
      <c r="A522" s="31" t="s">
        <v>115</v>
      </c>
      <c r="B522" s="91">
        <v>28</v>
      </c>
      <c r="C522" s="108">
        <f>SUM(C523:C527)</f>
        <v>30000</v>
      </c>
      <c r="D522" s="107">
        <f aca="true" t="shared" si="159" ref="D522:Q522">SUM(D523:D527)</f>
        <v>57475.020000000004</v>
      </c>
      <c r="E522" s="107">
        <f t="shared" si="159"/>
        <v>0</v>
      </c>
      <c r="F522" s="206">
        <f t="shared" si="159"/>
        <v>87475.01999999999</v>
      </c>
      <c r="G522" s="236">
        <f t="shared" si="159"/>
        <v>17000</v>
      </c>
      <c r="H522" s="224">
        <f t="shared" si="159"/>
        <v>0</v>
      </c>
      <c r="I522" s="223">
        <f t="shared" si="159"/>
        <v>104475.01999999999</v>
      </c>
      <c r="J522" s="236">
        <f t="shared" si="159"/>
        <v>0</v>
      </c>
      <c r="K522" s="286">
        <f t="shared" si="159"/>
        <v>0</v>
      </c>
      <c r="L522" s="223">
        <f t="shared" si="159"/>
        <v>104475.01999999999</v>
      </c>
      <c r="M522" s="108">
        <f t="shared" si="159"/>
        <v>0</v>
      </c>
      <c r="N522" s="108">
        <f t="shared" si="159"/>
        <v>0</v>
      </c>
      <c r="O522" s="108">
        <f t="shared" si="159"/>
        <v>104475.01999999999</v>
      </c>
      <c r="P522" s="108">
        <f t="shared" si="159"/>
        <v>0</v>
      </c>
      <c r="Q522" s="160">
        <f t="shared" si="159"/>
        <v>104475.01999999999</v>
      </c>
    </row>
    <row r="523" spans="1:17" ht="12.75">
      <c r="A523" s="31" t="s">
        <v>106</v>
      </c>
      <c r="B523" s="91"/>
      <c r="C523" s="108">
        <v>10460</v>
      </c>
      <c r="D523" s="107">
        <f>6249.29</f>
        <v>6249.29</v>
      </c>
      <c r="E523" s="107"/>
      <c r="F523" s="206">
        <f t="shared" si="148"/>
        <v>16709.29</v>
      </c>
      <c r="G523" s="236"/>
      <c r="H523" s="224"/>
      <c r="I523" s="223">
        <f>F523+G523+H523</f>
        <v>16709.29</v>
      </c>
      <c r="J523" s="236">
        <f>80</f>
        <v>80</v>
      </c>
      <c r="K523" s="286"/>
      <c r="L523" s="223">
        <f>I523+J523+K523</f>
        <v>16789.29</v>
      </c>
      <c r="M523" s="20"/>
      <c r="N523" s="7"/>
      <c r="O523" s="21">
        <f>L523+M523+N523</f>
        <v>16789.29</v>
      </c>
      <c r="P523" s="74"/>
      <c r="Q523" s="72">
        <f t="shared" si="151"/>
        <v>16789.29</v>
      </c>
    </row>
    <row r="524" spans="1:17" ht="12.75">
      <c r="A524" s="92" t="s">
        <v>330</v>
      </c>
      <c r="B524" s="91"/>
      <c r="C524" s="108">
        <v>2150</v>
      </c>
      <c r="D524" s="107">
        <f>555.67</f>
        <v>555.67</v>
      </c>
      <c r="E524" s="107"/>
      <c r="F524" s="206">
        <f t="shared" si="148"/>
        <v>2705.67</v>
      </c>
      <c r="G524" s="236"/>
      <c r="H524" s="224"/>
      <c r="I524" s="223">
        <f>F524+G524+H524</f>
        <v>2705.67</v>
      </c>
      <c r="J524" s="236"/>
      <c r="K524" s="286"/>
      <c r="L524" s="223">
        <f>I524+J524+K524</f>
        <v>2705.67</v>
      </c>
      <c r="M524" s="20"/>
      <c r="N524" s="7"/>
      <c r="O524" s="21">
        <f>L524+M524+N524</f>
        <v>2705.67</v>
      </c>
      <c r="P524" s="74"/>
      <c r="Q524" s="72">
        <f t="shared" si="151"/>
        <v>2705.67</v>
      </c>
    </row>
    <row r="525" spans="1:17" ht="12.75">
      <c r="A525" s="31" t="s">
        <v>116</v>
      </c>
      <c r="B525" s="91"/>
      <c r="C525" s="108">
        <v>11818.34</v>
      </c>
      <c r="D525" s="107">
        <f>54479.44-800+800+1000</f>
        <v>55479.44</v>
      </c>
      <c r="E525" s="107"/>
      <c r="F525" s="206">
        <f t="shared" si="148"/>
        <v>67297.78</v>
      </c>
      <c r="G525" s="236">
        <f>17000</f>
        <v>17000</v>
      </c>
      <c r="H525" s="224"/>
      <c r="I525" s="223">
        <f>F525+G525+H525</f>
        <v>84297.78</v>
      </c>
      <c r="J525" s="236">
        <f>-80</f>
        <v>-80</v>
      </c>
      <c r="K525" s="286"/>
      <c r="L525" s="223">
        <f>I525+J525+K525</f>
        <v>84217.78</v>
      </c>
      <c r="M525" s="20"/>
      <c r="N525" s="7"/>
      <c r="O525" s="21">
        <f>L525+M525+N525</f>
        <v>84217.78</v>
      </c>
      <c r="P525" s="74"/>
      <c r="Q525" s="72">
        <f t="shared" si="151"/>
        <v>84217.78</v>
      </c>
    </row>
    <row r="526" spans="1:17" ht="12.75" hidden="1">
      <c r="A526" s="31" t="s">
        <v>113</v>
      </c>
      <c r="B526" s="91"/>
      <c r="C526" s="108"/>
      <c r="D526" s="107"/>
      <c r="E526" s="107"/>
      <c r="F526" s="206">
        <f t="shared" si="148"/>
        <v>0</v>
      </c>
      <c r="G526" s="236"/>
      <c r="H526" s="224"/>
      <c r="I526" s="223">
        <f>F526+G526+H526</f>
        <v>0</v>
      </c>
      <c r="J526" s="236"/>
      <c r="K526" s="286"/>
      <c r="L526" s="223">
        <f>I526+J526+K526</f>
        <v>0</v>
      </c>
      <c r="M526" s="20"/>
      <c r="N526" s="7"/>
      <c r="O526" s="21">
        <f>L526+M526+N526</f>
        <v>0</v>
      </c>
      <c r="P526" s="74"/>
      <c r="Q526" s="72">
        <f t="shared" si="151"/>
        <v>0</v>
      </c>
    </row>
    <row r="527" spans="1:17" ht="12.75">
      <c r="A527" s="92" t="s">
        <v>328</v>
      </c>
      <c r="B527" s="91"/>
      <c r="C527" s="108">
        <v>5571.66</v>
      </c>
      <c r="D527" s="118">
        <f>46.6-3055.98-800-1000</f>
        <v>-4809.38</v>
      </c>
      <c r="E527" s="107"/>
      <c r="F527" s="206">
        <f t="shared" si="148"/>
        <v>762.2799999999997</v>
      </c>
      <c r="G527" s="236"/>
      <c r="H527" s="224"/>
      <c r="I527" s="223">
        <f>F527+G527+H527</f>
        <v>762.2799999999997</v>
      </c>
      <c r="J527" s="236"/>
      <c r="K527" s="286"/>
      <c r="L527" s="223">
        <f>I527+J527+K527</f>
        <v>762.2799999999997</v>
      </c>
      <c r="M527" s="20"/>
      <c r="N527" s="7"/>
      <c r="O527" s="21">
        <f>L527+M527+N527</f>
        <v>762.2799999999997</v>
      </c>
      <c r="P527" s="74"/>
      <c r="Q527" s="72">
        <f t="shared" si="151"/>
        <v>762.2799999999997</v>
      </c>
    </row>
    <row r="528" spans="1:17" ht="12.75">
      <c r="A528" s="32" t="s">
        <v>117</v>
      </c>
      <c r="B528" s="91"/>
      <c r="C528" s="108">
        <f>C529+C530</f>
        <v>30001</v>
      </c>
      <c r="D528" s="107">
        <f aca="true" t="shared" si="160" ref="D528:Q528">D529+D530</f>
        <v>-4032.2000000000007</v>
      </c>
      <c r="E528" s="107">
        <f t="shared" si="160"/>
        <v>0</v>
      </c>
      <c r="F528" s="206">
        <f t="shared" si="160"/>
        <v>25968.8</v>
      </c>
      <c r="G528" s="236">
        <f t="shared" si="160"/>
        <v>-4500</v>
      </c>
      <c r="H528" s="224">
        <f t="shared" si="160"/>
        <v>0</v>
      </c>
      <c r="I528" s="223">
        <f t="shared" si="160"/>
        <v>21468.8</v>
      </c>
      <c r="J528" s="236">
        <f t="shared" si="160"/>
        <v>-10000</v>
      </c>
      <c r="K528" s="286">
        <f t="shared" si="160"/>
        <v>0</v>
      </c>
      <c r="L528" s="223">
        <f t="shared" si="160"/>
        <v>11468.8</v>
      </c>
      <c r="M528" s="132">
        <f t="shared" si="160"/>
        <v>0</v>
      </c>
      <c r="N528" s="132">
        <f t="shared" si="160"/>
        <v>0</v>
      </c>
      <c r="O528" s="132">
        <f t="shared" si="160"/>
        <v>0</v>
      </c>
      <c r="P528" s="132">
        <f t="shared" si="160"/>
        <v>0</v>
      </c>
      <c r="Q528" s="160">
        <f t="shared" si="160"/>
        <v>0</v>
      </c>
    </row>
    <row r="529" spans="1:17" ht="12.75">
      <c r="A529" s="32" t="s">
        <v>217</v>
      </c>
      <c r="B529" s="91"/>
      <c r="C529" s="108">
        <v>30000</v>
      </c>
      <c r="D529" s="107">
        <f>-5000+150.91+786.12-5000</f>
        <v>-9062.970000000001</v>
      </c>
      <c r="E529" s="107"/>
      <c r="F529" s="206">
        <f t="shared" si="148"/>
        <v>20937.03</v>
      </c>
      <c r="G529" s="236">
        <f>-2500-2000</f>
        <v>-4500</v>
      </c>
      <c r="H529" s="224"/>
      <c r="I529" s="223">
        <f>F529+G529+H529</f>
        <v>16437.03</v>
      </c>
      <c r="J529" s="236">
        <f>-10000</f>
        <v>-10000</v>
      </c>
      <c r="K529" s="286"/>
      <c r="L529" s="223">
        <f>I529+J529+K529</f>
        <v>6437.029999999999</v>
      </c>
      <c r="M529" s="20"/>
      <c r="N529" s="7"/>
      <c r="O529" s="21"/>
      <c r="P529" s="74"/>
      <c r="Q529" s="72"/>
    </row>
    <row r="530" spans="1:17" ht="12.75">
      <c r="A530" s="35" t="s">
        <v>331</v>
      </c>
      <c r="B530" s="94"/>
      <c r="C530" s="186">
        <v>1</v>
      </c>
      <c r="D530" s="115">
        <f>30.77+5000</f>
        <v>5030.77</v>
      </c>
      <c r="E530" s="115"/>
      <c r="F530" s="211">
        <f t="shared" si="148"/>
        <v>5031.77</v>
      </c>
      <c r="G530" s="235"/>
      <c r="H530" s="253"/>
      <c r="I530" s="231">
        <f>F530+G530+H530</f>
        <v>5031.77</v>
      </c>
      <c r="J530" s="235"/>
      <c r="K530" s="289"/>
      <c r="L530" s="223">
        <f>I530+J530+K530</f>
        <v>5031.77</v>
      </c>
      <c r="M530" s="20"/>
      <c r="N530" s="7"/>
      <c r="O530" s="21"/>
      <c r="P530" s="74"/>
      <c r="Q530" s="72"/>
    </row>
    <row r="531" spans="1:17" ht="13.5" thickBot="1">
      <c r="A531" s="45" t="s">
        <v>118</v>
      </c>
      <c r="B531" s="95"/>
      <c r="C531" s="109">
        <v>10017.35</v>
      </c>
      <c r="D531" s="107">
        <f>140.83</f>
        <v>140.83</v>
      </c>
      <c r="E531" s="110"/>
      <c r="F531" s="207">
        <f t="shared" si="148"/>
        <v>10158.18</v>
      </c>
      <c r="G531" s="266"/>
      <c r="H531" s="224">
        <f>7978.14</f>
        <v>7978.14</v>
      </c>
      <c r="I531" s="225">
        <f>SUM(F531:H531)</f>
        <v>18136.32</v>
      </c>
      <c r="J531" s="266"/>
      <c r="K531" s="288"/>
      <c r="L531" s="299">
        <f>SUM(I531:K531)</f>
        <v>18136.32</v>
      </c>
      <c r="M531" s="22"/>
      <c r="N531" s="8"/>
      <c r="O531" s="23">
        <f>SUM(L531:N531)</f>
        <v>18136.32</v>
      </c>
      <c r="P531" s="75"/>
      <c r="Q531" s="26">
        <f>O531+P531</f>
        <v>18136.32</v>
      </c>
    </row>
    <row r="532" spans="1:17" ht="15.75" thickBot="1">
      <c r="A532" s="46" t="s">
        <v>119</v>
      </c>
      <c r="B532" s="98"/>
      <c r="C532" s="191">
        <f aca="true" t="shared" si="161" ref="C532:L532">+C82+C101+C108+C119+C137+C149+C179+C230+C250+C279+C301+C384+C416+C437+C444+C475+C479+C531+C451+C323+C272</f>
        <v>5545486.969999999</v>
      </c>
      <c r="D532" s="120">
        <f t="shared" si="161"/>
        <v>4823153.089999999</v>
      </c>
      <c r="E532" s="120">
        <f t="shared" si="161"/>
        <v>64846</v>
      </c>
      <c r="F532" s="214">
        <f t="shared" si="161"/>
        <v>10433486.06</v>
      </c>
      <c r="G532" s="270">
        <f t="shared" si="161"/>
        <v>9828495.730000004</v>
      </c>
      <c r="H532" s="257">
        <f t="shared" si="161"/>
        <v>116743.29</v>
      </c>
      <c r="I532" s="238">
        <f t="shared" si="161"/>
        <v>20378725.079999994</v>
      </c>
      <c r="J532" s="270">
        <f t="shared" si="161"/>
        <v>986724.21</v>
      </c>
      <c r="K532" s="300">
        <f t="shared" si="161"/>
        <v>0</v>
      </c>
      <c r="L532" s="238">
        <f t="shared" si="161"/>
        <v>21365449.29</v>
      </c>
      <c r="M532" s="135" t="e">
        <f>+M82+M108+M119+M137+M149+M179+M230+M250+M279+M301+M384+M416+M437+M444+M475+M479+M531+M451+M323</f>
        <v>#REF!</v>
      </c>
      <c r="N532" s="135" t="e">
        <f>+N82+N108+N119+N137+N149+N179+N230+N250+N279+N301+N384+N416+N437+N444+N475+N479+N531+N451+N323</f>
        <v>#REF!</v>
      </c>
      <c r="O532" s="135" t="e">
        <f>+O82+O108+O119+O137+O149+O179+O230+O250+O279+O301+O384+O416+O437+O444+O475+O479+O531+O451+O323</f>
        <v>#REF!</v>
      </c>
      <c r="P532" s="135" t="e">
        <f>+P82+P108+P119+P137+P149+P179+P230+P250+P279+P301+P384+P416+P437+P444+P475+P479+P531+P451+P323</f>
        <v>#REF!</v>
      </c>
      <c r="Q532" s="167" t="e">
        <f>+Q82+Q108+Q119+Q137+Q149+Q179+Q230+Q250+Q279+Q301+Q384+Q416+Q437+Q444+Q475+Q479+Q531+Q451+Q323</f>
        <v>#REF!</v>
      </c>
    </row>
    <row r="533" spans="1:17" ht="13.5" thickBot="1">
      <c r="A533" s="47" t="s">
        <v>120</v>
      </c>
      <c r="B533" s="98"/>
      <c r="C533" s="192">
        <v>-10017.35</v>
      </c>
      <c r="D533" s="157">
        <f>-140.83</f>
        <v>-140.83</v>
      </c>
      <c r="E533" s="193"/>
      <c r="F533" s="215">
        <f t="shared" si="148"/>
        <v>-10158.18</v>
      </c>
      <c r="G533" s="271"/>
      <c r="H533" s="258"/>
      <c r="I533" s="225">
        <f>SUM(F533:H533)</f>
        <v>-10158.18</v>
      </c>
      <c r="J533" s="271"/>
      <c r="K533" s="301"/>
      <c r="L533" s="299">
        <f>SUM(I533:K533)</f>
        <v>-10158.18</v>
      </c>
      <c r="M533" s="144"/>
      <c r="N533" s="144"/>
      <c r="O533" s="144"/>
      <c r="P533" s="144"/>
      <c r="Q533" s="168"/>
    </row>
    <row r="534" spans="1:17" ht="16.5" thickBot="1">
      <c r="A534" s="48" t="s">
        <v>121</v>
      </c>
      <c r="B534" s="98"/>
      <c r="C534" s="194">
        <f aca="true" t="shared" si="162" ref="C534:Q534">C532+C533</f>
        <v>5535469.619999999</v>
      </c>
      <c r="D534" s="112">
        <f t="shared" si="162"/>
        <v>4823012.259999999</v>
      </c>
      <c r="E534" s="195">
        <f t="shared" si="162"/>
        <v>64846</v>
      </c>
      <c r="F534" s="216">
        <f t="shared" si="162"/>
        <v>10423327.88</v>
      </c>
      <c r="G534" s="272">
        <f t="shared" si="162"/>
        <v>9828495.730000004</v>
      </c>
      <c r="H534" s="259">
        <f t="shared" si="162"/>
        <v>116743.29</v>
      </c>
      <c r="I534" s="239">
        <f t="shared" si="162"/>
        <v>20368566.899999995</v>
      </c>
      <c r="J534" s="272">
        <f>J532+J533</f>
        <v>986724.21</v>
      </c>
      <c r="K534" s="302">
        <f>K532+K533</f>
        <v>0</v>
      </c>
      <c r="L534" s="239">
        <f>L532+L533</f>
        <v>21355291.11</v>
      </c>
      <c r="M534" s="145" t="e">
        <f t="shared" si="162"/>
        <v>#REF!</v>
      </c>
      <c r="N534" s="145" t="e">
        <f t="shared" si="162"/>
        <v>#REF!</v>
      </c>
      <c r="O534" s="145" t="e">
        <f t="shared" si="162"/>
        <v>#REF!</v>
      </c>
      <c r="P534" s="145" t="e">
        <f t="shared" si="162"/>
        <v>#REF!</v>
      </c>
      <c r="Q534" s="169" t="e">
        <f t="shared" si="162"/>
        <v>#REF!</v>
      </c>
    </row>
    <row r="535" spans="1:17" ht="15.75">
      <c r="A535" s="49" t="s">
        <v>26</v>
      </c>
      <c r="B535" s="99"/>
      <c r="C535" s="196"/>
      <c r="D535" s="121"/>
      <c r="E535" s="121"/>
      <c r="F535" s="217"/>
      <c r="G535" s="273"/>
      <c r="H535" s="260"/>
      <c r="I535" s="240"/>
      <c r="J535" s="273"/>
      <c r="K535" s="303"/>
      <c r="L535" s="240"/>
      <c r="M535" s="146"/>
      <c r="N535" s="146"/>
      <c r="O535" s="146"/>
      <c r="P535" s="146"/>
      <c r="Q535" s="170"/>
    </row>
    <row r="536" spans="1:17" ht="15.75">
      <c r="A536" s="50" t="s">
        <v>206</v>
      </c>
      <c r="B536" s="100"/>
      <c r="C536" s="197">
        <f>+C83+C102+C109+C120+C138+C150+C180+C231+C251+C280+C302+C385+C417+C438+C445+C476+C481+C531+C533+C452+C324+C273</f>
        <v>4176459.8700000006</v>
      </c>
      <c r="D536" s="182">
        <f>+D83+D102+D109+D120+D138+D150+D180+D231+D251+D280+D302+D385+D417+D438+D445+D476+D481+D531+D533+D452+D324+D273</f>
        <v>2697583.0799999996</v>
      </c>
      <c r="E536" s="182">
        <f>+E83+E102+E109+E120+E138+E150+E180+E231+E251+E280+E302+E385+E417+E438+E445+E476+E481+E531+E533+E452+E324+E273</f>
        <v>17787.23</v>
      </c>
      <c r="F536" s="218">
        <f>+F83+F102+F109+F120+F138+F150+F180+F231+F251+F280+F302+F385+F417+F438+F445+F476+F481+F531+F533+F452+F324+F273</f>
        <v>6891830.179999998</v>
      </c>
      <c r="G536" s="274">
        <f aca="true" t="shared" si="163" ref="G536:Q536">+G83+G109+G120+G138+G150+G180+G231+G251+G280+G302+G385+G417+G438+G445+G476+G481+G531+G533+G452+G324</f>
        <v>8963906.460000005</v>
      </c>
      <c r="H536" s="261">
        <f t="shared" si="163"/>
        <v>75099.20000000001</v>
      </c>
      <c r="I536" s="241">
        <f t="shared" si="163"/>
        <v>15884437.099999998</v>
      </c>
      <c r="J536" s="274">
        <f>+J83+J109+J120+J138+J150+J180+J231+J251+J280+J302+J385+J417+J438+J445+J476+J481+J531+J533+J452+J324</f>
        <v>759928.2799999998</v>
      </c>
      <c r="K536" s="304">
        <f>+K83+K109+K120+K138+K150+K180+K231+K251+K280+K302+K385+K417+K438+K445+K476+K481+K531+K533+K452+K324</f>
        <v>0</v>
      </c>
      <c r="L536" s="241">
        <f>+L83+L109+L120+L138+L150+L180+L231+L251+L280+L302+L385+L417+L438+L445+L476+L481+L531+L533+L452+L324</f>
        <v>16644365.379999999</v>
      </c>
      <c r="M536" s="147">
        <f t="shared" si="163"/>
        <v>0</v>
      </c>
      <c r="N536" s="147">
        <f t="shared" si="163"/>
        <v>0</v>
      </c>
      <c r="O536" s="147">
        <f t="shared" si="163"/>
        <v>5756393.860000001</v>
      </c>
      <c r="P536" s="147">
        <f t="shared" si="163"/>
        <v>0</v>
      </c>
      <c r="Q536" s="171">
        <f t="shared" si="163"/>
        <v>5756393.860000001</v>
      </c>
    </row>
    <row r="537" spans="1:17" ht="16.5" thickBot="1">
      <c r="A537" s="37" t="s">
        <v>207</v>
      </c>
      <c r="B537" s="101"/>
      <c r="C537" s="198">
        <f>+C91+C105+C116+C132+C143+C169+C221+C243+C266+C294+C319+C411+C428+C441+C482+C465+C350+C276</f>
        <v>1359009.75</v>
      </c>
      <c r="D537" s="183">
        <f>+D91+D105+D116+D132+D143+D169+D221+D243+D266+D294+D319+D411+D428+D441+D482+D465+D350+D276</f>
        <v>2125429.1799999997</v>
      </c>
      <c r="E537" s="183">
        <f>+E91+E105+E116+E132+E143+E169+E221+E243+E266+E294+E319+E411+E428+E441+E482+E465+E350+E276</f>
        <v>100757.55</v>
      </c>
      <c r="F537" s="219">
        <f>+F91+F105+F116+F132+F143+F169+F221+F243+F266+F294+F319+F411+F428+F441+F482+F465+F350+F276</f>
        <v>3531497.7</v>
      </c>
      <c r="G537" s="275">
        <f aca="true" t="shared" si="164" ref="G537:Q537">+G91+G116+G132+G143+G169+G221+G243+G266+G294+G319+G411+G428+G441+G482+G465+G350</f>
        <v>879089.27</v>
      </c>
      <c r="H537" s="262">
        <f t="shared" si="164"/>
        <v>41644.090000000004</v>
      </c>
      <c r="I537" s="242">
        <f t="shared" si="164"/>
        <v>4452231.06</v>
      </c>
      <c r="J537" s="275">
        <f>+J91+J116+J132+J143+J169+J221+J243+J266+J294+J319+J411+J428+J441+J482+J465+J350</f>
        <v>225182.61000000002</v>
      </c>
      <c r="K537" s="305">
        <f>+K91+K116+K132+K143+K169+K221+K243+K266+K294+K319+K411+K428+K441+K482+K465+K350</f>
        <v>0</v>
      </c>
      <c r="L537" s="242">
        <f>+L91+L116+L132+L143+L169+L221+L243+L266+L294+L319+L411+L428+L441+L482+L465+L350</f>
        <v>4677413.67</v>
      </c>
      <c r="M537" s="148" t="e">
        <f t="shared" si="164"/>
        <v>#REF!</v>
      </c>
      <c r="N537" s="148" t="e">
        <f t="shared" si="164"/>
        <v>#REF!</v>
      </c>
      <c r="O537" s="148" t="e">
        <f t="shared" si="164"/>
        <v>#REF!</v>
      </c>
      <c r="P537" s="148" t="e">
        <f t="shared" si="164"/>
        <v>#REF!</v>
      </c>
      <c r="Q537" s="172" t="e">
        <f t="shared" si="164"/>
        <v>#REF!</v>
      </c>
    </row>
    <row r="538" spans="1:17" ht="16.5" thickBot="1">
      <c r="A538" s="50" t="s">
        <v>200</v>
      </c>
      <c r="B538" s="100"/>
      <c r="C538" s="191">
        <f aca="true" t="shared" si="165" ref="C538:Q538">C80-C534</f>
        <v>-419999.99999999907</v>
      </c>
      <c r="D538" s="120">
        <f t="shared" si="165"/>
        <v>-2810061.259999999</v>
      </c>
      <c r="E538" s="120">
        <f t="shared" si="165"/>
        <v>-32680.3</v>
      </c>
      <c r="F538" s="214">
        <f t="shared" si="165"/>
        <v>-3262741.5600000005</v>
      </c>
      <c r="G538" s="270">
        <f t="shared" si="165"/>
        <v>-4962.340000003576</v>
      </c>
      <c r="H538" s="257">
        <f t="shared" si="165"/>
        <v>-81541.92</v>
      </c>
      <c r="I538" s="238">
        <f t="shared" si="165"/>
        <v>-3349245.8199999966</v>
      </c>
      <c r="J538" s="270">
        <f>J80-J534</f>
        <v>0</v>
      </c>
      <c r="K538" s="300">
        <f>K80-K534</f>
        <v>0</v>
      </c>
      <c r="L538" s="238">
        <f>L80-L534</f>
        <v>-3349245.820000004</v>
      </c>
      <c r="M538" s="135" t="e">
        <f t="shared" si="165"/>
        <v>#REF!</v>
      </c>
      <c r="N538" s="135" t="e">
        <f t="shared" si="165"/>
        <v>#REF!</v>
      </c>
      <c r="O538" s="135" t="e">
        <f t="shared" si="165"/>
        <v>#REF!</v>
      </c>
      <c r="P538" s="135" t="e">
        <f t="shared" si="165"/>
        <v>#REF!</v>
      </c>
      <c r="Q538" s="167" t="e">
        <f t="shared" si="165"/>
        <v>#REF!</v>
      </c>
    </row>
    <row r="539" spans="1:17" ht="15.75">
      <c r="A539" s="49" t="s">
        <v>208</v>
      </c>
      <c r="B539" s="99"/>
      <c r="C539" s="196">
        <f>SUM(C541:C544)</f>
        <v>420000</v>
      </c>
      <c r="D539" s="121">
        <f aca="true" t="shared" si="166" ref="D539:Q539">SUM(D541:D544)</f>
        <v>2810061.2600000002</v>
      </c>
      <c r="E539" s="121">
        <f t="shared" si="166"/>
        <v>32680.3</v>
      </c>
      <c r="F539" s="217">
        <f t="shared" si="166"/>
        <v>3262741.56</v>
      </c>
      <c r="G539" s="273">
        <f aca="true" t="shared" si="167" ref="G539:L539">SUM(G541:G544)</f>
        <v>4962.34</v>
      </c>
      <c r="H539" s="260">
        <f t="shared" si="167"/>
        <v>81541.92</v>
      </c>
      <c r="I539" s="240">
        <f t="shared" si="167"/>
        <v>3349245.82</v>
      </c>
      <c r="J539" s="273">
        <f t="shared" si="167"/>
        <v>0</v>
      </c>
      <c r="K539" s="303">
        <f t="shared" si="167"/>
        <v>0</v>
      </c>
      <c r="L539" s="240">
        <f t="shared" si="167"/>
        <v>3349245.82</v>
      </c>
      <c r="M539" s="127">
        <f t="shared" si="166"/>
        <v>0</v>
      </c>
      <c r="N539" s="127">
        <f t="shared" si="166"/>
        <v>0</v>
      </c>
      <c r="O539" s="127">
        <f t="shared" si="166"/>
        <v>3349245.82</v>
      </c>
      <c r="P539" s="127">
        <f t="shared" si="166"/>
        <v>0</v>
      </c>
      <c r="Q539" s="173">
        <f t="shared" si="166"/>
        <v>3349245.82</v>
      </c>
    </row>
    <row r="540" spans="1:17" ht="12.75" customHeight="1">
      <c r="A540" s="51" t="s">
        <v>26</v>
      </c>
      <c r="B540" s="102"/>
      <c r="C540" s="199"/>
      <c r="D540" s="122"/>
      <c r="E540" s="122"/>
      <c r="F540" s="220"/>
      <c r="G540" s="276"/>
      <c r="H540" s="263"/>
      <c r="I540" s="243"/>
      <c r="J540" s="276"/>
      <c r="K540" s="293"/>
      <c r="L540" s="243"/>
      <c r="M540" s="13"/>
      <c r="N540" s="10"/>
      <c r="O540" s="59"/>
      <c r="P540" s="74"/>
      <c r="Q540" s="72"/>
    </row>
    <row r="541" spans="1:17" ht="14.25">
      <c r="A541" s="51" t="s">
        <v>122</v>
      </c>
      <c r="B541" s="102"/>
      <c r="C541" s="200">
        <v>600000</v>
      </c>
      <c r="D541" s="141"/>
      <c r="E541" s="141"/>
      <c r="F541" s="221">
        <f>SUM(C541:E541)</f>
        <v>600000</v>
      </c>
      <c r="G541" s="277"/>
      <c r="H541" s="264"/>
      <c r="I541" s="244">
        <f>SUM(F541:H541)</f>
        <v>600000</v>
      </c>
      <c r="J541" s="277"/>
      <c r="K541" s="294"/>
      <c r="L541" s="244">
        <f>SUM(I541:K541)</f>
        <v>600000</v>
      </c>
      <c r="M541" s="14"/>
      <c r="N541" s="11"/>
      <c r="O541" s="59">
        <f>SUM(L541:N541)</f>
        <v>600000</v>
      </c>
      <c r="P541" s="74"/>
      <c r="Q541" s="72">
        <f t="shared" si="151"/>
        <v>600000</v>
      </c>
    </row>
    <row r="542" spans="1:17" ht="14.25">
      <c r="A542" s="52" t="s">
        <v>128</v>
      </c>
      <c r="B542" s="102"/>
      <c r="C542" s="200">
        <v>-180000</v>
      </c>
      <c r="D542" s="141"/>
      <c r="E542" s="141"/>
      <c r="F542" s="221">
        <f>SUM(C542:E542)</f>
        <v>-180000</v>
      </c>
      <c r="G542" s="277"/>
      <c r="H542" s="264"/>
      <c r="I542" s="244">
        <f>SUM(F542:H542)</f>
        <v>-180000</v>
      </c>
      <c r="J542" s="277"/>
      <c r="K542" s="294"/>
      <c r="L542" s="244">
        <f>SUM(I542:K542)</f>
        <v>-180000</v>
      </c>
      <c r="M542" s="14"/>
      <c r="N542" s="11"/>
      <c r="O542" s="59">
        <f>SUM(L542:N542)</f>
        <v>-180000</v>
      </c>
      <c r="P542" s="74"/>
      <c r="Q542" s="72">
        <f t="shared" si="151"/>
        <v>-180000</v>
      </c>
    </row>
    <row r="543" spans="1:17" ht="15" thickBot="1">
      <c r="A543" s="52" t="s">
        <v>123</v>
      </c>
      <c r="B543" s="281"/>
      <c r="C543" s="200"/>
      <c r="D543" s="141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43" s="141">
        <f>1571.6+15730+11250+1644+2484.7</f>
        <v>32680.3</v>
      </c>
      <c r="F543" s="221">
        <f>SUM(C543:E543)</f>
        <v>2842741.56</v>
      </c>
      <c r="G543" s="282">
        <f>4638.54+323.8</f>
        <v>4962.34</v>
      </c>
      <c r="H543" s="283">
        <f>10709.3+8436+54418.48</f>
        <v>73563.78</v>
      </c>
      <c r="I543" s="244">
        <f>SUM(F543:H543)</f>
        <v>2921267.6799999997</v>
      </c>
      <c r="J543" s="277"/>
      <c r="K543" s="294"/>
      <c r="L543" s="244">
        <f>SUM(I543:K543)</f>
        <v>2921267.6799999997</v>
      </c>
      <c r="M543" s="63"/>
      <c r="N543" s="12"/>
      <c r="O543" s="61">
        <f>SUM(L543:N543)</f>
        <v>2921267.6799999997</v>
      </c>
      <c r="P543" s="76"/>
      <c r="Q543" s="73">
        <f t="shared" si="151"/>
        <v>2921267.6799999997</v>
      </c>
    </row>
    <row r="544" spans="1:18" ht="15" thickBot="1">
      <c r="A544" s="64" t="s">
        <v>138</v>
      </c>
      <c r="B544" s="103"/>
      <c r="C544" s="149"/>
      <c r="D544" s="142" t="s">
        <v>183</v>
      </c>
      <c r="E544" s="176"/>
      <c r="F544" s="284">
        <f>SUM(C544:E544)</f>
        <v>0</v>
      </c>
      <c r="G544" s="245"/>
      <c r="H544" s="246">
        <f>7978.14</f>
        <v>7978.14</v>
      </c>
      <c r="I544" s="247">
        <f>SUM(F544:H544)</f>
        <v>7978.14</v>
      </c>
      <c r="J544" s="308">
        <v>0</v>
      </c>
      <c r="K544" s="295">
        <v>0</v>
      </c>
      <c r="L544" s="247">
        <f>SUM(I544:K544)</f>
        <v>7978.14</v>
      </c>
      <c r="M544" s="63"/>
      <c r="N544" s="12"/>
      <c r="O544" s="61">
        <f>SUM(L544:N544)</f>
        <v>7978.14</v>
      </c>
      <c r="P544" s="76"/>
      <c r="Q544" s="73">
        <f t="shared" si="151"/>
        <v>7978.14</v>
      </c>
      <c r="R544" s="134"/>
    </row>
    <row r="545" spans="2:17" ht="12.75" hidden="1">
      <c r="B545" s="104"/>
      <c r="C545" s="119">
        <f aca="true" t="shared" si="168" ref="C545:Q545">C80+C539-C534</f>
        <v>0</v>
      </c>
      <c r="D545" s="119">
        <f t="shared" si="168"/>
        <v>0</v>
      </c>
      <c r="E545" s="119">
        <f t="shared" si="168"/>
        <v>0</v>
      </c>
      <c r="F545" s="119">
        <f t="shared" si="168"/>
        <v>0</v>
      </c>
      <c r="G545" s="119">
        <f t="shared" si="168"/>
        <v>0</v>
      </c>
      <c r="H545" s="134">
        <f t="shared" si="168"/>
        <v>0</v>
      </c>
      <c r="I545" s="134">
        <f t="shared" si="168"/>
        <v>0</v>
      </c>
      <c r="J545" s="134">
        <f t="shared" si="168"/>
        <v>0</v>
      </c>
      <c r="K545" s="134">
        <f t="shared" si="168"/>
        <v>0</v>
      </c>
      <c r="L545" s="134">
        <f t="shared" si="168"/>
        <v>0</v>
      </c>
      <c r="M545" s="62" t="e">
        <f t="shared" si="168"/>
        <v>#REF!</v>
      </c>
      <c r="N545" s="62" t="e">
        <f t="shared" si="168"/>
        <v>#REF!</v>
      </c>
      <c r="O545" s="62" t="e">
        <f t="shared" si="168"/>
        <v>#REF!</v>
      </c>
      <c r="P545" s="62" t="e">
        <f t="shared" si="168"/>
        <v>#REF!</v>
      </c>
      <c r="Q545" s="62" t="e">
        <f t="shared" si="168"/>
        <v>#REF!</v>
      </c>
    </row>
    <row r="546" spans="2:16" ht="12.75">
      <c r="B546" s="104"/>
      <c r="J546" s="134"/>
      <c r="K546" s="134"/>
      <c r="L546" s="134"/>
      <c r="P546" s="62"/>
    </row>
    <row r="547" spans="2:16" ht="12.75">
      <c r="B547" s="104"/>
      <c r="D547" s="134"/>
      <c r="P547" s="62"/>
    </row>
    <row r="548" spans="2:16" ht="12.75">
      <c r="B548" s="104"/>
      <c r="P548" s="62"/>
    </row>
    <row r="549" spans="2:16" ht="12.75">
      <c r="B549" s="104"/>
      <c r="P549" s="62"/>
    </row>
    <row r="550" spans="2:16" ht="12.75">
      <c r="B550" s="104"/>
      <c r="P550" s="62"/>
    </row>
    <row r="551" spans="2:16" ht="12.75">
      <c r="B551" s="104"/>
      <c r="P551" s="62"/>
    </row>
    <row r="552" spans="2:16" ht="12.75">
      <c r="B552" s="104"/>
      <c r="P552" s="62"/>
    </row>
    <row r="553" spans="2:16" ht="12.75">
      <c r="B553" s="104"/>
      <c r="P553" s="62"/>
    </row>
    <row r="554" spans="2:16" ht="12.75">
      <c r="B554" s="104"/>
      <c r="P554" s="62"/>
    </row>
    <row r="555" spans="2:16" ht="12.75">
      <c r="B555" s="104"/>
      <c r="P555" s="62"/>
    </row>
    <row r="556" spans="2:16" ht="12.75">
      <c r="B556" s="104"/>
      <c r="P556" s="62"/>
    </row>
    <row r="557" spans="2:16" ht="12.75">
      <c r="B557" s="104"/>
      <c r="P557" s="62"/>
    </row>
    <row r="558" spans="2:16" ht="12.75">
      <c r="B558" s="104"/>
      <c r="P558" s="62"/>
    </row>
    <row r="559" spans="2:16" ht="12.75">
      <c r="B559" s="104"/>
      <c r="P559" s="62"/>
    </row>
    <row r="560" spans="2:16" ht="12.75">
      <c r="B560" s="104"/>
      <c r="P560" s="62"/>
    </row>
    <row r="561" spans="2:16" ht="12.75">
      <c r="B561" s="104"/>
      <c r="P561" s="62"/>
    </row>
    <row r="562" spans="2:16" ht="12.75">
      <c r="B562" s="104"/>
      <c r="P562" s="62"/>
    </row>
    <row r="563" spans="2:16" ht="12.75">
      <c r="B563" s="104"/>
      <c r="P563" s="62"/>
    </row>
    <row r="564" spans="2:16" ht="12.75">
      <c r="B564" s="104"/>
      <c r="P564" s="62"/>
    </row>
    <row r="565" ht="12.75">
      <c r="P565" s="62"/>
    </row>
    <row r="566" ht="12.75">
      <c r="P566" s="62"/>
    </row>
    <row r="567" ht="12.75">
      <c r="P567" s="62"/>
    </row>
    <row r="568" ht="12.75">
      <c r="P568" s="62"/>
    </row>
    <row r="569" ht="12.75">
      <c r="P569" s="62"/>
    </row>
    <row r="570" ht="12.75">
      <c r="P570" s="62"/>
    </row>
    <row r="571" ht="12.75">
      <c r="P571" s="62"/>
    </row>
    <row r="572" ht="12.75">
      <c r="P572" s="62"/>
    </row>
    <row r="573" ht="12.75">
      <c r="P573" s="62"/>
    </row>
    <row r="574" ht="12.75">
      <c r="P574" s="62"/>
    </row>
    <row r="575" ht="12.75">
      <c r="P575" s="62"/>
    </row>
    <row r="576" ht="12.75">
      <c r="P576" s="62"/>
    </row>
    <row r="577" ht="12.75">
      <c r="P577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90" max="11" man="1"/>
    <brk id="208" max="11" man="1"/>
    <brk id="300" max="11" man="1"/>
    <brk id="395" max="11" man="1"/>
    <brk id="48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7"/>
  <sheetViews>
    <sheetView tabSelected="1" zoomScale="110" zoomScaleNormal="110" zoomScaleSheetLayoutView="69" zoomScalePageLayoutView="0" workbookViewId="0" topLeftCell="A1">
      <pane xSplit="1" ySplit="9" topLeftCell="C4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29" sqref="J529"/>
    </sheetView>
  </sheetViews>
  <sheetFormatPr defaultColWidth="9.00390625" defaultRowHeight="12.75"/>
  <cols>
    <col min="1" max="1" width="49.37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hidden="1" customWidth="1"/>
    <col min="7" max="7" width="15.125" style="0" hidden="1" customWidth="1"/>
    <col min="8" max="8" width="12.75390625" style="0" hidden="1" customWidth="1"/>
    <col min="9" max="9" width="16.00390625" style="0" customWidth="1"/>
    <col min="10" max="10" width="13.75390625" style="0" customWidth="1"/>
    <col min="11" max="11" width="13.125" style="0" customWidth="1"/>
    <col min="12" max="12" width="16.25390625" style="0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21.00390625" style="0" customWidth="1"/>
  </cols>
  <sheetData>
    <row r="1" spans="3:17" ht="12.75">
      <c r="C1" s="1"/>
      <c r="D1" s="1"/>
      <c r="E1" s="1"/>
      <c r="F1" s="2"/>
      <c r="I1" s="2"/>
      <c r="L1" s="2" t="s">
        <v>125</v>
      </c>
      <c r="O1" s="2"/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22" t="s">
        <v>225</v>
      </c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15.75">
      <c r="A4" s="324" t="s">
        <v>294</v>
      </c>
      <c r="B4" s="324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5">
      <c r="A5" s="325" t="s">
        <v>0</v>
      </c>
      <c r="B5" s="325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>
      <c r="A6" s="326" t="s">
        <v>1</v>
      </c>
      <c r="B6" s="326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3" ht="18" customHeight="1" thickBot="1">
      <c r="A7" s="3"/>
      <c r="B7" s="3"/>
      <c r="C7" s="181"/>
      <c r="D7" s="128"/>
      <c r="E7" s="4"/>
      <c r="F7" s="4"/>
      <c r="J7" s="65"/>
      <c r="M7" s="60"/>
    </row>
    <row r="8" spans="1:17" ht="12.75">
      <c r="A8" s="327" t="s">
        <v>2</v>
      </c>
      <c r="B8" s="81" t="s">
        <v>212</v>
      </c>
      <c r="C8" s="15" t="s">
        <v>3</v>
      </c>
      <c r="D8" s="16" t="s">
        <v>4</v>
      </c>
      <c r="E8" s="16" t="s">
        <v>5</v>
      </c>
      <c r="F8" s="202" t="s">
        <v>6</v>
      </c>
      <c r="G8" s="15" t="s">
        <v>7</v>
      </c>
      <c r="H8" s="150" t="s">
        <v>5</v>
      </c>
      <c r="I8" s="17" t="s">
        <v>6</v>
      </c>
      <c r="J8" s="15" t="s">
        <v>8</v>
      </c>
      <c r="K8" s="16" t="s">
        <v>5</v>
      </c>
      <c r="L8" s="17" t="s">
        <v>6</v>
      </c>
      <c r="M8" s="15" t="s">
        <v>9</v>
      </c>
      <c r="N8" s="16" t="s">
        <v>5</v>
      </c>
      <c r="O8" s="17" t="s">
        <v>6</v>
      </c>
      <c r="P8" s="15" t="s">
        <v>147</v>
      </c>
      <c r="Q8" s="67" t="s">
        <v>6</v>
      </c>
    </row>
    <row r="9" spans="1:17" ht="13.5" thickBot="1">
      <c r="A9" s="328"/>
      <c r="B9" s="139" t="s">
        <v>162</v>
      </c>
      <c r="C9" s="56" t="s">
        <v>10</v>
      </c>
      <c r="D9" s="57" t="s">
        <v>11</v>
      </c>
      <c r="E9" s="57" t="s">
        <v>12</v>
      </c>
      <c r="F9" s="203" t="s">
        <v>13</v>
      </c>
      <c r="G9" s="56" t="s">
        <v>11</v>
      </c>
      <c r="H9" s="151" t="s">
        <v>12</v>
      </c>
      <c r="I9" s="58" t="s">
        <v>14</v>
      </c>
      <c r="J9" s="56" t="s">
        <v>11</v>
      </c>
      <c r="K9" s="57" t="s">
        <v>12</v>
      </c>
      <c r="L9" s="58" t="s">
        <v>15</v>
      </c>
      <c r="M9" s="56" t="s">
        <v>11</v>
      </c>
      <c r="N9" s="57" t="s">
        <v>12</v>
      </c>
      <c r="O9" s="58" t="s">
        <v>16</v>
      </c>
      <c r="P9" s="56" t="s">
        <v>11</v>
      </c>
      <c r="Q9" s="68" t="s">
        <v>148</v>
      </c>
    </row>
    <row r="10" spans="1:17" ht="15.75" customHeight="1">
      <c r="A10" s="54" t="s">
        <v>17</v>
      </c>
      <c r="B10" s="82"/>
      <c r="C10" s="27"/>
      <c r="D10" s="5"/>
      <c r="E10" s="5"/>
      <c r="F10" s="204"/>
      <c r="G10" s="27"/>
      <c r="H10" s="152"/>
      <c r="I10" s="55"/>
      <c r="J10" s="27"/>
      <c r="K10" s="5"/>
      <c r="L10" s="55"/>
      <c r="M10" s="27"/>
      <c r="N10" s="5"/>
      <c r="O10" s="55"/>
      <c r="P10" s="70"/>
      <c r="Q10" s="71"/>
    </row>
    <row r="11" spans="1:17" ht="12.75">
      <c r="A11" s="29" t="s">
        <v>202</v>
      </c>
      <c r="B11" s="83"/>
      <c r="C11" s="105">
        <f>C13+C14+C15+C16</f>
        <v>4735000</v>
      </c>
      <c r="D11" s="106">
        <f>D13+D14+D15+D16</f>
        <v>32523.22</v>
      </c>
      <c r="E11" s="106">
        <f>E13+E14+E15</f>
        <v>0</v>
      </c>
      <c r="F11" s="205">
        <f>F13+F14+F15+F16</f>
        <v>4767523.22</v>
      </c>
      <c r="G11" s="232">
        <f>G13+G14+G15+G16</f>
        <v>227213.25</v>
      </c>
      <c r="H11" s="248">
        <f aca="true" t="shared" si="0" ref="H11:Q11">H13+H14+H15</f>
        <v>26510.17</v>
      </c>
      <c r="I11" s="222">
        <f>I13+I14+I15+I16</f>
        <v>5021246.64</v>
      </c>
      <c r="J11" s="232">
        <f>J13+J14+J15+J16</f>
        <v>445354.08</v>
      </c>
      <c r="K11" s="285">
        <f>K13+K14+K15+K16</f>
        <v>30380</v>
      </c>
      <c r="L11" s="222">
        <f>L13+L14+L15+L16</f>
        <v>5496980.72</v>
      </c>
      <c r="M11" s="137">
        <f t="shared" si="0"/>
        <v>0</v>
      </c>
      <c r="N11" s="137">
        <f t="shared" si="0"/>
        <v>0</v>
      </c>
      <c r="O11" s="137">
        <f t="shared" si="0"/>
        <v>32523.22</v>
      </c>
      <c r="P11" s="137">
        <f t="shared" si="0"/>
        <v>0</v>
      </c>
      <c r="Q11" s="143">
        <f t="shared" si="0"/>
        <v>32523.22</v>
      </c>
    </row>
    <row r="12" spans="1:17" ht="12.75">
      <c r="A12" s="30" t="s">
        <v>18</v>
      </c>
      <c r="B12" s="84"/>
      <c r="C12" s="105"/>
      <c r="D12" s="106"/>
      <c r="E12" s="106"/>
      <c r="F12" s="205"/>
      <c r="G12" s="232"/>
      <c r="H12" s="248"/>
      <c r="I12" s="222"/>
      <c r="J12" s="232"/>
      <c r="K12" s="285"/>
      <c r="L12" s="222"/>
      <c r="M12" s="18"/>
      <c r="N12" s="6"/>
      <c r="O12" s="19"/>
      <c r="P12" s="74"/>
      <c r="Q12" s="72"/>
    </row>
    <row r="13" spans="1:17" ht="12.75">
      <c r="A13" s="92" t="s">
        <v>209</v>
      </c>
      <c r="B13" s="84"/>
      <c r="C13" s="108">
        <v>4701580</v>
      </c>
      <c r="D13" s="107"/>
      <c r="E13" s="106"/>
      <c r="F13" s="206">
        <f>C13+D13+E13</f>
        <v>4701580</v>
      </c>
      <c r="G13" s="236">
        <f>187120.2+40000</f>
        <v>227120.2</v>
      </c>
      <c r="H13" s="224">
        <f>11350+3284+4742.84+300+1333.33+4000+1500</f>
        <v>26510.17</v>
      </c>
      <c r="I13" s="223">
        <f>F13+G13+H13</f>
        <v>4955210.37</v>
      </c>
      <c r="J13" s="236">
        <f>4000+25000+8593+65000+368+25500+3500+2000+10000+10000+122000+3357+14047.2+488.88+149000+2500</f>
        <v>445354.08</v>
      </c>
      <c r="K13" s="286">
        <f>14000+8700+7680</f>
        <v>30380</v>
      </c>
      <c r="L13" s="223">
        <f>I13+J13+K13</f>
        <v>5430944.45</v>
      </c>
      <c r="M13" s="18"/>
      <c r="N13" s="6"/>
      <c r="O13" s="19"/>
      <c r="P13" s="74"/>
      <c r="Q13" s="72"/>
    </row>
    <row r="14" spans="1:17" ht="12.75">
      <c r="A14" s="31" t="s">
        <v>19</v>
      </c>
      <c r="B14" s="85"/>
      <c r="C14" s="108"/>
      <c r="D14" s="118">
        <f>32523.22</f>
        <v>32523.22</v>
      </c>
      <c r="E14" s="107"/>
      <c r="F14" s="206">
        <f>C14+D14+E14</f>
        <v>32523.22</v>
      </c>
      <c r="G14" s="236"/>
      <c r="H14" s="248"/>
      <c r="I14" s="223">
        <f>F14+G14+H14</f>
        <v>32523.22</v>
      </c>
      <c r="J14" s="236"/>
      <c r="K14" s="285"/>
      <c r="L14" s="223">
        <f>I14+J14+K14</f>
        <v>32523.22</v>
      </c>
      <c r="M14" s="20"/>
      <c r="N14" s="6"/>
      <c r="O14" s="21">
        <f>L14+M14+N14</f>
        <v>32523.22</v>
      </c>
      <c r="P14" s="74"/>
      <c r="Q14" s="72">
        <f aca="true" t="shared" si="1" ref="Q14:Q79">O14+P14</f>
        <v>32523.22</v>
      </c>
    </row>
    <row r="15" spans="1:17" ht="12.75">
      <c r="A15" s="92" t="s">
        <v>210</v>
      </c>
      <c r="B15" s="85"/>
      <c r="C15" s="108">
        <v>3420</v>
      </c>
      <c r="D15" s="118"/>
      <c r="E15" s="107"/>
      <c r="F15" s="206">
        <f>C15+D15+E15</f>
        <v>3420</v>
      </c>
      <c r="G15" s="236">
        <f>93.05</f>
        <v>93.05</v>
      </c>
      <c r="H15" s="248"/>
      <c r="I15" s="223">
        <f>F15+G15+H15</f>
        <v>3513.05</v>
      </c>
      <c r="J15" s="236"/>
      <c r="K15" s="285"/>
      <c r="L15" s="223">
        <f>I15+J15+K15</f>
        <v>3513.05</v>
      </c>
      <c r="M15" s="125"/>
      <c r="N15" s="6"/>
      <c r="O15" s="21"/>
      <c r="P15" s="136"/>
      <c r="Q15" s="72"/>
    </row>
    <row r="16" spans="1:17" ht="12.75">
      <c r="A16" s="92" t="s">
        <v>266</v>
      </c>
      <c r="B16" s="85"/>
      <c r="C16" s="108">
        <v>30000</v>
      </c>
      <c r="D16" s="118"/>
      <c r="E16" s="107"/>
      <c r="F16" s="206">
        <f>C16+D16+E16</f>
        <v>30000</v>
      </c>
      <c r="G16" s="236"/>
      <c r="H16" s="248"/>
      <c r="I16" s="223">
        <f>F16+G16+H16</f>
        <v>30000</v>
      </c>
      <c r="J16" s="236"/>
      <c r="K16" s="285"/>
      <c r="L16" s="223">
        <f>I16+J16+K16</f>
        <v>30000</v>
      </c>
      <c r="M16" s="125"/>
      <c r="N16" s="174"/>
      <c r="O16" s="80"/>
      <c r="P16" s="136"/>
      <c r="Q16" s="72"/>
    </row>
    <row r="17" spans="1:17" ht="12.75">
      <c r="A17" s="29" t="s">
        <v>203</v>
      </c>
      <c r="B17" s="83"/>
      <c r="C17" s="105">
        <f aca="true" t="shared" si="2" ref="C17:Q17">SUM(C19:C23)+C30</f>
        <v>256410.62</v>
      </c>
      <c r="D17" s="106">
        <f t="shared" si="2"/>
        <v>23628.260000000002</v>
      </c>
      <c r="E17" s="106">
        <f t="shared" si="2"/>
        <v>32165.7</v>
      </c>
      <c r="F17" s="205">
        <f t="shared" si="2"/>
        <v>312204.58</v>
      </c>
      <c r="G17" s="232">
        <f t="shared" si="2"/>
        <v>27454.89</v>
      </c>
      <c r="H17" s="248">
        <f t="shared" si="2"/>
        <v>8691.199999999999</v>
      </c>
      <c r="I17" s="222">
        <f t="shared" si="2"/>
        <v>348350.67</v>
      </c>
      <c r="J17" s="232">
        <f t="shared" si="2"/>
        <v>55062.3</v>
      </c>
      <c r="K17" s="285">
        <f t="shared" si="2"/>
        <v>11529.78</v>
      </c>
      <c r="L17" s="222">
        <f t="shared" si="2"/>
        <v>414942.75</v>
      </c>
      <c r="M17" s="105">
        <f t="shared" si="2"/>
        <v>0</v>
      </c>
      <c r="N17" s="105">
        <f t="shared" si="2"/>
        <v>0</v>
      </c>
      <c r="O17" s="105">
        <f t="shared" si="2"/>
        <v>347016.03</v>
      </c>
      <c r="P17" s="105">
        <f t="shared" si="2"/>
        <v>0</v>
      </c>
      <c r="Q17" s="159">
        <f t="shared" si="2"/>
        <v>347016.03</v>
      </c>
    </row>
    <row r="18" spans="1:17" ht="10.5" customHeight="1">
      <c r="A18" s="30" t="s">
        <v>20</v>
      </c>
      <c r="B18" s="84"/>
      <c r="C18" s="105"/>
      <c r="D18" s="106"/>
      <c r="E18" s="106"/>
      <c r="F18" s="205"/>
      <c r="G18" s="232"/>
      <c r="H18" s="248"/>
      <c r="I18" s="222"/>
      <c r="J18" s="232"/>
      <c r="K18" s="285"/>
      <c r="L18" s="222"/>
      <c r="M18" s="18"/>
      <c r="N18" s="6"/>
      <c r="O18" s="19"/>
      <c r="P18" s="74"/>
      <c r="Q18" s="72"/>
    </row>
    <row r="19" spans="1:17" ht="12.75">
      <c r="A19" s="31" t="s">
        <v>21</v>
      </c>
      <c r="B19" s="85"/>
      <c r="C19" s="108">
        <v>6000</v>
      </c>
      <c r="D19" s="107"/>
      <c r="E19" s="107"/>
      <c r="F19" s="206">
        <f>C19+D19+E19</f>
        <v>6000</v>
      </c>
      <c r="G19" s="236">
        <f>52.35+135.42+54.78</f>
        <v>242.54999999999998</v>
      </c>
      <c r="H19" s="224"/>
      <c r="I19" s="223">
        <f>F19+G19+H19</f>
        <v>6242.55</v>
      </c>
      <c r="J19" s="236">
        <f>180.48+31.52</f>
        <v>212</v>
      </c>
      <c r="K19" s="286"/>
      <c r="L19" s="223">
        <f>I19+J19+K19</f>
        <v>6454.55</v>
      </c>
      <c r="M19" s="20"/>
      <c r="N19" s="7"/>
      <c r="O19" s="21">
        <f>L19+M19+N19</f>
        <v>6454.55</v>
      </c>
      <c r="P19" s="74"/>
      <c r="Q19" s="72">
        <f t="shared" si="1"/>
        <v>6454.55</v>
      </c>
    </row>
    <row r="20" spans="1:17" ht="12.75">
      <c r="A20" s="92" t="s">
        <v>239</v>
      </c>
      <c r="B20" s="85"/>
      <c r="C20" s="108"/>
      <c r="D20" s="107">
        <f>10557.37+500</f>
        <v>11057.37</v>
      </c>
      <c r="E20" s="107">
        <f>11155.93+21009.77</f>
        <v>32165.7</v>
      </c>
      <c r="F20" s="206">
        <f aca="true" t="shared" si="3" ref="F20:F30">C20+D20+E20</f>
        <v>43223.07</v>
      </c>
      <c r="G20" s="236">
        <f>381.38+1891.4</f>
        <v>2272.78</v>
      </c>
      <c r="H20" s="224">
        <f>99.55+8591.65</f>
        <v>8691.199999999999</v>
      </c>
      <c r="I20" s="223">
        <f aca="true" t="shared" si="4" ref="I20:I30">F20+G20+H20</f>
        <v>54187.049999999996</v>
      </c>
      <c r="J20" s="236">
        <f>5475.79+100.15+1960.27+1875.78+3161.87+315+2595.41</f>
        <v>15484.27</v>
      </c>
      <c r="K20" s="286">
        <f>11529.78</f>
        <v>11529.78</v>
      </c>
      <c r="L20" s="223">
        <f>I20+J20+K20</f>
        <v>81201.09999999999</v>
      </c>
      <c r="M20" s="20"/>
      <c r="N20" s="7"/>
      <c r="O20" s="21">
        <f>L20+M20+N20</f>
        <v>81201.09999999999</v>
      </c>
      <c r="P20" s="74"/>
      <c r="Q20" s="72">
        <f t="shared" si="1"/>
        <v>81201.09999999999</v>
      </c>
    </row>
    <row r="21" spans="1:17" ht="12.75">
      <c r="A21" s="32" t="s">
        <v>240</v>
      </c>
      <c r="B21" s="86"/>
      <c r="C21" s="108">
        <v>133697.86</v>
      </c>
      <c r="D21" s="107"/>
      <c r="E21" s="107"/>
      <c r="F21" s="206">
        <f t="shared" si="3"/>
        <v>133697.86</v>
      </c>
      <c r="G21" s="236"/>
      <c r="H21" s="224"/>
      <c r="I21" s="223">
        <f t="shared" si="4"/>
        <v>133697.86</v>
      </c>
      <c r="J21" s="236"/>
      <c r="K21" s="286"/>
      <c r="L21" s="223">
        <f>I21+J21+K21</f>
        <v>133697.86</v>
      </c>
      <c r="M21" s="20"/>
      <c r="N21" s="7"/>
      <c r="O21" s="21">
        <f>L21+M21+N21</f>
        <v>133697.86</v>
      </c>
      <c r="P21" s="74"/>
      <c r="Q21" s="72">
        <f t="shared" si="1"/>
        <v>133697.86</v>
      </c>
    </row>
    <row r="22" spans="1:17" ht="12.75" hidden="1">
      <c r="A22" s="32" t="s">
        <v>241</v>
      </c>
      <c r="B22" s="86"/>
      <c r="C22" s="108"/>
      <c r="D22" s="107"/>
      <c r="E22" s="107"/>
      <c r="F22" s="206">
        <f t="shared" si="3"/>
        <v>0</v>
      </c>
      <c r="G22" s="236"/>
      <c r="H22" s="224"/>
      <c r="I22" s="223">
        <f t="shared" si="4"/>
        <v>0</v>
      </c>
      <c r="J22" s="236"/>
      <c r="K22" s="286"/>
      <c r="L22" s="223"/>
      <c r="M22" s="20"/>
      <c r="N22" s="7"/>
      <c r="O22" s="21"/>
      <c r="P22" s="74"/>
      <c r="Q22" s="72"/>
    </row>
    <row r="23" spans="1:17" ht="12.75">
      <c r="A23" s="31" t="s">
        <v>22</v>
      </c>
      <c r="B23" s="85"/>
      <c r="C23" s="108">
        <f>SUM(C24:C29)</f>
        <v>116712.76000000001</v>
      </c>
      <c r="D23" s="107">
        <f>SUM(D24:D29)</f>
        <v>2805.32</v>
      </c>
      <c r="E23" s="107">
        <f aca="true" t="shared" si="5" ref="E23:Q23">SUM(E24:E29)</f>
        <v>0</v>
      </c>
      <c r="F23" s="206">
        <f t="shared" si="5"/>
        <v>119518.08000000002</v>
      </c>
      <c r="G23" s="236">
        <f t="shared" si="5"/>
        <v>5701.15</v>
      </c>
      <c r="H23" s="224">
        <f t="shared" si="5"/>
        <v>0</v>
      </c>
      <c r="I23" s="223">
        <f t="shared" si="5"/>
        <v>125219.23000000001</v>
      </c>
      <c r="J23" s="236">
        <f t="shared" si="5"/>
        <v>443.29</v>
      </c>
      <c r="K23" s="286">
        <f t="shared" si="5"/>
        <v>0</v>
      </c>
      <c r="L23" s="223">
        <f t="shared" si="5"/>
        <v>125662.52000000002</v>
      </c>
      <c r="M23" s="108">
        <f t="shared" si="5"/>
        <v>0</v>
      </c>
      <c r="N23" s="108">
        <f t="shared" si="5"/>
        <v>0</v>
      </c>
      <c r="O23" s="108">
        <f t="shared" si="5"/>
        <v>125662.52000000002</v>
      </c>
      <c r="P23" s="108">
        <f t="shared" si="5"/>
        <v>0</v>
      </c>
      <c r="Q23" s="160">
        <f t="shared" si="5"/>
        <v>125662.52000000002</v>
      </c>
    </row>
    <row r="24" spans="1:17" ht="12.75">
      <c r="A24" s="31" t="s">
        <v>23</v>
      </c>
      <c r="B24" s="85"/>
      <c r="C24" s="108">
        <v>48358.8</v>
      </c>
      <c r="D24" s="107">
        <f>2805.32</f>
        <v>2805.32</v>
      </c>
      <c r="E24" s="107"/>
      <c r="F24" s="206">
        <f t="shared" si="3"/>
        <v>51164.12</v>
      </c>
      <c r="G24" s="236">
        <f>1857.85</f>
        <v>1857.85</v>
      </c>
      <c r="H24" s="224"/>
      <c r="I24" s="223">
        <f t="shared" si="4"/>
        <v>53021.97</v>
      </c>
      <c r="J24" s="236">
        <f>113.93+329.36</f>
        <v>443.29</v>
      </c>
      <c r="K24" s="286"/>
      <c r="L24" s="223">
        <f aca="true" t="shared" si="6" ref="L24:L30">I24+J24+K24</f>
        <v>53465.26</v>
      </c>
      <c r="M24" s="20"/>
      <c r="N24" s="7"/>
      <c r="O24" s="21">
        <f aca="true" t="shared" si="7" ref="O24:O29">L24+M24+N24</f>
        <v>53465.26</v>
      </c>
      <c r="P24" s="74"/>
      <c r="Q24" s="72">
        <f t="shared" si="1"/>
        <v>53465.26</v>
      </c>
    </row>
    <row r="25" spans="1:17" ht="12.75">
      <c r="A25" s="32" t="s">
        <v>135</v>
      </c>
      <c r="B25" s="86"/>
      <c r="C25" s="108">
        <v>921.46</v>
      </c>
      <c r="D25" s="107"/>
      <c r="E25" s="107"/>
      <c r="F25" s="206">
        <f t="shared" si="3"/>
        <v>921.46</v>
      </c>
      <c r="G25" s="236"/>
      <c r="H25" s="224"/>
      <c r="I25" s="223">
        <f t="shared" si="4"/>
        <v>921.46</v>
      </c>
      <c r="J25" s="236"/>
      <c r="K25" s="286"/>
      <c r="L25" s="223">
        <f t="shared" si="6"/>
        <v>921.46</v>
      </c>
      <c r="M25" s="20"/>
      <c r="N25" s="7"/>
      <c r="O25" s="21">
        <f t="shared" si="7"/>
        <v>921.46</v>
      </c>
      <c r="P25" s="74"/>
      <c r="Q25" s="72">
        <f t="shared" si="1"/>
        <v>921.46</v>
      </c>
    </row>
    <row r="26" spans="1:17" ht="12.75">
      <c r="A26" s="31" t="s">
        <v>24</v>
      </c>
      <c r="B26" s="85"/>
      <c r="C26" s="108">
        <v>26632</v>
      </c>
      <c r="D26" s="107"/>
      <c r="E26" s="107"/>
      <c r="F26" s="206">
        <f t="shared" si="3"/>
        <v>26632</v>
      </c>
      <c r="G26" s="236">
        <f>2148</f>
        <v>2148</v>
      </c>
      <c r="H26" s="224"/>
      <c r="I26" s="223">
        <f t="shared" si="4"/>
        <v>28780</v>
      </c>
      <c r="J26" s="236"/>
      <c r="K26" s="286"/>
      <c r="L26" s="223">
        <f t="shared" si="6"/>
        <v>28780</v>
      </c>
      <c r="M26" s="20"/>
      <c r="N26" s="7"/>
      <c r="O26" s="21">
        <f t="shared" si="7"/>
        <v>28780</v>
      </c>
      <c r="P26" s="74"/>
      <c r="Q26" s="72">
        <f t="shared" si="1"/>
        <v>28780</v>
      </c>
    </row>
    <row r="27" spans="1:17" ht="12.75">
      <c r="A27" s="32" t="s">
        <v>136</v>
      </c>
      <c r="B27" s="86"/>
      <c r="C27" s="108">
        <v>10544.8</v>
      </c>
      <c r="D27" s="107"/>
      <c r="E27" s="107"/>
      <c r="F27" s="206">
        <f t="shared" si="3"/>
        <v>10544.8</v>
      </c>
      <c r="G27" s="236">
        <f>1695.3</f>
        <v>1695.3</v>
      </c>
      <c r="H27" s="224"/>
      <c r="I27" s="223">
        <f t="shared" si="4"/>
        <v>12240.099999999999</v>
      </c>
      <c r="J27" s="236"/>
      <c r="K27" s="286"/>
      <c r="L27" s="223">
        <f t="shared" si="6"/>
        <v>12240.099999999999</v>
      </c>
      <c r="M27" s="20"/>
      <c r="N27" s="7"/>
      <c r="O27" s="21">
        <f t="shared" si="7"/>
        <v>12240.099999999999</v>
      </c>
      <c r="P27" s="74"/>
      <c r="Q27" s="72">
        <f t="shared" si="1"/>
        <v>12240.099999999999</v>
      </c>
    </row>
    <row r="28" spans="1:17" ht="12.75">
      <c r="A28" s="32" t="s">
        <v>226</v>
      </c>
      <c r="B28" s="86"/>
      <c r="C28" s="108">
        <v>316.8</v>
      </c>
      <c r="D28" s="107"/>
      <c r="E28" s="107"/>
      <c r="F28" s="206">
        <f t="shared" si="3"/>
        <v>316.8</v>
      </c>
      <c r="G28" s="236"/>
      <c r="H28" s="224"/>
      <c r="I28" s="223">
        <f t="shared" si="4"/>
        <v>316.8</v>
      </c>
      <c r="J28" s="236"/>
      <c r="K28" s="286"/>
      <c r="L28" s="223">
        <f t="shared" si="6"/>
        <v>316.8</v>
      </c>
      <c r="M28" s="20"/>
      <c r="N28" s="7"/>
      <c r="O28" s="21">
        <f t="shared" si="7"/>
        <v>316.8</v>
      </c>
      <c r="P28" s="74"/>
      <c r="Q28" s="72">
        <f t="shared" si="1"/>
        <v>316.8</v>
      </c>
    </row>
    <row r="29" spans="1:17" ht="12.75">
      <c r="A29" s="32" t="s">
        <v>137</v>
      </c>
      <c r="B29" s="86"/>
      <c r="C29" s="108">
        <v>29938.9</v>
      </c>
      <c r="D29" s="107"/>
      <c r="E29" s="107"/>
      <c r="F29" s="206">
        <f t="shared" si="3"/>
        <v>29938.9</v>
      </c>
      <c r="G29" s="236"/>
      <c r="H29" s="224"/>
      <c r="I29" s="223">
        <f t="shared" si="4"/>
        <v>29938.9</v>
      </c>
      <c r="J29" s="236"/>
      <c r="K29" s="286"/>
      <c r="L29" s="223">
        <f t="shared" si="6"/>
        <v>29938.9</v>
      </c>
      <c r="M29" s="20"/>
      <c r="N29" s="7"/>
      <c r="O29" s="21">
        <f t="shared" si="7"/>
        <v>29938.9</v>
      </c>
      <c r="P29" s="74"/>
      <c r="Q29" s="72">
        <f>O29+P29</f>
        <v>29938.9</v>
      </c>
    </row>
    <row r="30" spans="1:17" ht="12.75">
      <c r="A30" s="32" t="s">
        <v>298</v>
      </c>
      <c r="B30" s="86"/>
      <c r="C30" s="108"/>
      <c r="D30" s="129">
        <f>599.97+969.05+896.26+162.48+2449.23+127.25+2087.5+1031.02+29.07+906.91+486.94+19.89</f>
        <v>9765.57</v>
      </c>
      <c r="E30" s="107"/>
      <c r="F30" s="206">
        <f t="shared" si="3"/>
        <v>9765.57</v>
      </c>
      <c r="G30" s="265">
        <f>5846.49+200.96+122.58+42.8+33.11+122.17+35.57+1824.36+914.8+127.5+3753.21+1203.18+174.49+248.65+3287.21+451.08+850.25</f>
        <v>19238.41</v>
      </c>
      <c r="H30" s="249"/>
      <c r="I30" s="223">
        <f t="shared" si="4"/>
        <v>29003.98</v>
      </c>
      <c r="J30" s="265">
        <f>11063.69+778.62+7.7+999.8+1791+720.82+863.64+992.12+472.83+40.27+300.77+15989.93+57.48+171.36+101.8+2.24+1000+354.82+3032.86+180.99</f>
        <v>38922.740000000005</v>
      </c>
      <c r="K30" s="287"/>
      <c r="L30" s="223">
        <f t="shared" si="6"/>
        <v>67926.72</v>
      </c>
      <c r="M30" s="161"/>
      <c r="N30" s="161"/>
      <c r="O30" s="161"/>
      <c r="P30" s="161"/>
      <c r="Q30" s="71"/>
    </row>
    <row r="31" spans="1:17" ht="12.75">
      <c r="A31" s="33" t="s">
        <v>204</v>
      </c>
      <c r="B31" s="87"/>
      <c r="C31" s="109">
        <f>SUM(C33:C37)</f>
        <v>5000</v>
      </c>
      <c r="D31" s="110">
        <f aca="true" t="shared" si="8" ref="D31:Q31">SUM(D33:D37)</f>
        <v>7574.7</v>
      </c>
      <c r="E31" s="110">
        <f t="shared" si="8"/>
        <v>0</v>
      </c>
      <c r="F31" s="207">
        <f t="shared" si="8"/>
        <v>12574.7</v>
      </c>
      <c r="G31" s="266">
        <f t="shared" si="8"/>
        <v>-1314.62</v>
      </c>
      <c r="H31" s="250">
        <f t="shared" si="8"/>
        <v>0</v>
      </c>
      <c r="I31" s="225">
        <f t="shared" si="8"/>
        <v>11260.080000000002</v>
      </c>
      <c r="J31" s="266">
        <f t="shared" si="8"/>
        <v>1109.8</v>
      </c>
      <c r="K31" s="288">
        <f t="shared" si="8"/>
        <v>0</v>
      </c>
      <c r="L31" s="225">
        <f t="shared" si="8"/>
        <v>12369.880000000001</v>
      </c>
      <c r="M31" s="109">
        <f t="shared" si="8"/>
        <v>0</v>
      </c>
      <c r="N31" s="109">
        <f t="shared" si="8"/>
        <v>0</v>
      </c>
      <c r="O31" s="109">
        <f t="shared" si="8"/>
        <v>12369.880000000001</v>
      </c>
      <c r="P31" s="109">
        <f t="shared" si="8"/>
        <v>0</v>
      </c>
      <c r="Q31" s="162">
        <f t="shared" si="8"/>
        <v>12369.880000000001</v>
      </c>
    </row>
    <row r="32" spans="1:17" ht="11.25" customHeight="1">
      <c r="A32" s="30" t="s">
        <v>20</v>
      </c>
      <c r="B32" s="84"/>
      <c r="C32" s="108"/>
      <c r="D32" s="107"/>
      <c r="E32" s="107"/>
      <c r="F32" s="206"/>
      <c r="G32" s="236"/>
      <c r="H32" s="224"/>
      <c r="I32" s="223"/>
      <c r="J32" s="236"/>
      <c r="K32" s="286"/>
      <c r="L32" s="223"/>
      <c r="M32" s="20"/>
      <c r="N32" s="7"/>
      <c r="O32" s="21"/>
      <c r="P32" s="74"/>
      <c r="Q32" s="72"/>
    </row>
    <row r="33" spans="1:17" ht="12.75">
      <c r="A33" s="92" t="s">
        <v>105</v>
      </c>
      <c r="B33" s="85"/>
      <c r="C33" s="108"/>
      <c r="D33" s="107"/>
      <c r="E33" s="107"/>
      <c r="F33" s="206">
        <f>C33+D33+E33</f>
        <v>0</v>
      </c>
      <c r="G33" s="236"/>
      <c r="H33" s="224"/>
      <c r="I33" s="223">
        <f>F33+G33+H33</f>
        <v>0</v>
      </c>
      <c r="J33" s="236">
        <f>1109.8</f>
        <v>1109.8</v>
      </c>
      <c r="K33" s="286"/>
      <c r="L33" s="223">
        <f>I33+J33+K33</f>
        <v>1109.8</v>
      </c>
      <c r="M33" s="20"/>
      <c r="N33" s="7"/>
      <c r="O33" s="21">
        <f>L33+M33+N33</f>
        <v>1109.8</v>
      </c>
      <c r="P33" s="74"/>
      <c r="Q33" s="72">
        <f t="shared" si="1"/>
        <v>1109.8</v>
      </c>
    </row>
    <row r="34" spans="1:17" ht="12.75" hidden="1">
      <c r="A34" s="32" t="s">
        <v>101</v>
      </c>
      <c r="B34" s="86"/>
      <c r="C34" s="108"/>
      <c r="D34" s="107"/>
      <c r="E34" s="107"/>
      <c r="F34" s="206">
        <f>C34+D34+E34</f>
        <v>0</v>
      </c>
      <c r="G34" s="236"/>
      <c r="H34" s="224"/>
      <c r="I34" s="223">
        <f>F34+G34+H34</f>
        <v>0</v>
      </c>
      <c r="J34" s="269"/>
      <c r="K34" s="286"/>
      <c r="L34" s="223">
        <f>I34+J34+K34</f>
        <v>0</v>
      </c>
      <c r="M34" s="28"/>
      <c r="N34" s="7"/>
      <c r="O34" s="21">
        <f>L34+M34+N34</f>
        <v>0</v>
      </c>
      <c r="P34" s="74"/>
      <c r="Q34" s="72">
        <f t="shared" si="1"/>
        <v>0</v>
      </c>
    </row>
    <row r="35" spans="1:17" ht="12.75" hidden="1">
      <c r="A35" s="32" t="s">
        <v>103</v>
      </c>
      <c r="B35" s="86"/>
      <c r="C35" s="108"/>
      <c r="D35" s="107"/>
      <c r="E35" s="107"/>
      <c r="F35" s="206">
        <f>C35+D35+E35</f>
        <v>0</v>
      </c>
      <c r="G35" s="236"/>
      <c r="H35" s="224"/>
      <c r="I35" s="223"/>
      <c r="J35" s="269"/>
      <c r="K35" s="286"/>
      <c r="L35" s="223"/>
      <c r="M35" s="28"/>
      <c r="N35" s="7"/>
      <c r="O35" s="21"/>
      <c r="P35" s="74"/>
      <c r="Q35" s="72"/>
    </row>
    <row r="36" spans="1:17" ht="12.75" hidden="1">
      <c r="A36" s="32" t="s">
        <v>109</v>
      </c>
      <c r="B36" s="86"/>
      <c r="C36" s="108"/>
      <c r="D36" s="107"/>
      <c r="E36" s="107"/>
      <c r="F36" s="206">
        <f>C36+D36+E36</f>
        <v>0</v>
      </c>
      <c r="G36" s="236"/>
      <c r="H36" s="224"/>
      <c r="I36" s="223">
        <f>F36+G36+H36</f>
        <v>0</v>
      </c>
      <c r="J36" s="269"/>
      <c r="K36" s="286"/>
      <c r="L36" s="223">
        <f>I36+J36+K36</f>
        <v>0</v>
      </c>
      <c r="M36" s="28"/>
      <c r="N36" s="7"/>
      <c r="O36" s="21">
        <f>L36+M36+N36</f>
        <v>0</v>
      </c>
      <c r="P36" s="74"/>
      <c r="Q36" s="72">
        <f t="shared" si="1"/>
        <v>0</v>
      </c>
    </row>
    <row r="37" spans="1:17" ht="12.75">
      <c r="A37" s="92" t="s">
        <v>227</v>
      </c>
      <c r="B37" s="85"/>
      <c r="C37" s="108">
        <v>5000</v>
      </c>
      <c r="D37" s="107">
        <f>7574.7</f>
        <v>7574.7</v>
      </c>
      <c r="E37" s="107"/>
      <c r="F37" s="206">
        <f>C37+D37+E37</f>
        <v>12574.7</v>
      </c>
      <c r="G37" s="236">
        <f>-1314.62</f>
        <v>-1314.62</v>
      </c>
      <c r="H37" s="224"/>
      <c r="I37" s="223">
        <f>F37+G37+H37</f>
        <v>11260.080000000002</v>
      </c>
      <c r="J37" s="236"/>
      <c r="K37" s="286"/>
      <c r="L37" s="223">
        <f>I37+J37+K37</f>
        <v>11260.080000000002</v>
      </c>
      <c r="M37" s="20"/>
      <c r="N37" s="7"/>
      <c r="O37" s="21">
        <f>L37+M37+N37</f>
        <v>11260.080000000002</v>
      </c>
      <c r="P37" s="74"/>
      <c r="Q37" s="72">
        <f t="shared" si="1"/>
        <v>11260.080000000002</v>
      </c>
    </row>
    <row r="38" spans="1:17" ht="12.75">
      <c r="A38" s="33" t="s">
        <v>205</v>
      </c>
      <c r="B38" s="85"/>
      <c r="C38" s="108"/>
      <c r="D38" s="107"/>
      <c r="E38" s="107"/>
      <c r="F38" s="206"/>
      <c r="G38" s="236"/>
      <c r="H38" s="224"/>
      <c r="I38" s="223"/>
      <c r="J38" s="236"/>
      <c r="K38" s="286"/>
      <c r="L38" s="223"/>
      <c r="M38" s="20"/>
      <c r="N38" s="7"/>
      <c r="O38" s="21"/>
      <c r="P38" s="74"/>
      <c r="Q38" s="72"/>
    </row>
    <row r="39" spans="1:18" ht="12.75">
      <c r="A39" s="29" t="s">
        <v>25</v>
      </c>
      <c r="B39" s="83"/>
      <c r="C39" s="105">
        <f>SUM(C41:C62)</f>
        <v>119059</v>
      </c>
      <c r="D39" s="106">
        <f aca="true" t="shared" si="9" ref="D39:Q39">SUM(D41:D62)</f>
        <v>1899071.45</v>
      </c>
      <c r="E39" s="106">
        <f t="shared" si="9"/>
        <v>0</v>
      </c>
      <c r="F39" s="205">
        <f t="shared" si="9"/>
        <v>2018130.45</v>
      </c>
      <c r="G39" s="232">
        <f t="shared" si="9"/>
        <v>8868552.12</v>
      </c>
      <c r="H39" s="248">
        <f t="shared" si="9"/>
        <v>0</v>
      </c>
      <c r="I39" s="222">
        <f t="shared" si="9"/>
        <v>10886682.57</v>
      </c>
      <c r="J39" s="232">
        <f t="shared" si="9"/>
        <v>435593.66</v>
      </c>
      <c r="K39" s="285">
        <f t="shared" si="9"/>
        <v>0</v>
      </c>
      <c r="L39" s="222">
        <f t="shared" si="9"/>
        <v>11322276.229999999</v>
      </c>
      <c r="M39" s="105">
        <f t="shared" si="9"/>
        <v>0</v>
      </c>
      <c r="N39" s="105">
        <f t="shared" si="9"/>
        <v>0</v>
      </c>
      <c r="O39" s="105">
        <f t="shared" si="9"/>
        <v>11319938.719999999</v>
      </c>
      <c r="P39" s="105">
        <f t="shared" si="9"/>
        <v>0</v>
      </c>
      <c r="Q39" s="159">
        <f t="shared" si="9"/>
        <v>11319938.719999999</v>
      </c>
      <c r="R39" s="307"/>
    </row>
    <row r="40" spans="1:17" ht="10.5" customHeight="1">
      <c r="A40" s="34" t="s">
        <v>26</v>
      </c>
      <c r="B40" s="88"/>
      <c r="C40" s="108"/>
      <c r="D40" s="107"/>
      <c r="E40" s="107"/>
      <c r="F40" s="206"/>
      <c r="G40" s="236"/>
      <c r="H40" s="224"/>
      <c r="I40" s="223"/>
      <c r="J40" s="236"/>
      <c r="K40" s="286"/>
      <c r="L40" s="223"/>
      <c r="M40" s="20"/>
      <c r="N40" s="7"/>
      <c r="O40" s="21"/>
      <c r="P40" s="74"/>
      <c r="Q40" s="72"/>
    </row>
    <row r="41" spans="1:17" ht="12.75">
      <c r="A41" s="32" t="s">
        <v>27</v>
      </c>
      <c r="B41" s="86"/>
      <c r="C41" s="108">
        <v>118809</v>
      </c>
      <c r="D41" s="107"/>
      <c r="E41" s="107"/>
      <c r="F41" s="206">
        <f aca="true" t="shared" si="10" ref="F41:F62">C41+D41+E41</f>
        <v>118809</v>
      </c>
      <c r="G41" s="236"/>
      <c r="H41" s="224"/>
      <c r="I41" s="223">
        <f>F41+G41+H41</f>
        <v>118809</v>
      </c>
      <c r="J41" s="236"/>
      <c r="K41" s="286"/>
      <c r="L41" s="223">
        <f>I41+J41+K41</f>
        <v>118809</v>
      </c>
      <c r="M41" s="20"/>
      <c r="N41" s="7"/>
      <c r="O41" s="21">
        <f>L41+M41+N41</f>
        <v>118809</v>
      </c>
      <c r="P41" s="74"/>
      <c r="Q41" s="72">
        <f t="shared" si="1"/>
        <v>118809</v>
      </c>
    </row>
    <row r="42" spans="1:17" ht="12.75">
      <c r="A42" s="32" t="s">
        <v>28</v>
      </c>
      <c r="B42" s="86"/>
      <c r="C42" s="108"/>
      <c r="D42" s="107"/>
      <c r="E42" s="107"/>
      <c r="F42" s="206">
        <f t="shared" si="10"/>
        <v>0</v>
      </c>
      <c r="G42" s="236">
        <f>20349.31+1435.13</f>
        <v>21784.440000000002</v>
      </c>
      <c r="H42" s="224"/>
      <c r="I42" s="223">
        <f aca="true" t="shared" si="11" ref="I42:I62">F42+G42+H42</f>
        <v>21784.440000000002</v>
      </c>
      <c r="J42" s="236">
        <f>10625.02+764.95+23578.3+23551.11</f>
        <v>58519.380000000005</v>
      </c>
      <c r="K42" s="286"/>
      <c r="L42" s="223">
        <f aca="true" t="shared" si="12" ref="L42:L62">I42+J42+K42</f>
        <v>80303.82</v>
      </c>
      <c r="M42" s="20"/>
      <c r="N42" s="7"/>
      <c r="O42" s="21">
        <f aca="true" t="shared" si="13" ref="O42:O62">L42+M42+N42</f>
        <v>80303.82</v>
      </c>
      <c r="P42" s="74"/>
      <c r="Q42" s="72">
        <f t="shared" si="1"/>
        <v>80303.82</v>
      </c>
    </row>
    <row r="43" spans="1:17" ht="12.75">
      <c r="A43" s="32" t="s">
        <v>29</v>
      </c>
      <c r="B43" s="86"/>
      <c r="C43" s="108"/>
      <c r="D43" s="107">
        <f>772855.17+41253.78+18081.7+41301.16+772855.17</f>
        <v>1646346.98</v>
      </c>
      <c r="E43" s="107"/>
      <c r="F43" s="206">
        <f t="shared" si="10"/>
        <v>1646346.98</v>
      </c>
      <c r="G43" s="236">
        <f>13698.4+21681+772855.17+2133+41885.67+480.4+6925868.2+980.4+149383.17+32526+3064.67+425.46-248.2</f>
        <v>7964733.34</v>
      </c>
      <c r="H43" s="224"/>
      <c r="I43" s="223">
        <f t="shared" si="11"/>
        <v>9611080.32</v>
      </c>
      <c r="J43" s="236">
        <f>14844.55+136819.92+976.13+7172.57-147.49+102.38+330.8</f>
        <v>160098.86000000002</v>
      </c>
      <c r="K43" s="286"/>
      <c r="L43" s="223">
        <f t="shared" si="12"/>
        <v>9771179.18</v>
      </c>
      <c r="M43" s="20"/>
      <c r="N43" s="7"/>
      <c r="O43" s="21">
        <f t="shared" si="13"/>
        <v>9771179.18</v>
      </c>
      <c r="P43" s="74"/>
      <c r="Q43" s="72">
        <f t="shared" si="1"/>
        <v>9771179.18</v>
      </c>
    </row>
    <row r="44" spans="1:17" ht="12.75">
      <c r="A44" s="32" t="s">
        <v>30</v>
      </c>
      <c r="B44" s="86"/>
      <c r="C44" s="108"/>
      <c r="D44" s="107">
        <f>29773.34+1600+206235.5+3000+1449.15</f>
        <v>242057.99</v>
      </c>
      <c r="E44" s="107"/>
      <c r="F44" s="206">
        <f t="shared" si="10"/>
        <v>242057.99</v>
      </c>
      <c r="G44" s="236">
        <f>103117.75+1290.41+645.2-29773.34+7000+744849+1001.13+17341.72+1391.46</f>
        <v>846863.33</v>
      </c>
      <c r="H44" s="224"/>
      <c r="I44" s="223">
        <f t="shared" si="11"/>
        <v>1088921.3199999998</v>
      </c>
      <c r="J44" s="236">
        <f>29.89+4752.48+2000</f>
        <v>6782.37</v>
      </c>
      <c r="K44" s="286"/>
      <c r="L44" s="223">
        <f t="shared" si="12"/>
        <v>1095703.69</v>
      </c>
      <c r="M44" s="20"/>
      <c r="N44" s="7"/>
      <c r="O44" s="21">
        <f t="shared" si="13"/>
        <v>1095703.69</v>
      </c>
      <c r="P44" s="74"/>
      <c r="Q44" s="72">
        <f t="shared" si="1"/>
        <v>1095703.69</v>
      </c>
    </row>
    <row r="45" spans="1:17" ht="12.75">
      <c r="A45" s="32" t="s">
        <v>31</v>
      </c>
      <c r="B45" s="86"/>
      <c r="C45" s="108"/>
      <c r="D45" s="107">
        <f>13.8+16.41+13.64+9566+659.56</f>
        <v>10269.41</v>
      </c>
      <c r="E45" s="107"/>
      <c r="F45" s="206">
        <f t="shared" si="10"/>
        <v>10269.41</v>
      </c>
      <c r="G45" s="236">
        <f>16.99+1316.39+6.93+7.72+14.14+21.2+1151.87+45.74</f>
        <v>2580.98</v>
      </c>
      <c r="H45" s="224"/>
      <c r="I45" s="223">
        <f t="shared" si="11"/>
        <v>12850.39</v>
      </c>
      <c r="J45" s="236">
        <f>621.96+20.05+2345.11+7.93+13.12+18.28+17.52</f>
        <v>3043.97</v>
      </c>
      <c r="K45" s="286"/>
      <c r="L45" s="223">
        <f t="shared" si="12"/>
        <v>15894.359999999999</v>
      </c>
      <c r="M45" s="20"/>
      <c r="N45" s="7"/>
      <c r="O45" s="21">
        <f t="shared" si="13"/>
        <v>15894.359999999999</v>
      </c>
      <c r="P45" s="74"/>
      <c r="Q45" s="72">
        <f t="shared" si="1"/>
        <v>15894.359999999999</v>
      </c>
    </row>
    <row r="46" spans="1:17" ht="12.75">
      <c r="A46" s="32" t="s">
        <v>32</v>
      </c>
      <c r="B46" s="86"/>
      <c r="C46" s="108"/>
      <c r="D46" s="107"/>
      <c r="E46" s="107"/>
      <c r="F46" s="206">
        <f t="shared" si="10"/>
        <v>0</v>
      </c>
      <c r="G46" s="236">
        <f>810</f>
        <v>810</v>
      </c>
      <c r="H46" s="224"/>
      <c r="I46" s="223">
        <f t="shared" si="11"/>
        <v>810</v>
      </c>
      <c r="J46" s="236">
        <f>27.5+34.16+83+345+140+60+50+69+135+32+65+28+69+63+126+130+215+97+100+200+92+117+90</f>
        <v>2367.66</v>
      </c>
      <c r="K46" s="286"/>
      <c r="L46" s="223">
        <f t="shared" si="12"/>
        <v>3177.66</v>
      </c>
      <c r="M46" s="20"/>
      <c r="N46" s="7"/>
      <c r="O46" s="21">
        <f t="shared" si="13"/>
        <v>3177.66</v>
      </c>
      <c r="P46" s="74"/>
      <c r="Q46" s="72">
        <f t="shared" si="1"/>
        <v>3177.66</v>
      </c>
    </row>
    <row r="47" spans="1:17" ht="12.75">
      <c r="A47" s="32" t="s">
        <v>33</v>
      </c>
      <c r="B47" s="86"/>
      <c r="C47" s="108"/>
      <c r="D47" s="107"/>
      <c r="E47" s="107"/>
      <c r="F47" s="206">
        <f t="shared" si="10"/>
        <v>0</v>
      </c>
      <c r="G47" s="236">
        <f>1900+3524.8</f>
        <v>5424.8</v>
      </c>
      <c r="H47" s="224"/>
      <c r="I47" s="223">
        <f t="shared" si="11"/>
        <v>5424.8</v>
      </c>
      <c r="J47" s="236">
        <f>180</f>
        <v>180</v>
      </c>
      <c r="K47" s="286"/>
      <c r="L47" s="223">
        <f t="shared" si="12"/>
        <v>5604.8</v>
      </c>
      <c r="M47" s="20"/>
      <c r="N47" s="7"/>
      <c r="O47" s="21">
        <f t="shared" si="13"/>
        <v>5604.8</v>
      </c>
      <c r="P47" s="74"/>
      <c r="Q47" s="72">
        <f t="shared" si="1"/>
        <v>5604.8</v>
      </c>
    </row>
    <row r="48" spans="1:17" ht="12.75" hidden="1">
      <c r="A48" s="32" t="s">
        <v>34</v>
      </c>
      <c r="B48" s="86"/>
      <c r="C48" s="108"/>
      <c r="D48" s="107"/>
      <c r="E48" s="107"/>
      <c r="F48" s="206">
        <f t="shared" si="10"/>
        <v>0</v>
      </c>
      <c r="G48" s="236"/>
      <c r="H48" s="224"/>
      <c r="I48" s="223">
        <f t="shared" si="11"/>
        <v>0</v>
      </c>
      <c r="J48" s="236"/>
      <c r="K48" s="286"/>
      <c r="L48" s="223">
        <f t="shared" si="12"/>
        <v>0</v>
      </c>
      <c r="M48" s="20"/>
      <c r="N48" s="7"/>
      <c r="O48" s="21">
        <f t="shared" si="13"/>
        <v>0</v>
      </c>
      <c r="P48" s="74"/>
      <c r="Q48" s="72">
        <f t="shared" si="1"/>
        <v>0</v>
      </c>
    </row>
    <row r="49" spans="1:17" ht="12.75">
      <c r="A49" s="32" t="s">
        <v>130</v>
      </c>
      <c r="B49" s="86"/>
      <c r="C49" s="108"/>
      <c r="D49" s="107"/>
      <c r="E49" s="107"/>
      <c r="F49" s="206">
        <f t="shared" si="10"/>
        <v>0</v>
      </c>
      <c r="G49" s="236"/>
      <c r="H49" s="224"/>
      <c r="I49" s="223">
        <f t="shared" si="11"/>
        <v>0</v>
      </c>
      <c r="J49" s="236">
        <f>214113.36</f>
        <v>214113.36</v>
      </c>
      <c r="K49" s="286"/>
      <c r="L49" s="223">
        <f t="shared" si="12"/>
        <v>214113.36</v>
      </c>
      <c r="M49" s="20"/>
      <c r="N49" s="7"/>
      <c r="O49" s="21">
        <f t="shared" si="13"/>
        <v>214113.36</v>
      </c>
      <c r="P49" s="74"/>
      <c r="Q49" s="72">
        <f t="shared" si="1"/>
        <v>214113.36</v>
      </c>
    </row>
    <row r="50" spans="1:17" ht="12.75">
      <c r="A50" s="32" t="s">
        <v>141</v>
      </c>
      <c r="B50" s="86"/>
      <c r="C50" s="108"/>
      <c r="D50" s="107"/>
      <c r="E50" s="107"/>
      <c r="F50" s="206">
        <f t="shared" si="10"/>
        <v>0</v>
      </c>
      <c r="G50" s="236">
        <f>10140</f>
        <v>10140</v>
      </c>
      <c r="H50" s="224"/>
      <c r="I50" s="223">
        <f t="shared" si="11"/>
        <v>10140</v>
      </c>
      <c r="J50" s="236"/>
      <c r="K50" s="286"/>
      <c r="L50" s="223">
        <f t="shared" si="12"/>
        <v>10140</v>
      </c>
      <c r="M50" s="20"/>
      <c r="N50" s="7"/>
      <c r="O50" s="21">
        <f t="shared" si="13"/>
        <v>10140</v>
      </c>
      <c r="P50" s="74"/>
      <c r="Q50" s="72">
        <f t="shared" si="1"/>
        <v>10140</v>
      </c>
    </row>
    <row r="51" spans="1:17" ht="12.75">
      <c r="A51" s="36" t="s">
        <v>42</v>
      </c>
      <c r="B51" s="86"/>
      <c r="C51" s="108"/>
      <c r="D51" s="107"/>
      <c r="E51" s="107"/>
      <c r="F51" s="206">
        <f t="shared" si="10"/>
        <v>0</v>
      </c>
      <c r="G51" s="236">
        <f>1916.76</f>
        <v>1916.76</v>
      </c>
      <c r="H51" s="224"/>
      <c r="I51" s="223">
        <f t="shared" si="11"/>
        <v>1916.76</v>
      </c>
      <c r="J51" s="236"/>
      <c r="K51" s="286"/>
      <c r="L51" s="223">
        <f t="shared" si="12"/>
        <v>1916.76</v>
      </c>
      <c r="M51" s="20"/>
      <c r="N51" s="7"/>
      <c r="O51" s="21"/>
      <c r="P51" s="74"/>
      <c r="Q51" s="72"/>
    </row>
    <row r="52" spans="1:17" ht="12.75">
      <c r="A52" s="36" t="s">
        <v>354</v>
      </c>
      <c r="B52" s="86"/>
      <c r="C52" s="108"/>
      <c r="D52" s="107"/>
      <c r="E52" s="107"/>
      <c r="F52" s="206"/>
      <c r="G52" s="236"/>
      <c r="H52" s="224"/>
      <c r="I52" s="223">
        <f t="shared" si="11"/>
        <v>0</v>
      </c>
      <c r="J52" s="236">
        <f>420.75</f>
        <v>420.75</v>
      </c>
      <c r="K52" s="286"/>
      <c r="L52" s="223">
        <f t="shared" si="12"/>
        <v>420.75</v>
      </c>
      <c r="M52" s="20"/>
      <c r="N52" s="7"/>
      <c r="O52" s="21"/>
      <c r="P52" s="74"/>
      <c r="Q52" s="72"/>
    </row>
    <row r="53" spans="1:17" ht="12.75">
      <c r="A53" s="32" t="s">
        <v>35</v>
      </c>
      <c r="B53" s="86"/>
      <c r="C53" s="108"/>
      <c r="D53" s="107">
        <f>389.37</f>
        <v>389.37</v>
      </c>
      <c r="E53" s="107"/>
      <c r="F53" s="206">
        <f t="shared" si="10"/>
        <v>389.37</v>
      </c>
      <c r="G53" s="236">
        <f>288.83</f>
        <v>288.83</v>
      </c>
      <c r="H53" s="224"/>
      <c r="I53" s="223">
        <f t="shared" si="11"/>
        <v>678.2</v>
      </c>
      <c r="J53" s="236">
        <f>340.85+297.85</f>
        <v>638.7</v>
      </c>
      <c r="K53" s="286"/>
      <c r="L53" s="223">
        <f t="shared" si="12"/>
        <v>1316.9</v>
      </c>
      <c r="M53" s="20"/>
      <c r="N53" s="7"/>
      <c r="O53" s="21">
        <f t="shared" si="13"/>
        <v>1316.9</v>
      </c>
      <c r="P53" s="79"/>
      <c r="Q53" s="72">
        <f t="shared" si="1"/>
        <v>1316.9</v>
      </c>
    </row>
    <row r="54" spans="1:17" ht="12.75">
      <c r="A54" s="32" t="s">
        <v>36</v>
      </c>
      <c r="B54" s="86"/>
      <c r="C54" s="108"/>
      <c r="D54" s="107"/>
      <c r="E54" s="107"/>
      <c r="F54" s="206">
        <f t="shared" si="10"/>
        <v>0</v>
      </c>
      <c r="G54" s="236">
        <f>603+492</f>
        <v>1095</v>
      </c>
      <c r="H54" s="224"/>
      <c r="I54" s="223">
        <f t="shared" si="11"/>
        <v>1095</v>
      </c>
      <c r="J54" s="269">
        <f>500</f>
        <v>500</v>
      </c>
      <c r="K54" s="286"/>
      <c r="L54" s="223">
        <f t="shared" si="12"/>
        <v>1595</v>
      </c>
      <c r="M54" s="20"/>
      <c r="N54" s="7"/>
      <c r="O54" s="21">
        <f t="shared" si="13"/>
        <v>1595</v>
      </c>
      <c r="P54" s="74"/>
      <c r="Q54" s="72">
        <f t="shared" si="1"/>
        <v>1595</v>
      </c>
    </row>
    <row r="55" spans="1:17" ht="12.75" hidden="1">
      <c r="A55" s="32" t="s">
        <v>184</v>
      </c>
      <c r="B55" s="86"/>
      <c r="C55" s="108"/>
      <c r="D55" s="107"/>
      <c r="E55" s="107"/>
      <c r="F55" s="206">
        <f t="shared" si="10"/>
        <v>0</v>
      </c>
      <c r="G55" s="236"/>
      <c r="H55" s="224"/>
      <c r="I55" s="223">
        <f t="shared" si="11"/>
        <v>0</v>
      </c>
      <c r="J55" s="269"/>
      <c r="K55" s="286"/>
      <c r="L55" s="223"/>
      <c r="M55" s="20"/>
      <c r="N55" s="7"/>
      <c r="O55" s="21"/>
      <c r="P55" s="74"/>
      <c r="Q55" s="72"/>
    </row>
    <row r="56" spans="1:17" ht="12.75" hidden="1">
      <c r="A56" s="32" t="s">
        <v>142</v>
      </c>
      <c r="B56" s="86"/>
      <c r="C56" s="108"/>
      <c r="D56" s="107"/>
      <c r="E56" s="107"/>
      <c r="F56" s="206">
        <f t="shared" si="10"/>
        <v>0</v>
      </c>
      <c r="G56" s="236"/>
      <c r="H56" s="224"/>
      <c r="I56" s="223">
        <f t="shared" si="11"/>
        <v>0</v>
      </c>
      <c r="J56" s="269"/>
      <c r="K56" s="286"/>
      <c r="L56" s="223"/>
      <c r="M56" s="20"/>
      <c r="N56" s="7"/>
      <c r="O56" s="21">
        <f t="shared" si="13"/>
        <v>0</v>
      </c>
      <c r="P56" s="74"/>
      <c r="Q56" s="72">
        <f t="shared" si="1"/>
        <v>0</v>
      </c>
    </row>
    <row r="57" spans="1:17" ht="12.75" hidden="1">
      <c r="A57" s="32" t="s">
        <v>37</v>
      </c>
      <c r="B57" s="86"/>
      <c r="C57" s="108"/>
      <c r="D57" s="107"/>
      <c r="E57" s="107"/>
      <c r="F57" s="206">
        <f t="shared" si="10"/>
        <v>0</v>
      </c>
      <c r="G57" s="236"/>
      <c r="H57" s="224"/>
      <c r="I57" s="223">
        <f t="shared" si="11"/>
        <v>0</v>
      </c>
      <c r="J57" s="236"/>
      <c r="K57" s="286"/>
      <c r="L57" s="223">
        <f t="shared" si="12"/>
        <v>0</v>
      </c>
      <c r="M57" s="20"/>
      <c r="N57" s="7"/>
      <c r="O57" s="21">
        <f t="shared" si="13"/>
        <v>0</v>
      </c>
      <c r="P57" s="74"/>
      <c r="Q57" s="72">
        <f t="shared" si="1"/>
        <v>0</v>
      </c>
    </row>
    <row r="58" spans="1:17" ht="12.75" hidden="1">
      <c r="A58" s="32" t="s">
        <v>44</v>
      </c>
      <c r="B58" s="86"/>
      <c r="C58" s="108"/>
      <c r="D58" s="107"/>
      <c r="E58" s="107"/>
      <c r="F58" s="206">
        <f t="shared" si="10"/>
        <v>0</v>
      </c>
      <c r="G58" s="236"/>
      <c r="H58" s="224"/>
      <c r="I58" s="223">
        <f t="shared" si="11"/>
        <v>0</v>
      </c>
      <c r="J58" s="236"/>
      <c r="K58" s="286"/>
      <c r="L58" s="223">
        <f t="shared" si="12"/>
        <v>0</v>
      </c>
      <c r="M58" s="20"/>
      <c r="N58" s="7"/>
      <c r="O58" s="21">
        <f t="shared" si="13"/>
        <v>0</v>
      </c>
      <c r="P58" s="74"/>
      <c r="Q58" s="72">
        <f t="shared" si="1"/>
        <v>0</v>
      </c>
    </row>
    <row r="59" spans="1:17" ht="12.75" hidden="1">
      <c r="A59" s="32" t="s">
        <v>38</v>
      </c>
      <c r="B59" s="86"/>
      <c r="C59" s="108"/>
      <c r="D59" s="107"/>
      <c r="E59" s="107"/>
      <c r="F59" s="206">
        <f t="shared" si="10"/>
        <v>0</v>
      </c>
      <c r="G59" s="236"/>
      <c r="H59" s="224"/>
      <c r="I59" s="223">
        <f t="shared" si="11"/>
        <v>0</v>
      </c>
      <c r="J59" s="236"/>
      <c r="K59" s="286"/>
      <c r="L59" s="223">
        <f t="shared" si="12"/>
        <v>0</v>
      </c>
      <c r="M59" s="20"/>
      <c r="N59" s="7"/>
      <c r="O59" s="21">
        <f t="shared" si="13"/>
        <v>0</v>
      </c>
      <c r="P59" s="74"/>
      <c r="Q59" s="72">
        <f t="shared" si="1"/>
        <v>0</v>
      </c>
    </row>
    <row r="60" spans="1:17" ht="12.75" hidden="1">
      <c r="A60" s="32" t="s">
        <v>39</v>
      </c>
      <c r="B60" s="86"/>
      <c r="C60" s="108"/>
      <c r="D60" s="107"/>
      <c r="E60" s="107"/>
      <c r="F60" s="206">
        <f t="shared" si="10"/>
        <v>0</v>
      </c>
      <c r="G60" s="236"/>
      <c r="H60" s="224"/>
      <c r="I60" s="223">
        <f t="shared" si="11"/>
        <v>0</v>
      </c>
      <c r="J60" s="236"/>
      <c r="K60" s="286"/>
      <c r="L60" s="223">
        <f t="shared" si="12"/>
        <v>0</v>
      </c>
      <c r="M60" s="20"/>
      <c r="N60" s="7"/>
      <c r="O60" s="21">
        <f t="shared" si="13"/>
        <v>0</v>
      </c>
      <c r="P60" s="74"/>
      <c r="Q60" s="72">
        <f t="shared" si="1"/>
        <v>0</v>
      </c>
    </row>
    <row r="61" spans="1:17" ht="12.75">
      <c r="A61" s="32" t="s">
        <v>40</v>
      </c>
      <c r="B61" s="86"/>
      <c r="C61" s="108">
        <v>250</v>
      </c>
      <c r="D61" s="107">
        <f>7.7</f>
        <v>7.7</v>
      </c>
      <c r="E61" s="107"/>
      <c r="F61" s="206">
        <f t="shared" si="10"/>
        <v>257.7</v>
      </c>
      <c r="G61" s="236">
        <f>1850.95</f>
        <v>1850.95</v>
      </c>
      <c r="H61" s="224"/>
      <c r="I61" s="223">
        <f t="shared" si="11"/>
        <v>2108.65</v>
      </c>
      <c r="J61" s="236">
        <f>-7.7</f>
        <v>-7.7</v>
      </c>
      <c r="K61" s="286"/>
      <c r="L61" s="223">
        <f t="shared" si="12"/>
        <v>2100.9500000000003</v>
      </c>
      <c r="M61" s="20"/>
      <c r="N61" s="7"/>
      <c r="O61" s="21">
        <f t="shared" si="13"/>
        <v>2100.9500000000003</v>
      </c>
      <c r="P61" s="74"/>
      <c r="Q61" s="72">
        <f t="shared" si="1"/>
        <v>2100.9500000000003</v>
      </c>
    </row>
    <row r="62" spans="1:17" ht="12.75">
      <c r="A62" s="32" t="s">
        <v>145</v>
      </c>
      <c r="B62" s="86"/>
      <c r="C62" s="108"/>
      <c r="D62" s="107"/>
      <c r="E62" s="107"/>
      <c r="F62" s="206">
        <f t="shared" si="10"/>
        <v>0</v>
      </c>
      <c r="G62" s="236">
        <f>11063.69</f>
        <v>11063.69</v>
      </c>
      <c r="H62" s="224"/>
      <c r="I62" s="223">
        <f t="shared" si="11"/>
        <v>11063.69</v>
      </c>
      <c r="J62" s="236">
        <f>-11063.69</f>
        <v>-11063.69</v>
      </c>
      <c r="K62" s="286"/>
      <c r="L62" s="223">
        <f t="shared" si="12"/>
        <v>0</v>
      </c>
      <c r="M62" s="20"/>
      <c r="N62" s="7"/>
      <c r="O62" s="21">
        <f t="shared" si="13"/>
        <v>0</v>
      </c>
      <c r="P62" s="74"/>
      <c r="Q62" s="72">
        <f t="shared" si="1"/>
        <v>0</v>
      </c>
    </row>
    <row r="63" spans="1:17" ht="12.75">
      <c r="A63" s="29" t="s">
        <v>41</v>
      </c>
      <c r="B63" s="83"/>
      <c r="C63" s="105">
        <f>SUM(C65:C79)</f>
        <v>0</v>
      </c>
      <c r="D63" s="106">
        <f aca="true" t="shared" si="14" ref="D63:Q63">SUM(D65:D79)</f>
        <v>50153.369999999995</v>
      </c>
      <c r="E63" s="106">
        <f t="shared" si="14"/>
        <v>0</v>
      </c>
      <c r="F63" s="205">
        <f t="shared" si="14"/>
        <v>50153.369999999995</v>
      </c>
      <c r="G63" s="232">
        <f t="shared" si="14"/>
        <v>701627.75</v>
      </c>
      <c r="H63" s="248">
        <f t="shared" si="14"/>
        <v>0</v>
      </c>
      <c r="I63" s="222">
        <f t="shared" si="14"/>
        <v>751781.12</v>
      </c>
      <c r="J63" s="232">
        <f t="shared" si="14"/>
        <v>49604.37</v>
      </c>
      <c r="K63" s="285">
        <f t="shared" si="14"/>
        <v>0</v>
      </c>
      <c r="L63" s="222">
        <f t="shared" si="14"/>
        <v>801385.4900000001</v>
      </c>
      <c r="M63" s="105">
        <f t="shared" si="14"/>
        <v>0</v>
      </c>
      <c r="N63" s="105">
        <f t="shared" si="14"/>
        <v>0</v>
      </c>
      <c r="O63" s="105">
        <f t="shared" si="14"/>
        <v>800945.4900000001</v>
      </c>
      <c r="P63" s="105">
        <f t="shared" si="14"/>
        <v>0</v>
      </c>
      <c r="Q63" s="159">
        <f t="shared" si="14"/>
        <v>800945.4900000001</v>
      </c>
    </row>
    <row r="64" spans="1:17" ht="12.75">
      <c r="A64" s="34" t="s">
        <v>26</v>
      </c>
      <c r="B64" s="88"/>
      <c r="C64" s="108"/>
      <c r="D64" s="107"/>
      <c r="E64" s="107"/>
      <c r="F64" s="206"/>
      <c r="G64" s="236"/>
      <c r="H64" s="224"/>
      <c r="I64" s="223"/>
      <c r="J64" s="236"/>
      <c r="K64" s="286"/>
      <c r="L64" s="223"/>
      <c r="M64" s="20"/>
      <c r="N64" s="7"/>
      <c r="O64" s="21"/>
      <c r="P64" s="74"/>
      <c r="Q64" s="72"/>
    </row>
    <row r="65" spans="1:17" ht="12.75" hidden="1">
      <c r="A65" s="32" t="s">
        <v>29</v>
      </c>
      <c r="B65" s="86"/>
      <c r="C65" s="108"/>
      <c r="D65" s="107"/>
      <c r="E65" s="107"/>
      <c r="F65" s="206">
        <f aca="true" t="shared" si="15" ref="F65:F79">C65+D65+E65</f>
        <v>0</v>
      </c>
      <c r="G65" s="236"/>
      <c r="H65" s="224"/>
      <c r="I65" s="223">
        <f>F65+G65+H65</f>
        <v>0</v>
      </c>
      <c r="J65" s="236"/>
      <c r="K65" s="286"/>
      <c r="L65" s="223">
        <f>I65+J65+K65</f>
        <v>0</v>
      </c>
      <c r="M65" s="20"/>
      <c r="N65" s="7"/>
      <c r="O65" s="21">
        <f>L65+M65+N65</f>
        <v>0</v>
      </c>
      <c r="P65" s="74"/>
      <c r="Q65" s="72">
        <f t="shared" si="1"/>
        <v>0</v>
      </c>
    </row>
    <row r="66" spans="1:18" ht="12.75">
      <c r="A66" s="36" t="s">
        <v>30</v>
      </c>
      <c r="B66" s="89"/>
      <c r="C66" s="108"/>
      <c r="D66" s="107"/>
      <c r="E66" s="107"/>
      <c r="F66" s="206">
        <f t="shared" si="15"/>
        <v>0</v>
      </c>
      <c r="G66" s="236">
        <f>8107.36+11925.81+12257.92</f>
        <v>32291.089999999997</v>
      </c>
      <c r="H66" s="224"/>
      <c r="I66" s="223">
        <f aca="true" t="shared" si="16" ref="I66:I79">F66+G66+H66</f>
        <v>32291.089999999997</v>
      </c>
      <c r="J66" s="236">
        <f>119.54</f>
        <v>119.54</v>
      </c>
      <c r="K66" s="286"/>
      <c r="L66" s="223">
        <f aca="true" t="shared" si="17" ref="L66:L79">I66+J66+K66</f>
        <v>32410.629999999997</v>
      </c>
      <c r="M66" s="20"/>
      <c r="N66" s="7"/>
      <c r="O66" s="21">
        <f aca="true" t="shared" si="18" ref="O66:O79">L66+M66+N66</f>
        <v>32410.629999999997</v>
      </c>
      <c r="P66" s="74"/>
      <c r="Q66" s="72">
        <f t="shared" si="1"/>
        <v>32410.629999999997</v>
      </c>
      <c r="R66" s="134"/>
    </row>
    <row r="67" spans="1:17" ht="12.75" hidden="1">
      <c r="A67" s="36" t="s">
        <v>28</v>
      </c>
      <c r="B67" s="89"/>
      <c r="C67" s="108"/>
      <c r="D67" s="107"/>
      <c r="E67" s="107"/>
      <c r="F67" s="206">
        <f t="shared" si="15"/>
        <v>0</v>
      </c>
      <c r="G67" s="236"/>
      <c r="H67" s="224"/>
      <c r="I67" s="223">
        <f t="shared" si="16"/>
        <v>0</v>
      </c>
      <c r="J67" s="236"/>
      <c r="K67" s="286"/>
      <c r="L67" s="223">
        <f t="shared" si="17"/>
        <v>0</v>
      </c>
      <c r="M67" s="20"/>
      <c r="N67" s="7"/>
      <c r="O67" s="21">
        <f t="shared" si="18"/>
        <v>0</v>
      </c>
      <c r="P67" s="74"/>
      <c r="Q67" s="72">
        <f t="shared" si="1"/>
        <v>0</v>
      </c>
    </row>
    <row r="68" spans="1:17" ht="12.75" hidden="1">
      <c r="A68" s="36" t="s">
        <v>42</v>
      </c>
      <c r="B68" s="89"/>
      <c r="C68" s="108"/>
      <c r="D68" s="107"/>
      <c r="E68" s="107"/>
      <c r="F68" s="206">
        <f t="shared" si="15"/>
        <v>0</v>
      </c>
      <c r="G68" s="236"/>
      <c r="H68" s="224"/>
      <c r="I68" s="223">
        <f t="shared" si="16"/>
        <v>0</v>
      </c>
      <c r="J68" s="236"/>
      <c r="K68" s="286"/>
      <c r="L68" s="223">
        <f t="shared" si="17"/>
        <v>0</v>
      </c>
      <c r="M68" s="20"/>
      <c r="N68" s="7"/>
      <c r="O68" s="21">
        <f t="shared" si="18"/>
        <v>0</v>
      </c>
      <c r="P68" s="74"/>
      <c r="Q68" s="72">
        <f t="shared" si="1"/>
        <v>0</v>
      </c>
    </row>
    <row r="69" spans="1:18" ht="12.75">
      <c r="A69" s="32" t="s">
        <v>31</v>
      </c>
      <c r="B69" s="86"/>
      <c r="C69" s="108"/>
      <c r="D69" s="107">
        <f>10557.37+21889.3+15539.92+2166.78</f>
        <v>50153.369999999995</v>
      </c>
      <c r="E69" s="107"/>
      <c r="F69" s="206">
        <f t="shared" si="15"/>
        <v>50153.369999999995</v>
      </c>
      <c r="G69" s="236">
        <f>1556.23+4257.22+2057.75+7249.16+739.53+30925.71+2767.29+5056.24</f>
        <v>54609.13</v>
      </c>
      <c r="H69" s="224"/>
      <c r="I69" s="223">
        <f t="shared" si="16"/>
        <v>104762.5</v>
      </c>
      <c r="J69" s="236">
        <f>780.74+7152.84+3161.87+17954.49</f>
        <v>29049.940000000002</v>
      </c>
      <c r="K69" s="286"/>
      <c r="L69" s="223">
        <f t="shared" si="17"/>
        <v>133812.44</v>
      </c>
      <c r="M69" s="20"/>
      <c r="N69" s="7"/>
      <c r="O69" s="21">
        <f t="shared" si="18"/>
        <v>133812.44</v>
      </c>
      <c r="P69" s="74"/>
      <c r="Q69" s="72">
        <f t="shared" si="1"/>
        <v>133812.44</v>
      </c>
      <c r="R69" s="134"/>
    </row>
    <row r="70" spans="1:18" ht="12.75">
      <c r="A70" s="32" t="s">
        <v>32</v>
      </c>
      <c r="B70" s="86"/>
      <c r="C70" s="108"/>
      <c r="D70" s="107"/>
      <c r="E70" s="107"/>
      <c r="F70" s="206"/>
      <c r="G70" s="236"/>
      <c r="H70" s="224"/>
      <c r="I70" s="223">
        <f t="shared" si="16"/>
        <v>0</v>
      </c>
      <c r="J70" s="236">
        <f>440</f>
        <v>440</v>
      </c>
      <c r="K70" s="286"/>
      <c r="L70" s="223">
        <f t="shared" si="17"/>
        <v>440</v>
      </c>
      <c r="M70" s="20"/>
      <c r="N70" s="7"/>
      <c r="O70" s="21"/>
      <c r="P70" s="74"/>
      <c r="Q70" s="72"/>
      <c r="R70" s="134"/>
    </row>
    <row r="71" spans="1:17" ht="12.75" hidden="1">
      <c r="A71" s="32" t="s">
        <v>197</v>
      </c>
      <c r="B71" s="86"/>
      <c r="C71" s="108"/>
      <c r="D71" s="107"/>
      <c r="E71" s="107"/>
      <c r="F71" s="206">
        <f t="shared" si="15"/>
        <v>0</v>
      </c>
      <c r="G71" s="236"/>
      <c r="H71" s="224"/>
      <c r="I71" s="223">
        <f t="shared" si="16"/>
        <v>0</v>
      </c>
      <c r="J71" s="236"/>
      <c r="K71" s="286"/>
      <c r="L71" s="223">
        <f t="shared" si="17"/>
        <v>0</v>
      </c>
      <c r="M71" s="20"/>
      <c r="N71" s="7"/>
      <c r="O71" s="21"/>
      <c r="P71" s="74"/>
      <c r="Q71" s="72"/>
    </row>
    <row r="72" spans="1:18" ht="12.75">
      <c r="A72" s="32" t="s">
        <v>141</v>
      </c>
      <c r="B72" s="86"/>
      <c r="C72" s="108"/>
      <c r="D72" s="107"/>
      <c r="E72" s="107"/>
      <c r="F72" s="206">
        <f t="shared" si="15"/>
        <v>0</v>
      </c>
      <c r="G72" s="236">
        <f>6293.92+135200</f>
        <v>141493.92</v>
      </c>
      <c r="H72" s="224"/>
      <c r="I72" s="223">
        <f t="shared" si="16"/>
        <v>141493.92</v>
      </c>
      <c r="J72" s="236">
        <f>4000+67.75+1127.35+814.93+712.19</f>
        <v>6722.220000000001</v>
      </c>
      <c r="K72" s="286"/>
      <c r="L72" s="223">
        <f t="shared" si="17"/>
        <v>148216.14</v>
      </c>
      <c r="M72" s="20"/>
      <c r="N72" s="7"/>
      <c r="O72" s="21">
        <f t="shared" si="18"/>
        <v>148216.14</v>
      </c>
      <c r="P72" s="74"/>
      <c r="Q72" s="72">
        <f t="shared" si="1"/>
        <v>148216.14</v>
      </c>
      <c r="R72" s="134"/>
    </row>
    <row r="73" spans="1:17" ht="12.75" hidden="1">
      <c r="A73" s="32" t="s">
        <v>142</v>
      </c>
      <c r="B73" s="86"/>
      <c r="C73" s="108"/>
      <c r="D73" s="107"/>
      <c r="E73" s="107"/>
      <c r="F73" s="206">
        <f t="shared" si="15"/>
        <v>0</v>
      </c>
      <c r="G73" s="236"/>
      <c r="H73" s="224"/>
      <c r="I73" s="223">
        <f t="shared" si="16"/>
        <v>0</v>
      </c>
      <c r="J73" s="236"/>
      <c r="K73" s="286"/>
      <c r="L73" s="223">
        <f t="shared" si="17"/>
        <v>0</v>
      </c>
      <c r="M73" s="20"/>
      <c r="N73" s="7"/>
      <c r="O73" s="21">
        <f t="shared" si="18"/>
        <v>0</v>
      </c>
      <c r="P73" s="74"/>
      <c r="Q73" s="72">
        <f t="shared" si="1"/>
        <v>0</v>
      </c>
    </row>
    <row r="74" spans="1:17" ht="12.75">
      <c r="A74" s="32" t="s">
        <v>43</v>
      </c>
      <c r="B74" s="86"/>
      <c r="C74" s="108"/>
      <c r="D74" s="107"/>
      <c r="E74" s="107"/>
      <c r="F74" s="206">
        <f t="shared" si="15"/>
        <v>0</v>
      </c>
      <c r="G74" s="236">
        <f>29678.61+7665+258127+177763</f>
        <v>473233.61</v>
      </c>
      <c r="H74" s="224"/>
      <c r="I74" s="223">
        <f t="shared" si="16"/>
        <v>473233.61</v>
      </c>
      <c r="J74" s="236"/>
      <c r="K74" s="286"/>
      <c r="L74" s="223">
        <f t="shared" si="17"/>
        <v>473233.61</v>
      </c>
      <c r="M74" s="20"/>
      <c r="N74" s="7"/>
      <c r="O74" s="21">
        <f t="shared" si="18"/>
        <v>473233.61</v>
      </c>
      <c r="P74" s="74"/>
      <c r="Q74" s="72">
        <f t="shared" si="1"/>
        <v>473233.61</v>
      </c>
    </row>
    <row r="75" spans="1:17" ht="12.75" hidden="1">
      <c r="A75" s="32" t="s">
        <v>44</v>
      </c>
      <c r="B75" s="86"/>
      <c r="C75" s="108"/>
      <c r="D75" s="107"/>
      <c r="E75" s="107"/>
      <c r="F75" s="206">
        <f t="shared" si="15"/>
        <v>0</v>
      </c>
      <c r="G75" s="236"/>
      <c r="H75" s="224"/>
      <c r="I75" s="223">
        <f t="shared" si="16"/>
        <v>0</v>
      </c>
      <c r="J75" s="236"/>
      <c r="K75" s="286"/>
      <c r="L75" s="223">
        <f t="shared" si="17"/>
        <v>0</v>
      </c>
      <c r="M75" s="20"/>
      <c r="N75" s="7"/>
      <c r="O75" s="21">
        <f t="shared" si="18"/>
        <v>0</v>
      </c>
      <c r="P75" s="74"/>
      <c r="Q75" s="72">
        <f t="shared" si="1"/>
        <v>0</v>
      </c>
    </row>
    <row r="76" spans="1:17" ht="12.75" hidden="1">
      <c r="A76" s="32" t="s">
        <v>45</v>
      </c>
      <c r="B76" s="86"/>
      <c r="C76" s="108"/>
      <c r="D76" s="107"/>
      <c r="E76" s="107"/>
      <c r="F76" s="206">
        <f t="shared" si="15"/>
        <v>0</v>
      </c>
      <c r="G76" s="236"/>
      <c r="H76" s="224"/>
      <c r="I76" s="223">
        <f t="shared" si="16"/>
        <v>0</v>
      </c>
      <c r="J76" s="236"/>
      <c r="K76" s="286"/>
      <c r="L76" s="223">
        <f t="shared" si="17"/>
        <v>0</v>
      </c>
      <c r="M76" s="20"/>
      <c r="N76" s="7"/>
      <c r="O76" s="21">
        <f t="shared" si="18"/>
        <v>0</v>
      </c>
      <c r="P76" s="74"/>
      <c r="Q76" s="72">
        <f t="shared" si="1"/>
        <v>0</v>
      </c>
    </row>
    <row r="77" spans="1:18" ht="12.75">
      <c r="A77" s="32" t="s">
        <v>35</v>
      </c>
      <c r="B77" s="86"/>
      <c r="C77" s="108"/>
      <c r="D77" s="107"/>
      <c r="E77" s="107"/>
      <c r="F77" s="206">
        <f t="shared" si="15"/>
        <v>0</v>
      </c>
      <c r="G77" s="236"/>
      <c r="H77" s="224"/>
      <c r="I77" s="223">
        <f t="shared" si="16"/>
        <v>0</v>
      </c>
      <c r="J77" s="236">
        <f>13272.67</f>
        <v>13272.67</v>
      </c>
      <c r="K77" s="286"/>
      <c r="L77" s="223">
        <f t="shared" si="17"/>
        <v>13272.67</v>
      </c>
      <c r="M77" s="20"/>
      <c r="N77" s="7"/>
      <c r="O77" s="21">
        <f t="shared" si="18"/>
        <v>13272.67</v>
      </c>
      <c r="P77" s="79"/>
      <c r="Q77" s="72">
        <f t="shared" si="1"/>
        <v>13272.67</v>
      </c>
      <c r="R77" s="134"/>
    </row>
    <row r="78" spans="1:17" ht="12.75" hidden="1">
      <c r="A78" s="32" t="s">
        <v>39</v>
      </c>
      <c r="B78" s="86"/>
      <c r="C78" s="108"/>
      <c r="D78" s="107"/>
      <c r="E78" s="107"/>
      <c r="F78" s="206">
        <f t="shared" si="15"/>
        <v>0</v>
      </c>
      <c r="G78" s="236"/>
      <c r="H78" s="224"/>
      <c r="I78" s="223">
        <f t="shared" si="16"/>
        <v>0</v>
      </c>
      <c r="J78" s="236"/>
      <c r="K78" s="286"/>
      <c r="L78" s="223">
        <f t="shared" si="17"/>
        <v>0</v>
      </c>
      <c r="M78" s="20"/>
      <c r="N78" s="7"/>
      <c r="O78" s="21"/>
      <c r="P78" s="79"/>
      <c r="Q78" s="72"/>
    </row>
    <row r="79" spans="1:17" ht="12.75" hidden="1">
      <c r="A79" s="32" t="s">
        <v>145</v>
      </c>
      <c r="B79" s="86"/>
      <c r="C79" s="108"/>
      <c r="D79" s="107"/>
      <c r="E79" s="107"/>
      <c r="F79" s="206">
        <f t="shared" si="15"/>
        <v>0</v>
      </c>
      <c r="G79" s="236"/>
      <c r="H79" s="224"/>
      <c r="I79" s="223">
        <f t="shared" si="16"/>
        <v>0</v>
      </c>
      <c r="J79" s="236"/>
      <c r="K79" s="286"/>
      <c r="L79" s="223">
        <f t="shared" si="17"/>
        <v>0</v>
      </c>
      <c r="M79" s="20"/>
      <c r="N79" s="7"/>
      <c r="O79" s="21">
        <f t="shared" si="18"/>
        <v>0</v>
      </c>
      <c r="P79" s="74"/>
      <c r="Q79" s="72">
        <f t="shared" si="1"/>
        <v>0</v>
      </c>
    </row>
    <row r="80" spans="1:17" ht="16.5" thickBot="1">
      <c r="A80" s="37" t="s">
        <v>46</v>
      </c>
      <c r="B80" s="90"/>
      <c r="C80" s="111">
        <f aca="true" t="shared" si="19" ref="C80:L80">C11+C17+C39+C63+C31</f>
        <v>5115469.62</v>
      </c>
      <c r="D80" s="112">
        <f t="shared" si="19"/>
        <v>2012950.9999999998</v>
      </c>
      <c r="E80" s="112">
        <f t="shared" si="19"/>
        <v>32165.7</v>
      </c>
      <c r="F80" s="208">
        <f t="shared" si="19"/>
        <v>7160586.32</v>
      </c>
      <c r="G80" s="226">
        <f t="shared" si="19"/>
        <v>9823533.39</v>
      </c>
      <c r="H80" s="227">
        <f t="shared" si="19"/>
        <v>35201.369999999995</v>
      </c>
      <c r="I80" s="228">
        <f t="shared" si="19"/>
        <v>17019321.08</v>
      </c>
      <c r="J80" s="226">
        <f t="shared" si="19"/>
        <v>986724.2100000001</v>
      </c>
      <c r="K80" s="296">
        <f t="shared" si="19"/>
        <v>41909.78</v>
      </c>
      <c r="L80" s="228">
        <f t="shared" si="19"/>
        <v>18047955.069999997</v>
      </c>
      <c r="M80" s="111" t="e">
        <f>M11+M17+M39+M63+M31+#REF!</f>
        <v>#REF!</v>
      </c>
      <c r="N80" s="111" t="e">
        <f>N11+N17+N39+N63+N31+#REF!</f>
        <v>#REF!</v>
      </c>
      <c r="O80" s="111" t="e">
        <f>O11+O17+O39+O63+O31+#REF!</f>
        <v>#REF!</v>
      </c>
      <c r="P80" s="111" t="e">
        <f>P11+P17+P39+P63+P31+#REF!</f>
        <v>#REF!</v>
      </c>
      <c r="Q80" s="163" t="e">
        <f>Q11+Q17+Q39+Q63+Q31+#REF!</f>
        <v>#REF!</v>
      </c>
    </row>
    <row r="81" spans="1:17" ht="12.75">
      <c r="A81" s="29" t="s">
        <v>47</v>
      </c>
      <c r="B81" s="83"/>
      <c r="C81" s="105"/>
      <c r="D81" s="107"/>
      <c r="E81" s="107"/>
      <c r="F81" s="206"/>
      <c r="G81" s="236"/>
      <c r="H81" s="224"/>
      <c r="I81" s="223"/>
      <c r="J81" s="236"/>
      <c r="K81" s="286"/>
      <c r="L81" s="223"/>
      <c r="M81" s="20"/>
      <c r="N81" s="7"/>
      <c r="O81" s="21"/>
      <c r="P81" s="74"/>
      <c r="Q81" s="72"/>
    </row>
    <row r="82" spans="1:17" ht="12.75">
      <c r="A82" s="29" t="s">
        <v>62</v>
      </c>
      <c r="B82" s="95"/>
      <c r="C82" s="105">
        <f aca="true" t="shared" si="20" ref="C82:Q82">C83+C91</f>
        <v>122277</v>
      </c>
      <c r="D82" s="106">
        <f t="shared" si="20"/>
        <v>43316.020000000004</v>
      </c>
      <c r="E82" s="106">
        <f t="shared" si="20"/>
        <v>0</v>
      </c>
      <c r="F82" s="205">
        <f t="shared" si="20"/>
        <v>165593.02000000002</v>
      </c>
      <c r="G82" s="232">
        <f t="shared" si="20"/>
        <v>4638.54</v>
      </c>
      <c r="H82" s="248">
        <f t="shared" si="20"/>
        <v>19145.3</v>
      </c>
      <c r="I82" s="222">
        <f t="shared" si="20"/>
        <v>189376.86</v>
      </c>
      <c r="J82" s="232">
        <f>J83+J91</f>
        <v>354.82</v>
      </c>
      <c r="K82" s="285">
        <f>K83+K91</f>
        <v>0</v>
      </c>
      <c r="L82" s="222">
        <f>L83+L91</f>
        <v>189731.68</v>
      </c>
      <c r="M82" s="105">
        <f t="shared" si="20"/>
        <v>0</v>
      </c>
      <c r="N82" s="105">
        <f t="shared" si="20"/>
        <v>0</v>
      </c>
      <c r="O82" s="105">
        <f t="shared" si="20"/>
        <v>91343.68000000001</v>
      </c>
      <c r="P82" s="105">
        <f t="shared" si="20"/>
        <v>0</v>
      </c>
      <c r="Q82" s="159">
        <f t="shared" si="20"/>
        <v>91343.68000000001</v>
      </c>
    </row>
    <row r="83" spans="1:17" ht="12.75">
      <c r="A83" s="38" t="s">
        <v>49</v>
      </c>
      <c r="B83" s="95"/>
      <c r="C83" s="113">
        <f aca="true" t="shared" si="21" ref="C83:Q83">SUM(C85:C89)</f>
        <v>69277</v>
      </c>
      <c r="D83" s="114">
        <f t="shared" si="21"/>
        <v>13168.96</v>
      </c>
      <c r="E83" s="114">
        <f t="shared" si="21"/>
        <v>0</v>
      </c>
      <c r="F83" s="209">
        <f t="shared" si="21"/>
        <v>82445.96</v>
      </c>
      <c r="G83" s="233">
        <f t="shared" si="21"/>
        <v>597.74</v>
      </c>
      <c r="H83" s="251">
        <f t="shared" si="21"/>
        <v>0</v>
      </c>
      <c r="I83" s="229">
        <f t="shared" si="21"/>
        <v>83043.7</v>
      </c>
      <c r="J83" s="233">
        <f>SUM(J85:J89)</f>
        <v>0</v>
      </c>
      <c r="K83" s="290">
        <f>SUM(K85:K89)</f>
        <v>0</v>
      </c>
      <c r="L83" s="229">
        <f>SUM(L85:L89)</f>
        <v>83043.7</v>
      </c>
      <c r="M83" s="113">
        <f t="shared" si="21"/>
        <v>0</v>
      </c>
      <c r="N83" s="113">
        <f t="shared" si="21"/>
        <v>0</v>
      </c>
      <c r="O83" s="113">
        <f t="shared" si="21"/>
        <v>12655.7</v>
      </c>
      <c r="P83" s="113">
        <f t="shared" si="21"/>
        <v>0</v>
      </c>
      <c r="Q83" s="164">
        <f t="shared" si="21"/>
        <v>12655.7</v>
      </c>
    </row>
    <row r="84" spans="1:17" ht="12.75">
      <c r="A84" s="34" t="s">
        <v>26</v>
      </c>
      <c r="B84" s="91"/>
      <c r="C84" s="108"/>
      <c r="D84" s="107"/>
      <c r="E84" s="107"/>
      <c r="F84" s="205"/>
      <c r="G84" s="236"/>
      <c r="H84" s="224"/>
      <c r="I84" s="222"/>
      <c r="J84" s="236"/>
      <c r="K84" s="286"/>
      <c r="L84" s="222"/>
      <c r="M84" s="20"/>
      <c r="N84" s="7"/>
      <c r="O84" s="19"/>
      <c r="P84" s="74"/>
      <c r="Q84" s="72"/>
    </row>
    <row r="85" spans="1:17" ht="12.75">
      <c r="A85" s="32" t="s">
        <v>51</v>
      </c>
      <c r="B85" s="91"/>
      <c r="C85" s="108">
        <v>7889</v>
      </c>
      <c r="D85" s="107"/>
      <c r="E85" s="107"/>
      <c r="F85" s="206">
        <f aca="true" t="shared" si="22" ref="F85:F90">C85+D85+E85</f>
        <v>7889</v>
      </c>
      <c r="G85" s="236"/>
      <c r="H85" s="224"/>
      <c r="I85" s="223">
        <f aca="true" t="shared" si="23" ref="I85:I90">F85+G85+H85</f>
        <v>7889</v>
      </c>
      <c r="J85" s="236"/>
      <c r="K85" s="286"/>
      <c r="L85" s="223">
        <f aca="true" t="shared" si="24" ref="L85:L90">I85+J85+K85</f>
        <v>7889</v>
      </c>
      <c r="M85" s="20"/>
      <c r="N85" s="7"/>
      <c r="O85" s="21">
        <f aca="true" t="shared" si="25" ref="O85:O90">L85+M85+N85</f>
        <v>7889</v>
      </c>
      <c r="P85" s="74"/>
      <c r="Q85" s="72">
        <f>O85+P85</f>
        <v>7889</v>
      </c>
    </row>
    <row r="86" spans="1:17" ht="12.75" hidden="1">
      <c r="A86" s="32" t="s">
        <v>64</v>
      </c>
      <c r="B86" s="91"/>
      <c r="C86" s="108"/>
      <c r="D86" s="107"/>
      <c r="E86" s="107"/>
      <c r="F86" s="206">
        <f t="shared" si="22"/>
        <v>0</v>
      </c>
      <c r="G86" s="236"/>
      <c r="H86" s="224"/>
      <c r="I86" s="223">
        <f t="shared" si="23"/>
        <v>0</v>
      </c>
      <c r="J86" s="236"/>
      <c r="K86" s="286"/>
      <c r="L86" s="223">
        <f t="shared" si="24"/>
        <v>0</v>
      </c>
      <c r="M86" s="20"/>
      <c r="N86" s="7"/>
      <c r="O86" s="21">
        <f t="shared" si="25"/>
        <v>0</v>
      </c>
      <c r="P86" s="74"/>
      <c r="Q86" s="72">
        <f>O86+P86</f>
        <v>0</v>
      </c>
    </row>
    <row r="87" spans="1:17" ht="12.75">
      <c r="A87" s="36" t="s">
        <v>189</v>
      </c>
      <c r="B87" s="91"/>
      <c r="C87" s="108">
        <v>61388</v>
      </c>
      <c r="D87" s="107">
        <f>9000</f>
        <v>9000</v>
      </c>
      <c r="E87" s="107"/>
      <c r="F87" s="206">
        <f t="shared" si="22"/>
        <v>70388</v>
      </c>
      <c r="G87" s="236"/>
      <c r="H87" s="224"/>
      <c r="I87" s="223">
        <f t="shared" si="23"/>
        <v>70388</v>
      </c>
      <c r="J87" s="236"/>
      <c r="K87" s="286"/>
      <c r="L87" s="223">
        <f t="shared" si="24"/>
        <v>70388</v>
      </c>
      <c r="M87" s="20"/>
      <c r="N87" s="7"/>
      <c r="O87" s="21"/>
      <c r="P87" s="74"/>
      <c r="Q87" s="72"/>
    </row>
    <row r="88" spans="1:17" ht="12.75" hidden="1">
      <c r="A88" s="32" t="s">
        <v>75</v>
      </c>
      <c r="B88" s="91"/>
      <c r="C88" s="108"/>
      <c r="D88" s="107"/>
      <c r="E88" s="107"/>
      <c r="F88" s="206">
        <f t="shared" si="22"/>
        <v>0</v>
      </c>
      <c r="G88" s="236"/>
      <c r="H88" s="224"/>
      <c r="I88" s="223">
        <f t="shared" si="23"/>
        <v>0</v>
      </c>
      <c r="J88" s="236"/>
      <c r="K88" s="286"/>
      <c r="L88" s="223">
        <f t="shared" si="24"/>
        <v>0</v>
      </c>
      <c r="M88" s="20"/>
      <c r="N88" s="7"/>
      <c r="O88" s="21">
        <f t="shared" si="25"/>
        <v>0</v>
      </c>
      <c r="P88" s="74"/>
      <c r="Q88" s="72">
        <f>O88+P88</f>
        <v>0</v>
      </c>
    </row>
    <row r="89" spans="1:17" ht="13.5" thickBot="1">
      <c r="A89" s="309" t="s">
        <v>65</v>
      </c>
      <c r="B89" s="130"/>
      <c r="C89" s="188"/>
      <c r="D89" s="131">
        <f>4168.96</f>
        <v>4168.96</v>
      </c>
      <c r="E89" s="131"/>
      <c r="F89" s="212">
        <f t="shared" si="22"/>
        <v>4168.96</v>
      </c>
      <c r="G89" s="310">
        <f>597.74</f>
        <v>597.74</v>
      </c>
      <c r="H89" s="311"/>
      <c r="I89" s="312">
        <f t="shared" si="23"/>
        <v>4766.7</v>
      </c>
      <c r="J89" s="310"/>
      <c r="K89" s="313"/>
      <c r="L89" s="312">
        <f t="shared" si="24"/>
        <v>4766.7</v>
      </c>
      <c r="M89" s="20"/>
      <c r="N89" s="7"/>
      <c r="O89" s="21">
        <f t="shared" si="25"/>
        <v>4766.7</v>
      </c>
      <c r="P89" s="74"/>
      <c r="Q89" s="72">
        <f>O89+P89</f>
        <v>4766.7</v>
      </c>
    </row>
    <row r="90" spans="1:17" ht="12.75" hidden="1">
      <c r="A90" s="31" t="s">
        <v>66</v>
      </c>
      <c r="B90" s="91"/>
      <c r="C90" s="108"/>
      <c r="D90" s="107"/>
      <c r="E90" s="107"/>
      <c r="F90" s="206">
        <f t="shared" si="22"/>
        <v>0</v>
      </c>
      <c r="G90" s="236"/>
      <c r="H90" s="224"/>
      <c r="I90" s="223">
        <f t="shared" si="23"/>
        <v>0</v>
      </c>
      <c r="J90" s="236"/>
      <c r="K90" s="286"/>
      <c r="L90" s="223">
        <f t="shared" si="24"/>
        <v>0</v>
      </c>
      <c r="M90" s="20"/>
      <c r="N90" s="7"/>
      <c r="O90" s="21">
        <f t="shared" si="25"/>
        <v>0</v>
      </c>
      <c r="P90" s="74"/>
      <c r="Q90" s="72">
        <f>O90+P90</f>
        <v>0</v>
      </c>
    </row>
    <row r="91" spans="1:17" ht="12.75">
      <c r="A91" s="39" t="s">
        <v>53</v>
      </c>
      <c r="B91" s="95"/>
      <c r="C91" s="116">
        <f>SUM(C93:C99)</f>
        <v>53000</v>
      </c>
      <c r="D91" s="117">
        <f aca="true" t="shared" si="26" ref="D91:Q91">SUM(D93:D99)</f>
        <v>30147.06</v>
      </c>
      <c r="E91" s="117">
        <f t="shared" si="26"/>
        <v>0</v>
      </c>
      <c r="F91" s="210">
        <f t="shared" si="26"/>
        <v>83147.06</v>
      </c>
      <c r="G91" s="267">
        <f t="shared" si="26"/>
        <v>4040.8</v>
      </c>
      <c r="H91" s="252">
        <f t="shared" si="26"/>
        <v>19145.3</v>
      </c>
      <c r="I91" s="230">
        <f t="shared" si="26"/>
        <v>106333.16</v>
      </c>
      <c r="J91" s="267">
        <f t="shared" si="26"/>
        <v>354.82</v>
      </c>
      <c r="K91" s="297">
        <f t="shared" si="26"/>
        <v>0</v>
      </c>
      <c r="L91" s="230">
        <f t="shared" si="26"/>
        <v>106687.98000000001</v>
      </c>
      <c r="M91" s="116">
        <f t="shared" si="26"/>
        <v>0</v>
      </c>
      <c r="N91" s="116">
        <f t="shared" si="26"/>
        <v>0</v>
      </c>
      <c r="O91" s="116">
        <f t="shared" si="26"/>
        <v>78687.98000000001</v>
      </c>
      <c r="P91" s="116">
        <f t="shared" si="26"/>
        <v>0</v>
      </c>
      <c r="Q91" s="165">
        <f t="shared" si="26"/>
        <v>78687.98000000001</v>
      </c>
    </row>
    <row r="92" spans="1:17" ht="12.75">
      <c r="A92" s="30" t="s">
        <v>26</v>
      </c>
      <c r="B92" s="91"/>
      <c r="C92" s="109"/>
      <c r="D92" s="110"/>
      <c r="E92" s="110"/>
      <c r="F92" s="207"/>
      <c r="G92" s="266"/>
      <c r="H92" s="250"/>
      <c r="I92" s="225"/>
      <c r="J92" s="266"/>
      <c r="K92" s="288"/>
      <c r="L92" s="225"/>
      <c r="M92" s="22"/>
      <c r="N92" s="8"/>
      <c r="O92" s="23"/>
      <c r="P92" s="74"/>
      <c r="Q92" s="72"/>
    </row>
    <row r="93" spans="1:17" ht="12.75">
      <c r="A93" s="92" t="s">
        <v>267</v>
      </c>
      <c r="B93" s="280"/>
      <c r="C93" s="108"/>
      <c r="D93" s="107">
        <f>8098.52</f>
        <v>8098.52</v>
      </c>
      <c r="E93" s="107"/>
      <c r="F93" s="206">
        <f aca="true" t="shared" si="27" ref="F93:F100">C93+D93+E93</f>
        <v>8098.52</v>
      </c>
      <c r="G93" s="236">
        <f>4638.54</f>
        <v>4638.54</v>
      </c>
      <c r="H93" s="224">
        <f>8436</f>
        <v>8436</v>
      </c>
      <c r="I93" s="223">
        <f>F93+G93+H93</f>
        <v>21173.06</v>
      </c>
      <c r="J93" s="236">
        <f>354.82</f>
        <v>354.82</v>
      </c>
      <c r="K93" s="286"/>
      <c r="L93" s="223">
        <f>I93+J93+K93</f>
        <v>21527.88</v>
      </c>
      <c r="M93" s="20"/>
      <c r="N93" s="7"/>
      <c r="O93" s="21">
        <f>L93+M93+N93</f>
        <v>21527.88</v>
      </c>
      <c r="P93" s="74"/>
      <c r="Q93" s="72">
        <f>O93+P93</f>
        <v>21527.88</v>
      </c>
    </row>
    <row r="94" spans="1:17" ht="12.75">
      <c r="A94" s="36" t="s">
        <v>222</v>
      </c>
      <c r="B94" s="91"/>
      <c r="C94" s="108">
        <v>20000</v>
      </c>
      <c r="D94" s="107">
        <f>5000</f>
        <v>5000</v>
      </c>
      <c r="E94" s="107"/>
      <c r="F94" s="206">
        <f t="shared" si="27"/>
        <v>25000</v>
      </c>
      <c r="G94" s="236"/>
      <c r="H94" s="224"/>
      <c r="I94" s="223">
        <f aca="true" t="shared" si="28" ref="I94:I99">F94+G94+H94</f>
        <v>25000</v>
      </c>
      <c r="J94" s="236"/>
      <c r="K94" s="286"/>
      <c r="L94" s="223">
        <f aca="true" t="shared" si="29" ref="L94:L99">I94+J94+K94</f>
        <v>25000</v>
      </c>
      <c r="M94" s="20"/>
      <c r="N94" s="7"/>
      <c r="O94" s="21"/>
      <c r="P94" s="74"/>
      <c r="Q94" s="72"/>
    </row>
    <row r="95" spans="1:17" ht="12.75" hidden="1">
      <c r="A95" s="31" t="s">
        <v>54</v>
      </c>
      <c r="B95" s="91"/>
      <c r="C95" s="108"/>
      <c r="D95" s="107"/>
      <c r="E95" s="107"/>
      <c r="F95" s="206">
        <f t="shared" si="27"/>
        <v>0</v>
      </c>
      <c r="G95" s="236"/>
      <c r="H95" s="224"/>
      <c r="I95" s="223">
        <f t="shared" si="28"/>
        <v>0</v>
      </c>
      <c r="J95" s="236"/>
      <c r="K95" s="286"/>
      <c r="L95" s="223">
        <f t="shared" si="29"/>
        <v>0</v>
      </c>
      <c r="M95" s="20"/>
      <c r="N95" s="7"/>
      <c r="O95" s="21"/>
      <c r="P95" s="74"/>
      <c r="Q95" s="72"/>
    </row>
    <row r="96" spans="1:17" ht="12.75" hidden="1">
      <c r="A96" s="32" t="s">
        <v>188</v>
      </c>
      <c r="B96" s="91"/>
      <c r="C96" s="108"/>
      <c r="D96" s="107"/>
      <c r="E96" s="107"/>
      <c r="F96" s="206">
        <f t="shared" si="27"/>
        <v>0</v>
      </c>
      <c r="G96" s="236"/>
      <c r="H96" s="224"/>
      <c r="I96" s="223">
        <f t="shared" si="28"/>
        <v>0</v>
      </c>
      <c r="J96" s="236"/>
      <c r="K96" s="286"/>
      <c r="L96" s="223">
        <f t="shared" si="29"/>
        <v>0</v>
      </c>
      <c r="M96" s="20"/>
      <c r="N96" s="7"/>
      <c r="O96" s="21"/>
      <c r="P96" s="74"/>
      <c r="Q96" s="72"/>
    </row>
    <row r="97" spans="1:17" ht="12.75" hidden="1">
      <c r="A97" s="32" t="s">
        <v>75</v>
      </c>
      <c r="B97" s="91"/>
      <c r="C97" s="108"/>
      <c r="D97" s="107"/>
      <c r="E97" s="107"/>
      <c r="F97" s="206">
        <f t="shared" si="27"/>
        <v>0</v>
      </c>
      <c r="G97" s="236"/>
      <c r="H97" s="224"/>
      <c r="I97" s="223">
        <f t="shared" si="28"/>
        <v>0</v>
      </c>
      <c r="J97" s="236"/>
      <c r="K97" s="286"/>
      <c r="L97" s="223">
        <f t="shared" si="29"/>
        <v>0</v>
      </c>
      <c r="M97" s="20"/>
      <c r="N97" s="7"/>
      <c r="O97" s="21">
        <f>L97+M97+N97</f>
        <v>0</v>
      </c>
      <c r="P97" s="74"/>
      <c r="Q97" s="72">
        <f>O97+P97</f>
        <v>0</v>
      </c>
    </row>
    <row r="98" spans="1:17" ht="12.75">
      <c r="A98" s="32" t="s">
        <v>228</v>
      </c>
      <c r="B98" s="91"/>
      <c r="C98" s="108">
        <v>3000</v>
      </c>
      <c r="D98" s="107"/>
      <c r="E98" s="107"/>
      <c r="F98" s="206">
        <f t="shared" si="27"/>
        <v>3000</v>
      </c>
      <c r="G98" s="236"/>
      <c r="H98" s="224"/>
      <c r="I98" s="223">
        <f t="shared" si="28"/>
        <v>3000</v>
      </c>
      <c r="J98" s="236"/>
      <c r="K98" s="286"/>
      <c r="L98" s="223">
        <f t="shared" si="29"/>
        <v>3000</v>
      </c>
      <c r="M98" s="20"/>
      <c r="N98" s="7"/>
      <c r="O98" s="21"/>
      <c r="P98" s="74"/>
      <c r="Q98" s="72"/>
    </row>
    <row r="99" spans="1:17" ht="12.75">
      <c r="A99" s="40" t="s">
        <v>65</v>
      </c>
      <c r="B99" s="94"/>
      <c r="C99" s="186">
        <v>30000</v>
      </c>
      <c r="D99" s="115">
        <f>17048.54</f>
        <v>17048.54</v>
      </c>
      <c r="E99" s="115"/>
      <c r="F99" s="211">
        <f t="shared" si="27"/>
        <v>47048.54</v>
      </c>
      <c r="G99" s="235">
        <f>-597.74</f>
        <v>-597.74</v>
      </c>
      <c r="H99" s="253">
        <f>10709.3</f>
        <v>10709.3</v>
      </c>
      <c r="I99" s="231">
        <f t="shared" si="28"/>
        <v>57160.100000000006</v>
      </c>
      <c r="J99" s="235"/>
      <c r="K99" s="289"/>
      <c r="L99" s="231">
        <f t="shared" si="29"/>
        <v>57160.100000000006</v>
      </c>
      <c r="M99" s="20"/>
      <c r="N99" s="7"/>
      <c r="O99" s="21">
        <f>L99+M99+N99</f>
        <v>57160.100000000006</v>
      </c>
      <c r="P99" s="74"/>
      <c r="Q99" s="72">
        <f>O99+P99</f>
        <v>57160.100000000006</v>
      </c>
    </row>
    <row r="100" spans="1:17" ht="12.75" hidden="1">
      <c r="A100" s="40" t="s">
        <v>68</v>
      </c>
      <c r="B100" s="94"/>
      <c r="C100" s="186"/>
      <c r="D100" s="115"/>
      <c r="E100" s="115"/>
      <c r="F100" s="211">
        <f t="shared" si="27"/>
        <v>0</v>
      </c>
      <c r="G100" s="235"/>
      <c r="H100" s="253"/>
      <c r="I100" s="231">
        <f>F100+G100+H100</f>
        <v>0</v>
      </c>
      <c r="J100" s="235"/>
      <c r="K100" s="289"/>
      <c r="L100" s="231">
        <f>I100+J100+K100</f>
        <v>0</v>
      </c>
      <c r="M100" s="24"/>
      <c r="N100" s="9"/>
      <c r="O100" s="25">
        <f>L100+M100+N100</f>
        <v>0</v>
      </c>
      <c r="P100" s="77"/>
      <c r="Q100" s="78">
        <f>O100+P100</f>
        <v>0</v>
      </c>
    </row>
    <row r="101" spans="1:17" ht="12.75">
      <c r="A101" s="29" t="s">
        <v>295</v>
      </c>
      <c r="B101" s="95"/>
      <c r="C101" s="105">
        <f aca="true" t="shared" si="30" ref="C101:I101">C102+C105</f>
        <v>0</v>
      </c>
      <c r="D101" s="106">
        <f t="shared" si="30"/>
        <v>45060.35</v>
      </c>
      <c r="E101" s="106">
        <f t="shared" si="30"/>
        <v>0</v>
      </c>
      <c r="F101" s="205">
        <f t="shared" si="30"/>
        <v>45060.35</v>
      </c>
      <c r="G101" s="232">
        <f t="shared" si="30"/>
        <v>-14500</v>
      </c>
      <c r="H101" s="248">
        <f t="shared" si="30"/>
        <v>0</v>
      </c>
      <c r="I101" s="222">
        <f t="shared" si="30"/>
        <v>30560.35</v>
      </c>
      <c r="J101" s="232">
        <f>J102+J105</f>
        <v>1613.3200000000002</v>
      </c>
      <c r="K101" s="285">
        <f>K102+K105</f>
        <v>0</v>
      </c>
      <c r="L101" s="222">
        <f>L102+L105</f>
        <v>32173.67</v>
      </c>
      <c r="M101" s="20"/>
      <c r="N101" s="125"/>
      <c r="O101" s="80"/>
      <c r="P101" s="74"/>
      <c r="Q101" s="72"/>
    </row>
    <row r="102" spans="1:17" ht="12.75">
      <c r="A102" s="38" t="s">
        <v>49</v>
      </c>
      <c r="B102" s="95"/>
      <c r="C102" s="113">
        <f aca="true" t="shared" si="31" ref="C102:I102">SUM(C104:C104)</f>
        <v>0</v>
      </c>
      <c r="D102" s="114">
        <f t="shared" si="31"/>
        <v>45060.35</v>
      </c>
      <c r="E102" s="114">
        <f t="shared" si="31"/>
        <v>0</v>
      </c>
      <c r="F102" s="209">
        <f t="shared" si="31"/>
        <v>45060.35</v>
      </c>
      <c r="G102" s="233">
        <f t="shared" si="31"/>
        <v>-14500</v>
      </c>
      <c r="H102" s="251">
        <f t="shared" si="31"/>
        <v>0</v>
      </c>
      <c r="I102" s="229">
        <f t="shared" si="31"/>
        <v>30560.35</v>
      </c>
      <c r="J102" s="233">
        <f>SUM(J104:J104)</f>
        <v>1613.3200000000002</v>
      </c>
      <c r="K102" s="290">
        <f>SUM(K104:K104)</f>
        <v>0</v>
      </c>
      <c r="L102" s="229">
        <f>SUM(L104:L104)</f>
        <v>32173.67</v>
      </c>
      <c r="M102" s="20"/>
      <c r="N102" s="125"/>
      <c r="O102" s="80"/>
      <c r="P102" s="74"/>
      <c r="Q102" s="72"/>
    </row>
    <row r="103" spans="1:17" ht="12.75">
      <c r="A103" s="34" t="s">
        <v>26</v>
      </c>
      <c r="B103" s="91"/>
      <c r="C103" s="108"/>
      <c r="D103" s="107"/>
      <c r="E103" s="107"/>
      <c r="F103" s="206"/>
      <c r="G103" s="236"/>
      <c r="H103" s="224"/>
      <c r="I103" s="223"/>
      <c r="J103" s="236"/>
      <c r="K103" s="286"/>
      <c r="L103" s="223"/>
      <c r="M103" s="20"/>
      <c r="N103" s="125"/>
      <c r="O103" s="80"/>
      <c r="P103" s="74"/>
      <c r="Q103" s="72"/>
    </row>
    <row r="104" spans="1:17" ht="12.75" customHeight="1">
      <c r="A104" s="35" t="s">
        <v>51</v>
      </c>
      <c r="B104" s="94"/>
      <c r="C104" s="186"/>
      <c r="D104" s="115">
        <f>25455+19605.35</f>
        <v>45060.35</v>
      </c>
      <c r="E104" s="115"/>
      <c r="F104" s="211">
        <f>C104+D104+E104</f>
        <v>45060.35</v>
      </c>
      <c r="G104" s="235">
        <f>-14500</f>
        <v>-14500</v>
      </c>
      <c r="H104" s="253"/>
      <c r="I104" s="231">
        <f>F104+G104+H104</f>
        <v>30560.35</v>
      </c>
      <c r="J104" s="235">
        <f>613.32+1000</f>
        <v>1613.3200000000002</v>
      </c>
      <c r="K104" s="289"/>
      <c r="L104" s="231">
        <f>I104+J104+K104</f>
        <v>32173.67</v>
      </c>
      <c r="M104" s="20"/>
      <c r="N104" s="125"/>
      <c r="O104" s="80"/>
      <c r="P104" s="74"/>
      <c r="Q104" s="72"/>
    </row>
    <row r="105" spans="1:17" ht="12.75" hidden="1">
      <c r="A105" s="38" t="s">
        <v>53</v>
      </c>
      <c r="B105" s="95"/>
      <c r="C105" s="113">
        <f>C107</f>
        <v>0</v>
      </c>
      <c r="D105" s="114">
        <f>D107</f>
        <v>0</v>
      </c>
      <c r="E105" s="114">
        <f>SUM(E107:E108)</f>
        <v>0</v>
      </c>
      <c r="F105" s="209">
        <f>F107</f>
        <v>0</v>
      </c>
      <c r="G105" s="236"/>
      <c r="H105" s="224"/>
      <c r="I105" s="223"/>
      <c r="J105" s="236"/>
      <c r="K105" s="286"/>
      <c r="L105" s="223"/>
      <c r="M105" s="20"/>
      <c r="N105" s="125"/>
      <c r="O105" s="80"/>
      <c r="P105" s="74"/>
      <c r="Q105" s="72"/>
    </row>
    <row r="106" spans="1:17" ht="12.75" hidden="1">
      <c r="A106" s="34" t="s">
        <v>26</v>
      </c>
      <c r="B106" s="91"/>
      <c r="C106" s="108"/>
      <c r="D106" s="107"/>
      <c r="E106" s="107"/>
      <c r="F106" s="206"/>
      <c r="G106" s="236"/>
      <c r="H106" s="224"/>
      <c r="I106" s="223"/>
      <c r="J106" s="236"/>
      <c r="K106" s="286"/>
      <c r="L106" s="223"/>
      <c r="M106" s="20"/>
      <c r="N106" s="125"/>
      <c r="O106" s="80"/>
      <c r="P106" s="74"/>
      <c r="Q106" s="72"/>
    </row>
    <row r="107" spans="1:17" ht="12.75" hidden="1">
      <c r="A107" s="158" t="s">
        <v>54</v>
      </c>
      <c r="B107" s="94"/>
      <c r="C107" s="186"/>
      <c r="D107" s="115"/>
      <c r="E107" s="115"/>
      <c r="F107" s="211">
        <f>C107+D107+E107</f>
        <v>0</v>
      </c>
      <c r="G107" s="236"/>
      <c r="H107" s="224"/>
      <c r="I107" s="223"/>
      <c r="J107" s="236"/>
      <c r="K107" s="286"/>
      <c r="L107" s="223"/>
      <c r="M107" s="20"/>
      <c r="N107" s="125"/>
      <c r="O107" s="80"/>
      <c r="P107" s="74"/>
      <c r="Q107" s="72"/>
    </row>
    <row r="108" spans="1:17" ht="12.75">
      <c r="A108" s="33" t="s">
        <v>69</v>
      </c>
      <c r="B108" s="95"/>
      <c r="C108" s="109">
        <f>C109+C116</f>
        <v>17401.86</v>
      </c>
      <c r="D108" s="110">
        <f aca="true" t="shared" si="32" ref="D108:Q108">D109+D116</f>
        <v>-3293.4</v>
      </c>
      <c r="E108" s="110">
        <f t="shared" si="32"/>
        <v>0</v>
      </c>
      <c r="F108" s="207">
        <f t="shared" si="32"/>
        <v>14108.460000000001</v>
      </c>
      <c r="G108" s="266">
        <f t="shared" si="32"/>
        <v>2133</v>
      </c>
      <c r="H108" s="250">
        <f t="shared" si="32"/>
        <v>0</v>
      </c>
      <c r="I108" s="225">
        <f t="shared" si="32"/>
        <v>16241.460000000001</v>
      </c>
      <c r="J108" s="266">
        <f>J109+J116</f>
        <v>0</v>
      </c>
      <c r="K108" s="288">
        <f>K109+K116</f>
        <v>0</v>
      </c>
      <c r="L108" s="225">
        <f>L109+L116</f>
        <v>16241.460000000001</v>
      </c>
      <c r="M108" s="109">
        <f t="shared" si="32"/>
        <v>0</v>
      </c>
      <c r="N108" s="109">
        <f t="shared" si="32"/>
        <v>0</v>
      </c>
      <c r="O108" s="109">
        <f t="shared" si="32"/>
        <v>16241.460000000001</v>
      </c>
      <c r="P108" s="109">
        <f t="shared" si="32"/>
        <v>0</v>
      </c>
      <c r="Q108" s="162">
        <f t="shared" si="32"/>
        <v>16241.460000000001</v>
      </c>
    </row>
    <row r="109" spans="1:17" ht="12.75">
      <c r="A109" s="38" t="s">
        <v>49</v>
      </c>
      <c r="B109" s="95"/>
      <c r="C109" s="113">
        <f>SUM(C111:C115)</f>
        <v>17401.86</v>
      </c>
      <c r="D109" s="114">
        <f aca="true" t="shared" si="33" ref="D109:Q109">SUM(D111:D115)</f>
        <v>-3293.4</v>
      </c>
      <c r="E109" s="114">
        <f t="shared" si="33"/>
        <v>0</v>
      </c>
      <c r="F109" s="209">
        <f t="shared" si="33"/>
        <v>14108.460000000001</v>
      </c>
      <c r="G109" s="233">
        <f t="shared" si="33"/>
        <v>2133</v>
      </c>
      <c r="H109" s="251">
        <f t="shared" si="33"/>
        <v>0</v>
      </c>
      <c r="I109" s="229">
        <f t="shared" si="33"/>
        <v>16241.460000000001</v>
      </c>
      <c r="J109" s="233">
        <f>SUM(J111:J115)</f>
        <v>0</v>
      </c>
      <c r="K109" s="290">
        <f>SUM(K111:K115)</f>
        <v>0</v>
      </c>
      <c r="L109" s="229">
        <f>SUM(L111:L115)</f>
        <v>16241.460000000001</v>
      </c>
      <c r="M109" s="113">
        <f t="shared" si="33"/>
        <v>0</v>
      </c>
      <c r="N109" s="113">
        <f t="shared" si="33"/>
        <v>0</v>
      </c>
      <c r="O109" s="113">
        <f t="shared" si="33"/>
        <v>16241.460000000001</v>
      </c>
      <c r="P109" s="113">
        <f t="shared" si="33"/>
        <v>0</v>
      </c>
      <c r="Q109" s="164">
        <f t="shared" si="33"/>
        <v>16241.460000000001</v>
      </c>
    </row>
    <row r="110" spans="1:17" ht="12.75">
      <c r="A110" s="34" t="s">
        <v>26</v>
      </c>
      <c r="B110" s="91"/>
      <c r="C110" s="108"/>
      <c r="D110" s="107"/>
      <c r="E110" s="107"/>
      <c r="F110" s="205"/>
      <c r="G110" s="236"/>
      <c r="H110" s="224"/>
      <c r="I110" s="222"/>
      <c r="J110" s="236"/>
      <c r="K110" s="286"/>
      <c r="L110" s="222"/>
      <c r="M110" s="20"/>
      <c r="N110" s="7"/>
      <c r="O110" s="19"/>
      <c r="P110" s="74"/>
      <c r="Q110" s="72"/>
    </row>
    <row r="111" spans="1:17" ht="12.75">
      <c r="A111" s="32" t="s">
        <v>51</v>
      </c>
      <c r="B111" s="91"/>
      <c r="C111" s="108">
        <v>17401.86</v>
      </c>
      <c r="D111" s="107">
        <f>-6500+3206.6</f>
        <v>-3293.4</v>
      </c>
      <c r="E111" s="107"/>
      <c r="F111" s="206">
        <f>C111+D111+E111</f>
        <v>14108.460000000001</v>
      </c>
      <c r="G111" s="236"/>
      <c r="H111" s="224"/>
      <c r="I111" s="223">
        <f>SUM(F111:H111)</f>
        <v>14108.460000000001</v>
      </c>
      <c r="J111" s="236"/>
      <c r="K111" s="286"/>
      <c r="L111" s="223">
        <f>I111+J111+K111</f>
        <v>14108.460000000001</v>
      </c>
      <c r="M111" s="20"/>
      <c r="N111" s="7"/>
      <c r="O111" s="21">
        <f>L111+M111+N111</f>
        <v>14108.460000000001</v>
      </c>
      <c r="P111" s="74"/>
      <c r="Q111" s="72">
        <f>O111+P111</f>
        <v>14108.460000000001</v>
      </c>
    </row>
    <row r="112" spans="1:17" ht="12.75" hidden="1">
      <c r="A112" s="179" t="s">
        <v>76</v>
      </c>
      <c r="B112" s="91">
        <v>1245</v>
      </c>
      <c r="C112" s="108"/>
      <c r="D112" s="107"/>
      <c r="E112" s="107"/>
      <c r="F112" s="206">
        <f>C112+D112+E112</f>
        <v>0</v>
      </c>
      <c r="G112" s="236"/>
      <c r="H112" s="224"/>
      <c r="I112" s="223">
        <f>SUM(F112:H112)</f>
        <v>0</v>
      </c>
      <c r="J112" s="236"/>
      <c r="K112" s="286"/>
      <c r="L112" s="223"/>
      <c r="M112" s="20"/>
      <c r="N112" s="7"/>
      <c r="O112" s="21"/>
      <c r="P112" s="74"/>
      <c r="Q112" s="72"/>
    </row>
    <row r="113" spans="1:17" ht="12.75">
      <c r="A113" s="43" t="s">
        <v>70</v>
      </c>
      <c r="B113" s="94">
        <v>33166</v>
      </c>
      <c r="C113" s="186"/>
      <c r="D113" s="115"/>
      <c r="E113" s="115"/>
      <c r="F113" s="211">
        <f>C113+D113+E113</f>
        <v>0</v>
      </c>
      <c r="G113" s="235">
        <f>2133</f>
        <v>2133</v>
      </c>
      <c r="H113" s="253"/>
      <c r="I113" s="231">
        <f>SUM(F113:H113)</f>
        <v>2133</v>
      </c>
      <c r="J113" s="235"/>
      <c r="K113" s="289"/>
      <c r="L113" s="231">
        <f>I113+J113+K113</f>
        <v>2133</v>
      </c>
      <c r="M113" s="20"/>
      <c r="N113" s="7"/>
      <c r="O113" s="21">
        <f>L113+M113+N113</f>
        <v>2133</v>
      </c>
      <c r="P113" s="74"/>
      <c r="Q113" s="72">
        <f>O113+P113</f>
        <v>2133</v>
      </c>
    </row>
    <row r="114" spans="1:17" ht="12.75" hidden="1">
      <c r="A114" s="36" t="s">
        <v>255</v>
      </c>
      <c r="B114" s="91">
        <v>33064</v>
      </c>
      <c r="C114" s="108"/>
      <c r="D114" s="107"/>
      <c r="E114" s="107"/>
      <c r="F114" s="206">
        <f>C114+D114+E114</f>
        <v>0</v>
      </c>
      <c r="G114" s="236"/>
      <c r="H114" s="224"/>
      <c r="I114" s="223">
        <f>SUM(F114:H114)</f>
        <v>0</v>
      </c>
      <c r="J114" s="236"/>
      <c r="K114" s="286"/>
      <c r="L114" s="223"/>
      <c r="M114" s="20"/>
      <c r="N114" s="7"/>
      <c r="O114" s="21"/>
      <c r="P114" s="74"/>
      <c r="Q114" s="72"/>
    </row>
    <row r="115" spans="1:17" ht="12.75" hidden="1">
      <c r="A115" s="36" t="s">
        <v>64</v>
      </c>
      <c r="B115" s="91"/>
      <c r="C115" s="108"/>
      <c r="D115" s="107"/>
      <c r="E115" s="107"/>
      <c r="F115" s="206">
        <f>C115+D115+E115</f>
        <v>0</v>
      </c>
      <c r="G115" s="236"/>
      <c r="H115" s="224"/>
      <c r="I115" s="223">
        <f>SUM(F115:H115)</f>
        <v>0</v>
      </c>
      <c r="J115" s="236"/>
      <c r="K115" s="286"/>
      <c r="L115" s="223">
        <f>I115+J115+K115</f>
        <v>0</v>
      </c>
      <c r="M115" s="20"/>
      <c r="N115" s="7"/>
      <c r="O115" s="21">
        <f>L115+M115+N115</f>
        <v>0</v>
      </c>
      <c r="P115" s="74"/>
      <c r="Q115" s="72">
        <f>O115+P115</f>
        <v>0</v>
      </c>
    </row>
    <row r="116" spans="1:17" ht="12.75" hidden="1">
      <c r="A116" s="38" t="s">
        <v>53</v>
      </c>
      <c r="B116" s="95"/>
      <c r="C116" s="113">
        <f>C118</f>
        <v>0</v>
      </c>
      <c r="D116" s="114">
        <f aca="true" t="shared" si="34" ref="D116:Q116">D118</f>
        <v>0</v>
      </c>
      <c r="E116" s="114">
        <f t="shared" si="34"/>
        <v>0</v>
      </c>
      <c r="F116" s="209">
        <f t="shared" si="34"/>
        <v>0</v>
      </c>
      <c r="G116" s="233">
        <f t="shared" si="34"/>
        <v>0</v>
      </c>
      <c r="H116" s="251">
        <f t="shared" si="34"/>
        <v>0</v>
      </c>
      <c r="I116" s="229">
        <f t="shared" si="34"/>
        <v>0</v>
      </c>
      <c r="J116" s="233">
        <f t="shared" si="34"/>
        <v>0</v>
      </c>
      <c r="K116" s="290">
        <f t="shared" si="34"/>
        <v>0</v>
      </c>
      <c r="L116" s="229">
        <f t="shared" si="34"/>
        <v>0</v>
      </c>
      <c r="M116" s="113">
        <f t="shared" si="34"/>
        <v>0</v>
      </c>
      <c r="N116" s="113">
        <f t="shared" si="34"/>
        <v>0</v>
      </c>
      <c r="O116" s="113">
        <f t="shared" si="34"/>
        <v>0</v>
      </c>
      <c r="P116" s="113">
        <f t="shared" si="34"/>
        <v>0</v>
      </c>
      <c r="Q116" s="164">
        <f t="shared" si="34"/>
        <v>0</v>
      </c>
    </row>
    <row r="117" spans="1:17" ht="12.75" hidden="1">
      <c r="A117" s="34" t="s">
        <v>26</v>
      </c>
      <c r="B117" s="91"/>
      <c r="C117" s="108"/>
      <c r="D117" s="107"/>
      <c r="E117" s="107"/>
      <c r="F117" s="205"/>
      <c r="G117" s="236"/>
      <c r="H117" s="224"/>
      <c r="I117" s="222"/>
      <c r="J117" s="236"/>
      <c r="K117" s="286"/>
      <c r="L117" s="222"/>
      <c r="M117" s="20"/>
      <c r="N117" s="7"/>
      <c r="O117" s="19"/>
      <c r="P117" s="74"/>
      <c r="Q117" s="72"/>
    </row>
    <row r="118" spans="1:17" ht="12.75" hidden="1">
      <c r="A118" s="35" t="s">
        <v>151</v>
      </c>
      <c r="B118" s="94"/>
      <c r="C118" s="186"/>
      <c r="D118" s="115"/>
      <c r="E118" s="115"/>
      <c r="F118" s="211">
        <f>C118+D118+E118</f>
        <v>0</v>
      </c>
      <c r="G118" s="235"/>
      <c r="H118" s="253"/>
      <c r="I118" s="231">
        <f>SUM(F118:H118)</f>
        <v>0</v>
      </c>
      <c r="J118" s="235"/>
      <c r="K118" s="289"/>
      <c r="L118" s="231">
        <f>I118+J118+K118</f>
        <v>0</v>
      </c>
      <c r="M118" s="24"/>
      <c r="N118" s="9"/>
      <c r="O118" s="25">
        <f>L118+M118+N118</f>
        <v>0</v>
      </c>
      <c r="P118" s="77"/>
      <c r="Q118" s="78">
        <f>O118+P118</f>
        <v>0</v>
      </c>
    </row>
    <row r="119" spans="1:17" ht="12.75">
      <c r="A119" s="29" t="s">
        <v>71</v>
      </c>
      <c r="B119" s="95"/>
      <c r="C119" s="105">
        <f>C120+C132</f>
        <v>1528562.62</v>
      </c>
      <c r="D119" s="106">
        <f aca="true" t="shared" si="35" ref="D119:Q119">D120+D132</f>
        <v>32851.14</v>
      </c>
      <c r="E119" s="106">
        <f t="shared" si="35"/>
        <v>0</v>
      </c>
      <c r="F119" s="205">
        <f t="shared" si="35"/>
        <v>1561413.76</v>
      </c>
      <c r="G119" s="232">
        <f t="shared" si="35"/>
        <v>22751.83</v>
      </c>
      <c r="H119" s="248">
        <f t="shared" si="35"/>
        <v>0</v>
      </c>
      <c r="I119" s="222">
        <f t="shared" si="35"/>
        <v>1584165.5899999999</v>
      </c>
      <c r="J119" s="232">
        <f>J120+J132</f>
        <v>299599.33999999997</v>
      </c>
      <c r="K119" s="285">
        <f>K120+K132</f>
        <v>0</v>
      </c>
      <c r="L119" s="222">
        <f>L120+L132</f>
        <v>1883764.9300000002</v>
      </c>
      <c r="M119" s="105">
        <f t="shared" si="35"/>
        <v>0</v>
      </c>
      <c r="N119" s="105">
        <f t="shared" si="35"/>
        <v>0</v>
      </c>
      <c r="O119" s="105">
        <f t="shared" si="35"/>
        <v>1883764.9300000002</v>
      </c>
      <c r="P119" s="105">
        <f t="shared" si="35"/>
        <v>0</v>
      </c>
      <c r="Q119" s="159">
        <f t="shared" si="35"/>
        <v>1883764.9300000002</v>
      </c>
    </row>
    <row r="120" spans="1:17" ht="12.75">
      <c r="A120" s="38" t="s">
        <v>49</v>
      </c>
      <c r="B120" s="95"/>
      <c r="C120" s="113">
        <f>SUM(C123:C131)</f>
        <v>1518562.62</v>
      </c>
      <c r="D120" s="114">
        <f aca="true" t="shared" si="36" ref="D120:Q120">SUM(D123:D131)</f>
        <v>32851.14</v>
      </c>
      <c r="E120" s="114">
        <f t="shared" si="36"/>
        <v>0</v>
      </c>
      <c r="F120" s="209">
        <f t="shared" si="36"/>
        <v>1551413.76</v>
      </c>
      <c r="G120" s="233">
        <f t="shared" si="36"/>
        <v>22751.83</v>
      </c>
      <c r="H120" s="251">
        <f t="shared" si="36"/>
        <v>0</v>
      </c>
      <c r="I120" s="229">
        <f t="shared" si="36"/>
        <v>1574165.5899999999</v>
      </c>
      <c r="J120" s="233">
        <f>SUM(J123:J131)</f>
        <v>299599.33999999997</v>
      </c>
      <c r="K120" s="290">
        <f>SUM(K123:K131)</f>
        <v>0</v>
      </c>
      <c r="L120" s="229">
        <f>SUM(L123:L131)</f>
        <v>1873764.9300000002</v>
      </c>
      <c r="M120" s="113">
        <f t="shared" si="36"/>
        <v>0</v>
      </c>
      <c r="N120" s="113">
        <f t="shared" si="36"/>
        <v>0</v>
      </c>
      <c r="O120" s="113">
        <f t="shared" si="36"/>
        <v>1873764.9300000002</v>
      </c>
      <c r="P120" s="113">
        <f t="shared" si="36"/>
        <v>0</v>
      </c>
      <c r="Q120" s="164">
        <f t="shared" si="36"/>
        <v>1873764.9300000002</v>
      </c>
    </row>
    <row r="121" spans="1:17" ht="12.75">
      <c r="A121" s="34" t="s">
        <v>26</v>
      </c>
      <c r="B121" s="91"/>
      <c r="C121" s="108"/>
      <c r="D121" s="107"/>
      <c r="E121" s="107"/>
      <c r="F121" s="205"/>
      <c r="G121" s="236"/>
      <c r="H121" s="224"/>
      <c r="I121" s="222"/>
      <c r="J121" s="236"/>
      <c r="K121" s="286"/>
      <c r="L121" s="222"/>
      <c r="M121" s="20"/>
      <c r="N121" s="7"/>
      <c r="O121" s="19"/>
      <c r="P121" s="74"/>
      <c r="Q121" s="72"/>
    </row>
    <row r="122" spans="1:17" ht="12.75">
      <c r="A122" s="36" t="s">
        <v>276</v>
      </c>
      <c r="B122" s="91"/>
      <c r="C122" s="108">
        <f>C123+C124</f>
        <v>966122.62</v>
      </c>
      <c r="D122" s="107">
        <f>D123+D124</f>
        <v>32538.890000000003</v>
      </c>
      <c r="E122" s="107">
        <f>E123+E124</f>
        <v>0</v>
      </c>
      <c r="F122" s="206">
        <f>F123+F124</f>
        <v>998661.51</v>
      </c>
      <c r="G122" s="236">
        <f>G123+G124</f>
        <v>13304.960000000001</v>
      </c>
      <c r="H122" s="224"/>
      <c r="I122" s="223">
        <f>I123+I124</f>
        <v>1011966.47</v>
      </c>
      <c r="J122" s="236">
        <f>J123+J124</f>
        <v>59365.39</v>
      </c>
      <c r="K122" s="286">
        <f>K123+K124</f>
        <v>0</v>
      </c>
      <c r="L122" s="223">
        <f>L123+L124</f>
        <v>1071331.8599999999</v>
      </c>
      <c r="M122" s="20"/>
      <c r="N122" s="7"/>
      <c r="O122" s="21">
        <f>O123+O124</f>
        <v>1071331.8599999999</v>
      </c>
      <c r="P122" s="74"/>
      <c r="Q122" s="72">
        <f aca="true" t="shared" si="37" ref="Q122:Q131">O122+P122</f>
        <v>1071331.8599999999</v>
      </c>
    </row>
    <row r="123" spans="1:17" ht="12.75">
      <c r="A123" s="36" t="s">
        <v>277</v>
      </c>
      <c r="B123" s="91"/>
      <c r="C123" s="108">
        <v>468060</v>
      </c>
      <c r="D123" s="118">
        <f>10556.31+1031.02+29.07+7.7+24.84+16200</f>
        <v>27848.940000000002</v>
      </c>
      <c r="E123" s="107"/>
      <c r="F123" s="206">
        <f aca="true" t="shared" si="38" ref="F123:F131">C123+D123+E123</f>
        <v>495908.94</v>
      </c>
      <c r="G123" s="236">
        <f>-2198.22+451.08+1850.95-2000</f>
        <v>-1896.1899999999998</v>
      </c>
      <c r="H123" s="254"/>
      <c r="I123" s="223">
        <f aca="true" t="shared" si="39" ref="I123:I131">F123+G123+H123</f>
        <v>494012.75</v>
      </c>
      <c r="J123" s="236">
        <f>863.64+40000</f>
        <v>40863.64</v>
      </c>
      <c r="K123" s="286"/>
      <c r="L123" s="223">
        <f aca="true" t="shared" si="40" ref="L123:L131">I123+J123+K123</f>
        <v>534876.39</v>
      </c>
      <c r="M123" s="20"/>
      <c r="N123" s="7"/>
      <c r="O123" s="21">
        <f aca="true" t="shared" si="41" ref="O123:O131">L123+M123+N123</f>
        <v>534876.39</v>
      </c>
      <c r="P123" s="74"/>
      <c r="Q123" s="72">
        <f t="shared" si="37"/>
        <v>534876.39</v>
      </c>
    </row>
    <row r="124" spans="1:17" ht="12.75">
      <c r="A124" s="32" t="s">
        <v>278</v>
      </c>
      <c r="B124" s="91"/>
      <c r="C124" s="108">
        <v>498062.62</v>
      </c>
      <c r="D124" s="107">
        <f>1720.38+2087.5+882.07</f>
        <v>4689.95</v>
      </c>
      <c r="E124" s="107"/>
      <c r="F124" s="206">
        <f t="shared" si="38"/>
        <v>502752.57</v>
      </c>
      <c r="G124" s="236">
        <f>3287.21+850.25+11063.69</f>
        <v>15201.150000000001</v>
      </c>
      <c r="H124" s="254"/>
      <c r="I124" s="223">
        <f t="shared" si="39"/>
        <v>517953.72000000003</v>
      </c>
      <c r="J124" s="236">
        <f>1791+720.82+15989.93</f>
        <v>18501.75</v>
      </c>
      <c r="K124" s="286"/>
      <c r="L124" s="223">
        <f t="shared" si="40"/>
        <v>536455.47</v>
      </c>
      <c r="M124" s="20"/>
      <c r="N124" s="7"/>
      <c r="O124" s="21">
        <f t="shared" si="41"/>
        <v>536455.47</v>
      </c>
      <c r="P124" s="74"/>
      <c r="Q124" s="72">
        <f t="shared" si="37"/>
        <v>536455.47</v>
      </c>
    </row>
    <row r="125" spans="1:17" ht="12.75">
      <c r="A125" s="36" t="s">
        <v>72</v>
      </c>
      <c r="B125" s="91"/>
      <c r="C125" s="108">
        <v>27440</v>
      </c>
      <c r="D125" s="107">
        <f>185</f>
        <v>185</v>
      </c>
      <c r="E125" s="107"/>
      <c r="F125" s="206">
        <f t="shared" si="38"/>
        <v>27625</v>
      </c>
      <c r="G125" s="236"/>
      <c r="H125" s="224"/>
      <c r="I125" s="223">
        <f t="shared" si="39"/>
        <v>27625</v>
      </c>
      <c r="J125" s="236">
        <f>120.79</f>
        <v>120.79</v>
      </c>
      <c r="K125" s="286"/>
      <c r="L125" s="223">
        <f t="shared" si="40"/>
        <v>27745.79</v>
      </c>
      <c r="M125" s="20"/>
      <c r="N125" s="7"/>
      <c r="O125" s="21">
        <f t="shared" si="41"/>
        <v>27745.79</v>
      </c>
      <c r="P125" s="74"/>
      <c r="Q125" s="72">
        <f t="shared" si="37"/>
        <v>27745.79</v>
      </c>
    </row>
    <row r="126" spans="1:17" ht="12.75" hidden="1">
      <c r="A126" s="32" t="s">
        <v>73</v>
      </c>
      <c r="B126" s="91"/>
      <c r="C126" s="108"/>
      <c r="D126" s="107"/>
      <c r="E126" s="107"/>
      <c r="F126" s="206">
        <f t="shared" si="38"/>
        <v>0</v>
      </c>
      <c r="G126" s="236"/>
      <c r="H126" s="224"/>
      <c r="I126" s="223">
        <f t="shared" si="39"/>
        <v>0</v>
      </c>
      <c r="J126" s="236"/>
      <c r="K126" s="286"/>
      <c r="L126" s="223">
        <f t="shared" si="40"/>
        <v>0</v>
      </c>
      <c r="M126" s="20"/>
      <c r="N126" s="7"/>
      <c r="O126" s="21">
        <f t="shared" si="41"/>
        <v>0</v>
      </c>
      <c r="P126" s="74"/>
      <c r="Q126" s="72">
        <f t="shared" si="37"/>
        <v>0</v>
      </c>
    </row>
    <row r="127" spans="1:17" ht="12.75">
      <c r="A127" s="32" t="s">
        <v>64</v>
      </c>
      <c r="B127" s="91"/>
      <c r="C127" s="108"/>
      <c r="D127" s="107"/>
      <c r="E127" s="107"/>
      <c r="F127" s="206">
        <f t="shared" si="38"/>
        <v>0</v>
      </c>
      <c r="G127" s="236">
        <f>2198.22</f>
        <v>2198.22</v>
      </c>
      <c r="H127" s="224"/>
      <c r="I127" s="223">
        <f t="shared" si="39"/>
        <v>2198.22</v>
      </c>
      <c r="J127" s="236"/>
      <c r="K127" s="286"/>
      <c r="L127" s="223">
        <f t="shared" si="40"/>
        <v>2198.22</v>
      </c>
      <c r="M127" s="20"/>
      <c r="N127" s="7"/>
      <c r="O127" s="21">
        <f t="shared" si="41"/>
        <v>2198.22</v>
      </c>
      <c r="P127" s="74"/>
      <c r="Q127" s="72">
        <f t="shared" si="37"/>
        <v>2198.22</v>
      </c>
    </row>
    <row r="128" spans="1:17" ht="12.75" hidden="1">
      <c r="A128" s="32" t="s">
        <v>74</v>
      </c>
      <c r="B128" s="91">
        <v>91252</v>
      </c>
      <c r="C128" s="108"/>
      <c r="D128" s="107"/>
      <c r="E128" s="107"/>
      <c r="F128" s="206">
        <f t="shared" si="38"/>
        <v>0</v>
      </c>
      <c r="G128" s="236"/>
      <c r="H128" s="224"/>
      <c r="I128" s="223">
        <f t="shared" si="39"/>
        <v>0</v>
      </c>
      <c r="J128" s="236"/>
      <c r="K128" s="286"/>
      <c r="L128" s="223">
        <f t="shared" si="40"/>
        <v>0</v>
      </c>
      <c r="M128" s="20"/>
      <c r="N128" s="7"/>
      <c r="O128" s="21">
        <f t="shared" si="41"/>
        <v>0</v>
      </c>
      <c r="P128" s="74"/>
      <c r="Q128" s="72">
        <f t="shared" si="37"/>
        <v>0</v>
      </c>
    </row>
    <row r="129" spans="1:17" ht="12.75">
      <c r="A129" s="32" t="s">
        <v>131</v>
      </c>
      <c r="B129" s="91">
        <v>27355</v>
      </c>
      <c r="C129" s="108"/>
      <c r="D129" s="107"/>
      <c r="E129" s="107"/>
      <c r="F129" s="206">
        <f t="shared" si="38"/>
        <v>0</v>
      </c>
      <c r="G129" s="236"/>
      <c r="H129" s="224"/>
      <c r="I129" s="223">
        <f t="shared" si="39"/>
        <v>0</v>
      </c>
      <c r="J129" s="236">
        <f>214113.36</f>
        <v>214113.36</v>
      </c>
      <c r="K129" s="286"/>
      <c r="L129" s="223">
        <f t="shared" si="40"/>
        <v>214113.36</v>
      </c>
      <c r="M129" s="20"/>
      <c r="N129" s="7"/>
      <c r="O129" s="21">
        <f t="shared" si="41"/>
        <v>214113.36</v>
      </c>
      <c r="P129" s="74"/>
      <c r="Q129" s="72">
        <f t="shared" si="37"/>
        <v>214113.36</v>
      </c>
    </row>
    <row r="130" spans="1:17" ht="12.75">
      <c r="A130" s="32" t="s">
        <v>51</v>
      </c>
      <c r="B130" s="91"/>
      <c r="C130" s="108">
        <v>525000</v>
      </c>
      <c r="D130" s="107">
        <f>127.25</f>
        <v>127.25</v>
      </c>
      <c r="E130" s="107"/>
      <c r="F130" s="206">
        <f t="shared" si="38"/>
        <v>525127.25</v>
      </c>
      <c r="G130" s="236">
        <f>248.65+2000+5000</f>
        <v>7248.65</v>
      </c>
      <c r="H130" s="224"/>
      <c r="I130" s="223">
        <f t="shared" si="39"/>
        <v>532375.9</v>
      </c>
      <c r="J130" s="236">
        <f>999.8+25000</f>
        <v>25999.8</v>
      </c>
      <c r="K130" s="286"/>
      <c r="L130" s="223">
        <f t="shared" si="40"/>
        <v>558375.7000000001</v>
      </c>
      <c r="M130" s="20"/>
      <c r="N130" s="7"/>
      <c r="O130" s="21">
        <f t="shared" si="41"/>
        <v>558375.7000000001</v>
      </c>
      <c r="P130" s="74"/>
      <c r="Q130" s="72">
        <f t="shared" si="37"/>
        <v>558375.7000000001</v>
      </c>
    </row>
    <row r="131" spans="1:17" ht="12" customHeight="1" hidden="1">
      <c r="A131" s="32" t="s">
        <v>75</v>
      </c>
      <c r="B131" s="91"/>
      <c r="C131" s="108"/>
      <c r="D131" s="107"/>
      <c r="E131" s="107"/>
      <c r="F131" s="206">
        <f t="shared" si="38"/>
        <v>0</v>
      </c>
      <c r="G131" s="236"/>
      <c r="H131" s="224"/>
      <c r="I131" s="223">
        <f t="shared" si="39"/>
        <v>0</v>
      </c>
      <c r="J131" s="236"/>
      <c r="K131" s="286"/>
      <c r="L131" s="223">
        <f t="shared" si="40"/>
        <v>0</v>
      </c>
      <c r="M131" s="20"/>
      <c r="N131" s="7"/>
      <c r="O131" s="21">
        <f t="shared" si="41"/>
        <v>0</v>
      </c>
      <c r="P131" s="74"/>
      <c r="Q131" s="72">
        <f t="shared" si="37"/>
        <v>0</v>
      </c>
    </row>
    <row r="132" spans="1:17" ht="12.75">
      <c r="A132" s="39" t="s">
        <v>53</v>
      </c>
      <c r="B132" s="95"/>
      <c r="C132" s="116">
        <f>SUM(C134:C136)</f>
        <v>10000</v>
      </c>
      <c r="D132" s="117">
        <f aca="true" t="shared" si="42" ref="D132:Q132">SUM(D134:D136)</f>
        <v>0</v>
      </c>
      <c r="E132" s="117">
        <f t="shared" si="42"/>
        <v>0</v>
      </c>
      <c r="F132" s="210">
        <f t="shared" si="42"/>
        <v>10000</v>
      </c>
      <c r="G132" s="267">
        <f t="shared" si="42"/>
        <v>0</v>
      </c>
      <c r="H132" s="252">
        <f t="shared" si="42"/>
        <v>0</v>
      </c>
      <c r="I132" s="230">
        <f t="shared" si="42"/>
        <v>10000</v>
      </c>
      <c r="J132" s="267">
        <f t="shared" si="42"/>
        <v>0</v>
      </c>
      <c r="K132" s="297">
        <f t="shared" si="42"/>
        <v>0</v>
      </c>
      <c r="L132" s="230">
        <f t="shared" si="42"/>
        <v>10000</v>
      </c>
      <c r="M132" s="116">
        <f t="shared" si="42"/>
        <v>0</v>
      </c>
      <c r="N132" s="116">
        <f t="shared" si="42"/>
        <v>0</v>
      </c>
      <c r="O132" s="116">
        <f t="shared" si="42"/>
        <v>10000</v>
      </c>
      <c r="P132" s="116">
        <f t="shared" si="42"/>
        <v>0</v>
      </c>
      <c r="Q132" s="165">
        <f t="shared" si="42"/>
        <v>10000</v>
      </c>
    </row>
    <row r="133" spans="1:17" ht="12.75">
      <c r="A133" s="30" t="s">
        <v>26</v>
      </c>
      <c r="B133" s="91"/>
      <c r="C133" s="109"/>
      <c r="D133" s="110"/>
      <c r="E133" s="110"/>
      <c r="F133" s="207"/>
      <c r="G133" s="266"/>
      <c r="H133" s="250"/>
      <c r="I133" s="225"/>
      <c r="J133" s="266"/>
      <c r="K133" s="288"/>
      <c r="L133" s="225"/>
      <c r="M133" s="22"/>
      <c r="N133" s="8"/>
      <c r="O133" s="23"/>
      <c r="P133" s="74"/>
      <c r="Q133" s="72"/>
    </row>
    <row r="134" spans="1:17" ht="12.75" hidden="1">
      <c r="A134" s="31" t="s">
        <v>54</v>
      </c>
      <c r="B134" s="91"/>
      <c r="C134" s="108"/>
      <c r="D134" s="107"/>
      <c r="E134" s="107"/>
      <c r="F134" s="206">
        <f>C134+D134+E134</f>
        <v>0</v>
      </c>
      <c r="G134" s="236"/>
      <c r="H134" s="224"/>
      <c r="I134" s="223">
        <f>F134+G134+H134</f>
        <v>0</v>
      </c>
      <c r="J134" s="236"/>
      <c r="K134" s="286"/>
      <c r="L134" s="223">
        <f>I134+J134+K134</f>
        <v>0</v>
      </c>
      <c r="M134" s="20"/>
      <c r="N134" s="7"/>
      <c r="O134" s="21">
        <f>L134+M134+N134</f>
        <v>0</v>
      </c>
      <c r="P134" s="74"/>
      <c r="Q134" s="72">
        <f>O134+P134</f>
        <v>0</v>
      </c>
    </row>
    <row r="135" spans="1:17" ht="12.75">
      <c r="A135" s="35" t="s">
        <v>83</v>
      </c>
      <c r="B135" s="94"/>
      <c r="C135" s="186">
        <v>10000</v>
      </c>
      <c r="D135" s="115"/>
      <c r="E135" s="115"/>
      <c r="F135" s="211">
        <f>C135+D135+E135</f>
        <v>10000</v>
      </c>
      <c r="G135" s="235"/>
      <c r="H135" s="253"/>
      <c r="I135" s="231">
        <f>F135+G135+H135</f>
        <v>10000</v>
      </c>
      <c r="J135" s="235"/>
      <c r="K135" s="289"/>
      <c r="L135" s="231">
        <f>I135+J135+K135</f>
        <v>10000</v>
      </c>
      <c r="M135" s="20"/>
      <c r="N135" s="7"/>
      <c r="O135" s="21">
        <f>L135+M135+N135</f>
        <v>10000</v>
      </c>
      <c r="P135" s="74"/>
      <c r="Q135" s="72">
        <f>O135+P135</f>
        <v>10000</v>
      </c>
    </row>
    <row r="136" spans="1:17" ht="12.75" hidden="1">
      <c r="A136" s="35" t="s">
        <v>76</v>
      </c>
      <c r="B136" s="94"/>
      <c r="C136" s="186"/>
      <c r="D136" s="115"/>
      <c r="E136" s="115"/>
      <c r="F136" s="211">
        <f>C136+D136+E136</f>
        <v>0</v>
      </c>
      <c r="G136" s="235"/>
      <c r="H136" s="253"/>
      <c r="I136" s="231">
        <f>F136+G136+H136</f>
        <v>0</v>
      </c>
      <c r="J136" s="235"/>
      <c r="K136" s="289"/>
      <c r="L136" s="231">
        <f>I136+J136+K136</f>
        <v>0</v>
      </c>
      <c r="M136" s="24"/>
      <c r="N136" s="9"/>
      <c r="O136" s="25">
        <f>L136+M136+N136</f>
        <v>0</v>
      </c>
      <c r="P136" s="77"/>
      <c r="Q136" s="78">
        <f>O136+P136</f>
        <v>0</v>
      </c>
    </row>
    <row r="137" spans="1:17" ht="12.75">
      <c r="A137" s="33" t="s">
        <v>77</v>
      </c>
      <c r="B137" s="95"/>
      <c r="C137" s="109">
        <f>C138+C143</f>
        <v>71560</v>
      </c>
      <c r="D137" s="110">
        <f aca="true" t="shared" si="43" ref="D137:Q137">D138+D143</f>
        <v>66402.59</v>
      </c>
      <c r="E137" s="110">
        <f t="shared" si="43"/>
        <v>0</v>
      </c>
      <c r="F137" s="207">
        <f t="shared" si="43"/>
        <v>137962.59000000003</v>
      </c>
      <c r="G137" s="266">
        <f t="shared" si="43"/>
        <v>2718.18</v>
      </c>
      <c r="H137" s="250">
        <f t="shared" si="43"/>
        <v>0</v>
      </c>
      <c r="I137" s="225">
        <f t="shared" si="43"/>
        <v>140680.77000000002</v>
      </c>
      <c r="J137" s="266">
        <f>J138+J143</f>
        <v>25803.190000000002</v>
      </c>
      <c r="K137" s="288">
        <f>K138+K143</f>
        <v>0</v>
      </c>
      <c r="L137" s="225">
        <f>L138+L143</f>
        <v>166483.96000000002</v>
      </c>
      <c r="M137" s="109">
        <f t="shared" si="43"/>
        <v>0</v>
      </c>
      <c r="N137" s="109">
        <f t="shared" si="43"/>
        <v>0</v>
      </c>
      <c r="O137" s="109">
        <f t="shared" si="43"/>
        <v>166483.96000000002</v>
      </c>
      <c r="P137" s="109">
        <f t="shared" si="43"/>
        <v>0</v>
      </c>
      <c r="Q137" s="162">
        <f t="shared" si="43"/>
        <v>166483.96000000002</v>
      </c>
    </row>
    <row r="138" spans="1:17" ht="12.75">
      <c r="A138" s="38" t="s">
        <v>49</v>
      </c>
      <c r="B138" s="95"/>
      <c r="C138" s="113">
        <f>SUM(C140:C142)</f>
        <v>43060</v>
      </c>
      <c r="D138" s="114">
        <f aca="true" t="shared" si="44" ref="D138:Q138">SUM(D140:D142)</f>
        <v>21673.05</v>
      </c>
      <c r="E138" s="114">
        <f t="shared" si="44"/>
        <v>0</v>
      </c>
      <c r="F138" s="209">
        <f t="shared" si="44"/>
        <v>64733.05</v>
      </c>
      <c r="G138" s="233">
        <f t="shared" si="44"/>
        <v>1203.1799999999998</v>
      </c>
      <c r="H138" s="251">
        <f t="shared" si="44"/>
        <v>0</v>
      </c>
      <c r="I138" s="229">
        <f t="shared" si="44"/>
        <v>65936.23</v>
      </c>
      <c r="J138" s="233">
        <f>SUM(J140:J142)</f>
        <v>7803.1900000000005</v>
      </c>
      <c r="K138" s="290">
        <f>SUM(K140:K142)</f>
        <v>0</v>
      </c>
      <c r="L138" s="229">
        <f>SUM(L140:L142)</f>
        <v>73739.42</v>
      </c>
      <c r="M138" s="113">
        <f t="shared" si="44"/>
        <v>0</v>
      </c>
      <c r="N138" s="113">
        <f t="shared" si="44"/>
        <v>0</v>
      </c>
      <c r="O138" s="113">
        <f t="shared" si="44"/>
        <v>73739.42</v>
      </c>
      <c r="P138" s="113">
        <f t="shared" si="44"/>
        <v>0</v>
      </c>
      <c r="Q138" s="164">
        <f t="shared" si="44"/>
        <v>73739.42</v>
      </c>
    </row>
    <row r="139" spans="1:17" ht="12.75">
      <c r="A139" s="34" t="s">
        <v>26</v>
      </c>
      <c r="B139" s="91"/>
      <c r="C139" s="108"/>
      <c r="D139" s="107"/>
      <c r="E139" s="107"/>
      <c r="F139" s="205"/>
      <c r="G139" s="236"/>
      <c r="H139" s="224"/>
      <c r="I139" s="222"/>
      <c r="J139" s="236"/>
      <c r="K139" s="286"/>
      <c r="L139" s="222"/>
      <c r="M139" s="20"/>
      <c r="N139" s="7"/>
      <c r="O139" s="19"/>
      <c r="P139" s="74"/>
      <c r="Q139" s="72"/>
    </row>
    <row r="140" spans="1:17" ht="12.75">
      <c r="A140" s="32" t="s">
        <v>51</v>
      </c>
      <c r="B140" s="91"/>
      <c r="C140" s="108">
        <v>19060</v>
      </c>
      <c r="D140" s="107">
        <f>17802.6+3197</f>
        <v>20999.6</v>
      </c>
      <c r="E140" s="107"/>
      <c r="F140" s="206">
        <f>C140+D140+E140</f>
        <v>40059.6</v>
      </c>
      <c r="G140" s="236">
        <f>703.18</f>
        <v>703.18</v>
      </c>
      <c r="H140" s="224"/>
      <c r="I140" s="223">
        <f>F140+G140+H140</f>
        <v>40762.78</v>
      </c>
      <c r="J140" s="236">
        <f>-3196.81+11000</f>
        <v>7803.1900000000005</v>
      </c>
      <c r="K140" s="286"/>
      <c r="L140" s="223">
        <f>I140+J140+K140</f>
        <v>48565.97</v>
      </c>
      <c r="M140" s="20"/>
      <c r="N140" s="7"/>
      <c r="O140" s="21">
        <f>L140+M140+N140</f>
        <v>48565.97</v>
      </c>
      <c r="P140" s="74"/>
      <c r="Q140" s="72">
        <f>O140+P140</f>
        <v>48565.97</v>
      </c>
    </row>
    <row r="141" spans="1:17" ht="12.75" hidden="1">
      <c r="A141" s="32" t="s">
        <v>76</v>
      </c>
      <c r="B141" s="91"/>
      <c r="C141" s="108"/>
      <c r="D141" s="107"/>
      <c r="E141" s="107"/>
      <c r="F141" s="206">
        <f>C141+D141+E141</f>
        <v>0</v>
      </c>
      <c r="G141" s="236"/>
      <c r="H141" s="224"/>
      <c r="I141" s="223"/>
      <c r="J141" s="236"/>
      <c r="K141" s="286"/>
      <c r="L141" s="223"/>
      <c r="M141" s="20"/>
      <c r="N141" s="7"/>
      <c r="O141" s="21">
        <f>L141+M141+N141</f>
        <v>0</v>
      </c>
      <c r="P141" s="74"/>
      <c r="Q141" s="72">
        <f>O141+P141</f>
        <v>0</v>
      </c>
    </row>
    <row r="142" spans="1:17" ht="12.75">
      <c r="A142" s="32" t="s">
        <v>78</v>
      </c>
      <c r="B142" s="91"/>
      <c r="C142" s="108">
        <v>24000</v>
      </c>
      <c r="D142" s="107">
        <f>673.45</f>
        <v>673.45</v>
      </c>
      <c r="E142" s="107"/>
      <c r="F142" s="206">
        <f>C142+D142+E142</f>
        <v>24673.45</v>
      </c>
      <c r="G142" s="236">
        <f>500</f>
        <v>500</v>
      </c>
      <c r="H142" s="224"/>
      <c r="I142" s="223">
        <f>F142+G142+H142</f>
        <v>25173.45</v>
      </c>
      <c r="J142" s="236"/>
      <c r="K142" s="286"/>
      <c r="L142" s="223">
        <f>I142+J142+K142</f>
        <v>25173.45</v>
      </c>
      <c r="M142" s="20"/>
      <c r="N142" s="7"/>
      <c r="O142" s="21">
        <f>L142+M142+N142</f>
        <v>25173.45</v>
      </c>
      <c r="P142" s="74"/>
      <c r="Q142" s="72">
        <f>O142+P142</f>
        <v>25173.45</v>
      </c>
    </row>
    <row r="143" spans="1:17" ht="12.75">
      <c r="A143" s="39" t="s">
        <v>53</v>
      </c>
      <c r="B143" s="95"/>
      <c r="C143" s="116">
        <f>SUM(C145:C148)</f>
        <v>28500</v>
      </c>
      <c r="D143" s="117">
        <f aca="true" t="shared" si="45" ref="D143:Q143">SUM(D145:D148)</f>
        <v>44729.54</v>
      </c>
      <c r="E143" s="117">
        <f t="shared" si="45"/>
        <v>0</v>
      </c>
      <c r="F143" s="210">
        <f t="shared" si="45"/>
        <v>73229.54000000001</v>
      </c>
      <c r="G143" s="267">
        <f t="shared" si="45"/>
        <v>1515</v>
      </c>
      <c r="H143" s="252">
        <f t="shared" si="45"/>
        <v>0</v>
      </c>
      <c r="I143" s="230">
        <f t="shared" si="45"/>
        <v>74744.54000000001</v>
      </c>
      <c r="J143" s="267">
        <f t="shared" si="45"/>
        <v>18000</v>
      </c>
      <c r="K143" s="297">
        <f t="shared" si="45"/>
        <v>0</v>
      </c>
      <c r="L143" s="230">
        <f t="shared" si="45"/>
        <v>92744.54000000001</v>
      </c>
      <c r="M143" s="116">
        <f t="shared" si="45"/>
        <v>0</v>
      </c>
      <c r="N143" s="116">
        <f t="shared" si="45"/>
        <v>0</v>
      </c>
      <c r="O143" s="116">
        <f t="shared" si="45"/>
        <v>92744.54000000001</v>
      </c>
      <c r="P143" s="116">
        <f t="shared" si="45"/>
        <v>0</v>
      </c>
      <c r="Q143" s="165">
        <f t="shared" si="45"/>
        <v>92744.54000000001</v>
      </c>
    </row>
    <row r="144" spans="1:17" ht="12.75">
      <c r="A144" s="30" t="s">
        <v>26</v>
      </c>
      <c r="B144" s="91"/>
      <c r="C144" s="109"/>
      <c r="D144" s="110"/>
      <c r="E144" s="110"/>
      <c r="F144" s="207"/>
      <c r="G144" s="266"/>
      <c r="H144" s="250"/>
      <c r="I144" s="225"/>
      <c r="J144" s="266"/>
      <c r="K144" s="288"/>
      <c r="L144" s="225"/>
      <c r="M144" s="22"/>
      <c r="N144" s="8"/>
      <c r="O144" s="23"/>
      <c r="P144" s="74"/>
      <c r="Q144" s="72"/>
    </row>
    <row r="145" spans="1:17" ht="12.75" hidden="1">
      <c r="A145" s="32" t="s">
        <v>149</v>
      </c>
      <c r="B145" s="91">
        <v>98861</v>
      </c>
      <c r="C145" s="108"/>
      <c r="D145" s="107"/>
      <c r="E145" s="107"/>
      <c r="F145" s="206">
        <f>C145+D145+E145</f>
        <v>0</v>
      </c>
      <c r="G145" s="266"/>
      <c r="H145" s="250"/>
      <c r="I145" s="223"/>
      <c r="J145" s="266"/>
      <c r="K145" s="288"/>
      <c r="L145" s="223"/>
      <c r="M145" s="22"/>
      <c r="N145" s="8"/>
      <c r="O145" s="21">
        <f>L145+M145+N145</f>
        <v>0</v>
      </c>
      <c r="P145" s="74"/>
      <c r="Q145" s="72">
        <f>O145+P145</f>
        <v>0</v>
      </c>
    </row>
    <row r="146" spans="1:17" ht="12.75" hidden="1">
      <c r="A146" s="32" t="s">
        <v>198</v>
      </c>
      <c r="B146" s="91">
        <v>7938</v>
      </c>
      <c r="C146" s="108"/>
      <c r="D146" s="107"/>
      <c r="E146" s="107"/>
      <c r="F146" s="206">
        <f>C146+D146+E146</f>
        <v>0</v>
      </c>
      <c r="G146" s="266"/>
      <c r="H146" s="250"/>
      <c r="I146" s="223"/>
      <c r="J146" s="266"/>
      <c r="K146" s="288"/>
      <c r="L146" s="223"/>
      <c r="M146" s="22"/>
      <c r="N146" s="8"/>
      <c r="O146" s="21"/>
      <c r="P146" s="74"/>
      <c r="Q146" s="72"/>
    </row>
    <row r="147" spans="1:17" ht="12.75" hidden="1">
      <c r="A147" s="32" t="s">
        <v>224</v>
      </c>
      <c r="B147" s="91"/>
      <c r="C147" s="108"/>
      <c r="D147" s="107"/>
      <c r="E147" s="107"/>
      <c r="F147" s="206">
        <f>C147+D147+E147</f>
        <v>0</v>
      </c>
      <c r="G147" s="266"/>
      <c r="H147" s="250"/>
      <c r="I147" s="223"/>
      <c r="J147" s="266"/>
      <c r="K147" s="288"/>
      <c r="L147" s="223"/>
      <c r="M147" s="22"/>
      <c r="N147" s="8"/>
      <c r="O147" s="21"/>
      <c r="P147" s="74"/>
      <c r="Q147" s="72"/>
    </row>
    <row r="148" spans="1:17" ht="12.75">
      <c r="A148" s="43" t="s">
        <v>54</v>
      </c>
      <c r="B148" s="94"/>
      <c r="C148" s="186">
        <v>28500</v>
      </c>
      <c r="D148" s="115">
        <f>26540.54+3850+14339</f>
        <v>44729.54</v>
      </c>
      <c r="E148" s="115"/>
      <c r="F148" s="211">
        <f>C148+D148+E148</f>
        <v>73229.54000000001</v>
      </c>
      <c r="G148" s="235">
        <f>1515</f>
        <v>1515</v>
      </c>
      <c r="H148" s="253"/>
      <c r="I148" s="231">
        <f>F148+G148+H148</f>
        <v>74744.54000000001</v>
      </c>
      <c r="J148" s="235">
        <f>8000+6500+3500</f>
        <v>18000</v>
      </c>
      <c r="K148" s="289"/>
      <c r="L148" s="231">
        <f>I148+J148+K148</f>
        <v>92744.54000000001</v>
      </c>
      <c r="M148" s="24"/>
      <c r="N148" s="9"/>
      <c r="O148" s="25">
        <f>L148+M148+N148</f>
        <v>92744.54000000001</v>
      </c>
      <c r="P148" s="77"/>
      <c r="Q148" s="78">
        <f>O148+P148</f>
        <v>92744.54000000001</v>
      </c>
    </row>
    <row r="149" spans="1:17" ht="12.75">
      <c r="A149" s="29" t="s">
        <v>243</v>
      </c>
      <c r="B149" s="95"/>
      <c r="C149" s="105">
        <f aca="true" t="shared" si="46" ref="C149:Q149">C150+C169</f>
        <v>4312.6900000000005</v>
      </c>
      <c r="D149" s="106">
        <f t="shared" si="46"/>
        <v>50410.3</v>
      </c>
      <c r="E149" s="106">
        <f t="shared" si="46"/>
        <v>0</v>
      </c>
      <c r="F149" s="205">
        <f t="shared" si="46"/>
        <v>54722.990000000005</v>
      </c>
      <c r="G149" s="232">
        <f t="shared" si="46"/>
        <v>152303.18000000002</v>
      </c>
      <c r="H149" s="248">
        <f t="shared" si="46"/>
        <v>0</v>
      </c>
      <c r="I149" s="222">
        <f t="shared" si="46"/>
        <v>207026.16999999998</v>
      </c>
      <c r="J149" s="232">
        <f>J150+J169</f>
        <v>1308.23</v>
      </c>
      <c r="K149" s="285">
        <f>K150+K169</f>
        <v>0</v>
      </c>
      <c r="L149" s="222">
        <f>L150+L169</f>
        <v>208334.4</v>
      </c>
      <c r="M149" s="105">
        <f t="shared" si="46"/>
        <v>0</v>
      </c>
      <c r="N149" s="105">
        <f t="shared" si="46"/>
        <v>0</v>
      </c>
      <c r="O149" s="105">
        <f t="shared" si="46"/>
        <v>3962.6900000000005</v>
      </c>
      <c r="P149" s="105">
        <f t="shared" si="46"/>
        <v>0</v>
      </c>
      <c r="Q149" s="159">
        <f t="shared" si="46"/>
        <v>3962.6900000000005</v>
      </c>
    </row>
    <row r="150" spans="1:17" ht="12.75">
      <c r="A150" s="38" t="s">
        <v>49</v>
      </c>
      <c r="B150" s="95"/>
      <c r="C150" s="113">
        <f aca="true" t="shared" si="47" ref="C150:Q150">SUM(C152:C168)</f>
        <v>4312.6900000000005</v>
      </c>
      <c r="D150" s="114">
        <f t="shared" si="47"/>
        <v>16445.55</v>
      </c>
      <c r="E150" s="114">
        <f t="shared" si="47"/>
        <v>0</v>
      </c>
      <c r="F150" s="209">
        <f t="shared" si="47"/>
        <v>20758.24</v>
      </c>
      <c r="G150" s="233">
        <f t="shared" si="47"/>
        <v>10718.76</v>
      </c>
      <c r="H150" s="251">
        <f t="shared" si="47"/>
        <v>0</v>
      </c>
      <c r="I150" s="229">
        <f t="shared" si="47"/>
        <v>31477.000000000004</v>
      </c>
      <c r="J150" s="233">
        <f>SUM(J152:J168)</f>
        <v>1308.23</v>
      </c>
      <c r="K150" s="290">
        <f>SUM(K152:K168)</f>
        <v>0</v>
      </c>
      <c r="L150" s="229">
        <f>SUM(L152:L168)</f>
        <v>32785.23</v>
      </c>
      <c r="M150" s="113">
        <f t="shared" si="47"/>
        <v>0</v>
      </c>
      <c r="N150" s="113">
        <f t="shared" si="47"/>
        <v>0</v>
      </c>
      <c r="O150" s="113">
        <f t="shared" si="47"/>
        <v>3862.6900000000005</v>
      </c>
      <c r="P150" s="113">
        <f t="shared" si="47"/>
        <v>0</v>
      </c>
      <c r="Q150" s="164">
        <f t="shared" si="47"/>
        <v>3862.6900000000005</v>
      </c>
    </row>
    <row r="151" spans="1:17" ht="12.75">
      <c r="A151" s="30" t="s">
        <v>26</v>
      </c>
      <c r="B151" s="91"/>
      <c r="C151" s="109"/>
      <c r="D151" s="110"/>
      <c r="E151" s="110"/>
      <c r="F151" s="207"/>
      <c r="G151" s="266"/>
      <c r="H151" s="250"/>
      <c r="I151" s="225"/>
      <c r="J151" s="266"/>
      <c r="K151" s="288"/>
      <c r="L151" s="225"/>
      <c r="M151" s="22"/>
      <c r="N151" s="8"/>
      <c r="O151" s="23"/>
      <c r="P151" s="74"/>
      <c r="Q151" s="72"/>
    </row>
    <row r="152" spans="1:17" ht="12.75">
      <c r="A152" s="32" t="s">
        <v>51</v>
      </c>
      <c r="B152" s="91"/>
      <c r="C152" s="108">
        <v>3162.69</v>
      </c>
      <c r="D152" s="118">
        <f>1000</f>
        <v>1000</v>
      </c>
      <c r="E152" s="107"/>
      <c r="F152" s="206">
        <f aca="true" t="shared" si="48" ref="F152:F168">C152+D152+E152</f>
        <v>4162.6900000000005</v>
      </c>
      <c r="G152" s="236">
        <f>-300</f>
        <v>-300</v>
      </c>
      <c r="H152" s="224"/>
      <c r="I152" s="223">
        <f>F152+G152+H152</f>
        <v>3862.6900000000005</v>
      </c>
      <c r="J152" s="269"/>
      <c r="K152" s="286"/>
      <c r="L152" s="223">
        <f>I152+J152+K152</f>
        <v>3862.6900000000005</v>
      </c>
      <c r="M152" s="28"/>
      <c r="N152" s="7"/>
      <c r="O152" s="21">
        <f>L152+M152+N152</f>
        <v>3862.6900000000005</v>
      </c>
      <c r="P152" s="74"/>
      <c r="Q152" s="72">
        <f>O152+P152</f>
        <v>3862.6900000000005</v>
      </c>
    </row>
    <row r="153" spans="1:17" ht="12.75">
      <c r="A153" s="92" t="s">
        <v>302</v>
      </c>
      <c r="B153" s="91">
        <v>2046</v>
      </c>
      <c r="C153" s="108"/>
      <c r="D153" s="107">
        <f>3504.96</f>
        <v>3504.96</v>
      </c>
      <c r="E153" s="107"/>
      <c r="F153" s="206">
        <f t="shared" si="48"/>
        <v>3504.96</v>
      </c>
      <c r="G153" s="236"/>
      <c r="H153" s="224"/>
      <c r="I153" s="223">
        <f aca="true" t="shared" si="49" ref="I153:I168">F153+G153+H153</f>
        <v>3504.96</v>
      </c>
      <c r="J153" s="236"/>
      <c r="K153" s="286"/>
      <c r="L153" s="223">
        <f aca="true" t="shared" si="50" ref="L153:L168">I153+J153+K153</f>
        <v>3504.96</v>
      </c>
      <c r="M153" s="20"/>
      <c r="N153" s="7"/>
      <c r="O153" s="21"/>
      <c r="P153" s="74"/>
      <c r="Q153" s="72"/>
    </row>
    <row r="154" spans="1:17" ht="12.75">
      <c r="A154" s="92" t="s">
        <v>303</v>
      </c>
      <c r="B154" s="91">
        <v>2016</v>
      </c>
      <c r="C154" s="108"/>
      <c r="D154" s="107">
        <f>1288.56</f>
        <v>1288.56</v>
      </c>
      <c r="E154" s="107"/>
      <c r="F154" s="206">
        <f t="shared" si="48"/>
        <v>1288.56</v>
      </c>
      <c r="G154" s="236"/>
      <c r="H154" s="224"/>
      <c r="I154" s="223">
        <f t="shared" si="49"/>
        <v>1288.56</v>
      </c>
      <c r="J154" s="236"/>
      <c r="K154" s="286"/>
      <c r="L154" s="223">
        <f t="shared" si="50"/>
        <v>1288.56</v>
      </c>
      <c r="M154" s="20"/>
      <c r="N154" s="7"/>
      <c r="O154" s="21"/>
      <c r="P154" s="74"/>
      <c r="Q154" s="72"/>
    </row>
    <row r="155" spans="1:17" ht="12.75" hidden="1">
      <c r="A155" s="92" t="s">
        <v>285</v>
      </c>
      <c r="B155" s="91"/>
      <c r="C155" s="108"/>
      <c r="D155" s="107"/>
      <c r="E155" s="107"/>
      <c r="F155" s="206">
        <f t="shared" si="48"/>
        <v>0</v>
      </c>
      <c r="G155" s="236"/>
      <c r="H155" s="224"/>
      <c r="I155" s="223">
        <f t="shared" si="49"/>
        <v>0</v>
      </c>
      <c r="J155" s="236"/>
      <c r="K155" s="286"/>
      <c r="L155" s="223">
        <f t="shared" si="50"/>
        <v>0</v>
      </c>
      <c r="M155" s="20"/>
      <c r="N155" s="7"/>
      <c r="O155" s="21"/>
      <c r="P155" s="74"/>
      <c r="Q155" s="72"/>
    </row>
    <row r="156" spans="1:17" ht="12.75" hidden="1">
      <c r="A156" s="41" t="s">
        <v>304</v>
      </c>
      <c r="B156" s="91">
        <v>2064</v>
      </c>
      <c r="C156" s="108"/>
      <c r="D156" s="107"/>
      <c r="E156" s="107"/>
      <c r="F156" s="206">
        <f t="shared" si="48"/>
        <v>0</v>
      </c>
      <c r="G156" s="236"/>
      <c r="H156" s="224"/>
      <c r="I156" s="223">
        <f t="shared" si="49"/>
        <v>0</v>
      </c>
      <c r="J156" s="236"/>
      <c r="K156" s="286"/>
      <c r="L156" s="223">
        <f t="shared" si="50"/>
        <v>0</v>
      </c>
      <c r="M156" s="20"/>
      <c r="N156" s="7"/>
      <c r="O156" s="21"/>
      <c r="P156" s="74"/>
      <c r="Q156" s="72"/>
    </row>
    <row r="157" spans="1:17" ht="12.75">
      <c r="A157" s="41" t="s">
        <v>305</v>
      </c>
      <c r="B157" s="91">
        <v>2079</v>
      </c>
      <c r="C157" s="108"/>
      <c r="D157" s="107">
        <f>17.92</f>
        <v>17.92</v>
      </c>
      <c r="E157" s="107"/>
      <c r="F157" s="206">
        <f t="shared" si="48"/>
        <v>17.92</v>
      </c>
      <c r="G157" s="236">
        <f>54.78</f>
        <v>54.78</v>
      </c>
      <c r="H157" s="224"/>
      <c r="I157" s="223">
        <f t="shared" si="49"/>
        <v>72.7</v>
      </c>
      <c r="J157" s="236">
        <f>31.52</f>
        <v>31.52</v>
      </c>
      <c r="K157" s="286"/>
      <c r="L157" s="223">
        <f t="shared" si="50"/>
        <v>104.22</v>
      </c>
      <c r="M157" s="20"/>
      <c r="N157" s="7"/>
      <c r="O157" s="21"/>
      <c r="P157" s="74"/>
      <c r="Q157" s="72"/>
    </row>
    <row r="158" spans="1:17" ht="12.75" hidden="1">
      <c r="A158" s="92" t="s">
        <v>272</v>
      </c>
      <c r="B158" s="91">
        <v>2079</v>
      </c>
      <c r="C158" s="108"/>
      <c r="D158" s="107"/>
      <c r="E158" s="107"/>
      <c r="F158" s="206">
        <f t="shared" si="48"/>
        <v>0</v>
      </c>
      <c r="G158" s="236"/>
      <c r="H158" s="224"/>
      <c r="I158" s="223">
        <f t="shared" si="49"/>
        <v>0</v>
      </c>
      <c r="J158" s="236"/>
      <c r="K158" s="286"/>
      <c r="L158" s="223">
        <f t="shared" si="50"/>
        <v>0</v>
      </c>
      <c r="M158" s="20"/>
      <c r="N158" s="7"/>
      <c r="O158" s="21"/>
      <c r="P158" s="74"/>
      <c r="Q158" s="72"/>
    </row>
    <row r="159" spans="1:17" ht="12.75">
      <c r="A159" s="92" t="s">
        <v>346</v>
      </c>
      <c r="B159" s="91"/>
      <c r="C159" s="108"/>
      <c r="D159" s="107"/>
      <c r="E159" s="107"/>
      <c r="F159" s="206">
        <f t="shared" si="48"/>
        <v>0</v>
      </c>
      <c r="G159" s="236">
        <f>10140</f>
        <v>10140</v>
      </c>
      <c r="H159" s="224"/>
      <c r="I159" s="223">
        <f t="shared" si="49"/>
        <v>10140</v>
      </c>
      <c r="J159" s="236"/>
      <c r="K159" s="286"/>
      <c r="L159" s="223">
        <f t="shared" si="50"/>
        <v>10140</v>
      </c>
      <c r="M159" s="20"/>
      <c r="N159" s="7"/>
      <c r="O159" s="21"/>
      <c r="P159" s="74"/>
      <c r="Q159" s="72"/>
    </row>
    <row r="160" spans="1:17" ht="12.75" hidden="1">
      <c r="A160" s="92" t="s">
        <v>268</v>
      </c>
      <c r="B160" s="91">
        <v>2067</v>
      </c>
      <c r="C160" s="108"/>
      <c r="D160" s="107"/>
      <c r="E160" s="107"/>
      <c r="F160" s="206">
        <f t="shared" si="48"/>
        <v>0</v>
      </c>
      <c r="G160" s="236"/>
      <c r="H160" s="224"/>
      <c r="I160" s="223">
        <f t="shared" si="49"/>
        <v>0</v>
      </c>
      <c r="J160" s="236"/>
      <c r="K160" s="286"/>
      <c r="L160" s="223">
        <f t="shared" si="50"/>
        <v>0</v>
      </c>
      <c r="M160" s="20"/>
      <c r="N160" s="7"/>
      <c r="O160" s="21"/>
      <c r="P160" s="74"/>
      <c r="Q160" s="72"/>
    </row>
    <row r="161" spans="1:17" ht="12.75" hidden="1">
      <c r="A161" s="92" t="s">
        <v>308</v>
      </c>
      <c r="B161" s="91">
        <v>2074</v>
      </c>
      <c r="C161" s="108"/>
      <c r="D161" s="107"/>
      <c r="E161" s="107"/>
      <c r="F161" s="206">
        <f t="shared" si="48"/>
        <v>0</v>
      </c>
      <c r="G161" s="236"/>
      <c r="H161" s="224"/>
      <c r="I161" s="223">
        <f t="shared" si="49"/>
        <v>0</v>
      </c>
      <c r="J161" s="236"/>
      <c r="K161" s="286"/>
      <c r="L161" s="223">
        <f t="shared" si="50"/>
        <v>0</v>
      </c>
      <c r="M161" s="20"/>
      <c r="N161" s="7"/>
      <c r="O161" s="21"/>
      <c r="P161" s="74"/>
      <c r="Q161" s="72"/>
    </row>
    <row r="162" spans="1:17" ht="12.75" hidden="1">
      <c r="A162" s="92" t="s">
        <v>273</v>
      </c>
      <c r="B162" s="91">
        <v>2074</v>
      </c>
      <c r="C162" s="108"/>
      <c r="D162" s="107"/>
      <c r="E162" s="107"/>
      <c r="F162" s="206">
        <f t="shared" si="48"/>
        <v>0</v>
      </c>
      <c r="G162" s="236"/>
      <c r="H162" s="224"/>
      <c r="I162" s="223">
        <f t="shared" si="49"/>
        <v>0</v>
      </c>
      <c r="J162" s="236"/>
      <c r="K162" s="286"/>
      <c r="L162" s="223">
        <f t="shared" si="50"/>
        <v>0</v>
      </c>
      <c r="M162" s="20"/>
      <c r="N162" s="7"/>
      <c r="O162" s="21"/>
      <c r="P162" s="74"/>
      <c r="Q162" s="72"/>
    </row>
    <row r="163" spans="1:17" ht="12.75">
      <c r="A163" s="41" t="s">
        <v>307</v>
      </c>
      <c r="B163" s="91">
        <v>2071</v>
      </c>
      <c r="C163" s="108"/>
      <c r="D163" s="107">
        <f>4808.32</f>
        <v>4808.32</v>
      </c>
      <c r="E163" s="107"/>
      <c r="F163" s="206">
        <f t="shared" si="48"/>
        <v>4808.32</v>
      </c>
      <c r="G163" s="236"/>
      <c r="H163" s="224"/>
      <c r="I163" s="223">
        <f t="shared" si="49"/>
        <v>4808.32</v>
      </c>
      <c r="J163" s="236"/>
      <c r="K163" s="286"/>
      <c r="L163" s="223">
        <f t="shared" si="50"/>
        <v>4808.32</v>
      </c>
      <c r="M163" s="20"/>
      <c r="N163" s="7"/>
      <c r="O163" s="21"/>
      <c r="P163" s="74"/>
      <c r="Q163" s="72"/>
    </row>
    <row r="164" spans="1:17" ht="12.75" hidden="1">
      <c r="A164" s="92" t="s">
        <v>309</v>
      </c>
      <c r="B164" s="91"/>
      <c r="C164" s="108"/>
      <c r="D164" s="107"/>
      <c r="E164" s="107"/>
      <c r="F164" s="206">
        <f t="shared" si="48"/>
        <v>0</v>
      </c>
      <c r="G164" s="236"/>
      <c r="H164" s="224"/>
      <c r="I164" s="223">
        <f t="shared" si="49"/>
        <v>0</v>
      </c>
      <c r="J164" s="236"/>
      <c r="K164" s="286"/>
      <c r="L164" s="223">
        <f t="shared" si="50"/>
        <v>0</v>
      </c>
      <c r="M164" s="20"/>
      <c r="N164" s="7"/>
      <c r="O164" s="21"/>
      <c r="P164" s="74"/>
      <c r="Q164" s="72"/>
    </row>
    <row r="165" spans="1:17" ht="12.75">
      <c r="A165" s="92" t="s">
        <v>306</v>
      </c>
      <c r="B165" s="91"/>
      <c r="C165" s="108"/>
      <c r="D165" s="107">
        <f>1600</f>
        <v>1600</v>
      </c>
      <c r="E165" s="107"/>
      <c r="F165" s="206">
        <f t="shared" si="48"/>
        <v>1600</v>
      </c>
      <c r="G165" s="236"/>
      <c r="H165" s="224"/>
      <c r="I165" s="223">
        <f t="shared" si="49"/>
        <v>1600</v>
      </c>
      <c r="J165" s="236"/>
      <c r="K165" s="286"/>
      <c r="L165" s="223">
        <f t="shared" si="50"/>
        <v>1600</v>
      </c>
      <c r="M165" s="20"/>
      <c r="N165" s="7"/>
      <c r="O165" s="21"/>
      <c r="P165" s="74"/>
      <c r="Q165" s="72"/>
    </row>
    <row r="166" spans="1:17" ht="12.75" hidden="1">
      <c r="A166" s="92" t="s">
        <v>310</v>
      </c>
      <c r="B166" s="91">
        <v>2058</v>
      </c>
      <c r="C166" s="108"/>
      <c r="D166" s="107"/>
      <c r="E166" s="107"/>
      <c r="F166" s="206">
        <f t="shared" si="48"/>
        <v>0</v>
      </c>
      <c r="G166" s="236"/>
      <c r="H166" s="224"/>
      <c r="I166" s="223">
        <f t="shared" si="49"/>
        <v>0</v>
      </c>
      <c r="J166" s="236"/>
      <c r="K166" s="286"/>
      <c r="L166" s="223">
        <f t="shared" si="50"/>
        <v>0</v>
      </c>
      <c r="M166" s="20"/>
      <c r="N166" s="7"/>
      <c r="O166" s="21"/>
      <c r="P166" s="74"/>
      <c r="Q166" s="72"/>
    </row>
    <row r="167" spans="1:17" ht="12.75" hidden="1">
      <c r="A167" s="92" t="s">
        <v>335</v>
      </c>
      <c r="B167" s="91"/>
      <c r="C167" s="108"/>
      <c r="D167" s="107"/>
      <c r="E167" s="107"/>
      <c r="F167" s="206">
        <f t="shared" si="48"/>
        <v>0</v>
      </c>
      <c r="G167" s="236"/>
      <c r="H167" s="224"/>
      <c r="I167" s="223">
        <f t="shared" si="49"/>
        <v>0</v>
      </c>
      <c r="J167" s="236"/>
      <c r="K167" s="286"/>
      <c r="L167" s="223">
        <f t="shared" si="50"/>
        <v>0</v>
      </c>
      <c r="M167" s="20"/>
      <c r="N167" s="7"/>
      <c r="O167" s="21"/>
      <c r="P167" s="74"/>
      <c r="Q167" s="72"/>
    </row>
    <row r="168" spans="1:17" ht="12.75">
      <c r="A168" s="32" t="s">
        <v>76</v>
      </c>
      <c r="B168" s="91"/>
      <c r="C168" s="108">
        <v>1150</v>
      </c>
      <c r="D168" s="107">
        <f>900.16+500+1051.4+94.65+1404.09+275.49</f>
        <v>4225.79</v>
      </c>
      <c r="E168" s="107"/>
      <c r="F168" s="206">
        <f t="shared" si="48"/>
        <v>5375.79</v>
      </c>
      <c r="G168" s="236">
        <f>135.42+37+300+16.99+288.83+45.74</f>
        <v>823.98</v>
      </c>
      <c r="H168" s="224"/>
      <c r="I168" s="223">
        <f t="shared" si="49"/>
        <v>6199.77</v>
      </c>
      <c r="J168" s="236">
        <f>778.62+2.24+180.48+17.52+297.85</f>
        <v>1276.71</v>
      </c>
      <c r="K168" s="286"/>
      <c r="L168" s="223">
        <f t="shared" si="50"/>
        <v>7476.4800000000005</v>
      </c>
      <c r="M168" s="20"/>
      <c r="N168" s="7"/>
      <c r="O168" s="21"/>
      <c r="P168" s="74"/>
      <c r="Q168" s="72"/>
    </row>
    <row r="169" spans="1:17" ht="12.75">
      <c r="A169" s="39" t="s">
        <v>53</v>
      </c>
      <c r="B169" s="95"/>
      <c r="C169" s="116">
        <f aca="true" t="shared" si="51" ref="C169:Q169">SUM(C171:C178)</f>
        <v>0</v>
      </c>
      <c r="D169" s="117">
        <f t="shared" si="51"/>
        <v>33964.75</v>
      </c>
      <c r="E169" s="117">
        <f t="shared" si="51"/>
        <v>0</v>
      </c>
      <c r="F169" s="210">
        <f t="shared" si="51"/>
        <v>33964.75</v>
      </c>
      <c r="G169" s="267">
        <f t="shared" si="51"/>
        <v>141584.42</v>
      </c>
      <c r="H169" s="252">
        <f t="shared" si="51"/>
        <v>0</v>
      </c>
      <c r="I169" s="230">
        <f t="shared" si="51"/>
        <v>175549.16999999998</v>
      </c>
      <c r="J169" s="267">
        <f t="shared" si="51"/>
        <v>0</v>
      </c>
      <c r="K169" s="297">
        <f t="shared" si="51"/>
        <v>0</v>
      </c>
      <c r="L169" s="230">
        <f t="shared" si="51"/>
        <v>175549.16999999998</v>
      </c>
      <c r="M169" s="116">
        <f t="shared" si="51"/>
        <v>0</v>
      </c>
      <c r="N169" s="116">
        <f t="shared" si="51"/>
        <v>0</v>
      </c>
      <c r="O169" s="116">
        <f t="shared" si="51"/>
        <v>100</v>
      </c>
      <c r="P169" s="116">
        <f t="shared" si="51"/>
        <v>0</v>
      </c>
      <c r="Q169" s="165">
        <f t="shared" si="51"/>
        <v>100</v>
      </c>
    </row>
    <row r="170" spans="1:17" ht="12.75">
      <c r="A170" s="41" t="s">
        <v>26</v>
      </c>
      <c r="B170" s="91"/>
      <c r="C170" s="108"/>
      <c r="D170" s="107"/>
      <c r="E170" s="107"/>
      <c r="F170" s="206"/>
      <c r="G170" s="236"/>
      <c r="H170" s="224"/>
      <c r="I170" s="223"/>
      <c r="J170" s="236"/>
      <c r="K170" s="286"/>
      <c r="L170" s="223"/>
      <c r="M170" s="20"/>
      <c r="N170" s="7"/>
      <c r="O170" s="21"/>
      <c r="P170" s="74"/>
      <c r="Q170" s="72"/>
    </row>
    <row r="171" spans="1:17" ht="12.75">
      <c r="A171" s="41" t="s">
        <v>305</v>
      </c>
      <c r="B171" s="91">
        <v>2079</v>
      </c>
      <c r="C171" s="108"/>
      <c r="D171" s="107">
        <f>10524.88</f>
        <v>10524.88</v>
      </c>
      <c r="E171" s="107"/>
      <c r="F171" s="206">
        <f aca="true" t="shared" si="52" ref="F171:F178">C171+D171+E171</f>
        <v>10524.88</v>
      </c>
      <c r="G171" s="236"/>
      <c r="H171" s="224"/>
      <c r="I171" s="223">
        <f aca="true" t="shared" si="53" ref="I171:I178">F171+G171+H171</f>
        <v>10524.88</v>
      </c>
      <c r="J171" s="236"/>
      <c r="K171" s="286"/>
      <c r="L171" s="223">
        <f aca="true" t="shared" si="54" ref="L171:L178">I171+J171+K171</f>
        <v>10524.88</v>
      </c>
      <c r="M171" s="20"/>
      <c r="N171" s="7"/>
      <c r="O171" s="21"/>
      <c r="P171" s="74"/>
      <c r="Q171" s="72"/>
    </row>
    <row r="172" spans="1:17" ht="12.75" hidden="1">
      <c r="A172" s="92" t="s">
        <v>272</v>
      </c>
      <c r="B172" s="91">
        <v>2079</v>
      </c>
      <c r="C172" s="108"/>
      <c r="D172" s="107"/>
      <c r="E172" s="107"/>
      <c r="F172" s="206">
        <f t="shared" si="52"/>
        <v>0</v>
      </c>
      <c r="G172" s="236"/>
      <c r="H172" s="224"/>
      <c r="I172" s="223">
        <f t="shared" si="53"/>
        <v>0</v>
      </c>
      <c r="J172" s="236"/>
      <c r="K172" s="286"/>
      <c r="L172" s="223">
        <f t="shared" si="54"/>
        <v>0</v>
      </c>
      <c r="M172" s="20"/>
      <c r="N172" s="7"/>
      <c r="O172" s="21"/>
      <c r="P172" s="74"/>
      <c r="Q172" s="72"/>
    </row>
    <row r="173" spans="1:17" ht="12.75">
      <c r="A173" s="92" t="s">
        <v>311</v>
      </c>
      <c r="B173" s="91"/>
      <c r="C173" s="108"/>
      <c r="D173" s="107">
        <f>23302.87</f>
        <v>23302.87</v>
      </c>
      <c r="E173" s="107"/>
      <c r="F173" s="206">
        <f t="shared" si="52"/>
        <v>23302.87</v>
      </c>
      <c r="G173" s="236">
        <f>127.5</f>
        <v>127.5</v>
      </c>
      <c r="H173" s="224"/>
      <c r="I173" s="223">
        <f t="shared" si="53"/>
        <v>23430.37</v>
      </c>
      <c r="J173" s="236"/>
      <c r="K173" s="286"/>
      <c r="L173" s="223">
        <f t="shared" si="54"/>
        <v>23430.37</v>
      </c>
      <c r="M173" s="20"/>
      <c r="N173" s="7"/>
      <c r="O173" s="21"/>
      <c r="P173" s="74"/>
      <c r="Q173" s="72"/>
    </row>
    <row r="174" spans="1:17" ht="12.75">
      <c r="A174" s="92" t="s">
        <v>343</v>
      </c>
      <c r="B174" s="91"/>
      <c r="C174" s="108"/>
      <c r="D174" s="107"/>
      <c r="E174" s="107"/>
      <c r="F174" s="206">
        <f t="shared" si="52"/>
        <v>0</v>
      </c>
      <c r="G174" s="236">
        <f>6293.92</f>
        <v>6293.92</v>
      </c>
      <c r="H174" s="224"/>
      <c r="I174" s="223">
        <f t="shared" si="53"/>
        <v>6293.92</v>
      </c>
      <c r="J174" s="236"/>
      <c r="K174" s="286"/>
      <c r="L174" s="223">
        <f t="shared" si="54"/>
        <v>6293.92</v>
      </c>
      <c r="M174" s="20"/>
      <c r="N174" s="7"/>
      <c r="O174" s="21"/>
      <c r="P174" s="74"/>
      <c r="Q174" s="72"/>
    </row>
    <row r="175" spans="1:17" ht="12.75">
      <c r="A175" s="92" t="s">
        <v>346</v>
      </c>
      <c r="B175" s="91"/>
      <c r="C175" s="108"/>
      <c r="D175" s="107"/>
      <c r="E175" s="107"/>
      <c r="F175" s="206">
        <f t="shared" si="52"/>
        <v>0</v>
      </c>
      <c r="G175" s="236">
        <f>135200</f>
        <v>135200</v>
      </c>
      <c r="H175" s="224"/>
      <c r="I175" s="223">
        <f t="shared" si="53"/>
        <v>135200</v>
      </c>
      <c r="J175" s="236"/>
      <c r="K175" s="286"/>
      <c r="L175" s="223">
        <f t="shared" si="54"/>
        <v>135200</v>
      </c>
      <c r="M175" s="20"/>
      <c r="N175" s="7"/>
      <c r="O175" s="21"/>
      <c r="P175" s="74"/>
      <c r="Q175" s="72"/>
    </row>
    <row r="176" spans="1:17" ht="12.75" hidden="1">
      <c r="A176" s="32" t="s">
        <v>67</v>
      </c>
      <c r="B176" s="91"/>
      <c r="C176" s="108"/>
      <c r="D176" s="107"/>
      <c r="E176" s="107"/>
      <c r="F176" s="206">
        <f t="shared" si="52"/>
        <v>0</v>
      </c>
      <c r="G176" s="236"/>
      <c r="H176" s="224"/>
      <c r="I176" s="223">
        <f t="shared" si="53"/>
        <v>0</v>
      </c>
      <c r="J176" s="236"/>
      <c r="K176" s="286"/>
      <c r="L176" s="223">
        <f t="shared" si="54"/>
        <v>0</v>
      </c>
      <c r="M176" s="20"/>
      <c r="N176" s="7"/>
      <c r="O176" s="21">
        <f>L176+M176+N176</f>
        <v>0</v>
      </c>
      <c r="P176" s="74"/>
      <c r="Q176" s="72">
        <f aca="true" t="shared" si="55" ref="Q176:Q229">O176+P176</f>
        <v>0</v>
      </c>
    </row>
    <row r="177" spans="1:17" ht="12.75" hidden="1">
      <c r="A177" s="32" t="s">
        <v>54</v>
      </c>
      <c r="B177" s="91"/>
      <c r="C177" s="108"/>
      <c r="D177" s="107"/>
      <c r="E177" s="107"/>
      <c r="F177" s="206">
        <f t="shared" si="52"/>
        <v>0</v>
      </c>
      <c r="G177" s="236"/>
      <c r="H177" s="224"/>
      <c r="I177" s="223">
        <f t="shared" si="53"/>
        <v>0</v>
      </c>
      <c r="J177" s="236"/>
      <c r="K177" s="286"/>
      <c r="L177" s="223">
        <f t="shared" si="54"/>
        <v>0</v>
      </c>
      <c r="M177" s="20"/>
      <c r="N177" s="7"/>
      <c r="O177" s="21">
        <f>L177+M177+N177</f>
        <v>0</v>
      </c>
      <c r="P177" s="74"/>
      <c r="Q177" s="72">
        <f t="shared" si="55"/>
        <v>0</v>
      </c>
    </row>
    <row r="178" spans="1:17" ht="12.75">
      <c r="A178" s="35" t="s">
        <v>76</v>
      </c>
      <c r="B178" s="94"/>
      <c r="C178" s="186"/>
      <c r="D178" s="115">
        <f>137</f>
        <v>137</v>
      </c>
      <c r="E178" s="115"/>
      <c r="F178" s="211">
        <f t="shared" si="52"/>
        <v>137</v>
      </c>
      <c r="G178" s="235">
        <f>-37</f>
        <v>-37</v>
      </c>
      <c r="H178" s="253"/>
      <c r="I178" s="231">
        <f t="shared" si="53"/>
        <v>100</v>
      </c>
      <c r="J178" s="235"/>
      <c r="K178" s="289"/>
      <c r="L178" s="231">
        <f t="shared" si="54"/>
        <v>100</v>
      </c>
      <c r="M178" s="24"/>
      <c r="N178" s="9"/>
      <c r="O178" s="25">
        <f>L178+M178+N178</f>
        <v>100</v>
      </c>
      <c r="P178" s="77"/>
      <c r="Q178" s="78">
        <f t="shared" si="55"/>
        <v>100</v>
      </c>
    </row>
    <row r="179" spans="1:17" ht="12.75">
      <c r="A179" s="29" t="s">
        <v>80</v>
      </c>
      <c r="B179" s="95"/>
      <c r="C179" s="105">
        <f aca="true" t="shared" si="56" ref="C179:Q179">C180+C221</f>
        <v>420275.30000000005</v>
      </c>
      <c r="D179" s="106">
        <f t="shared" si="56"/>
        <v>1864828.3899999997</v>
      </c>
      <c r="E179" s="106">
        <f t="shared" si="56"/>
        <v>0</v>
      </c>
      <c r="F179" s="205">
        <f t="shared" si="56"/>
        <v>2285103.69</v>
      </c>
      <c r="G179" s="232">
        <f t="shared" si="56"/>
        <v>7970716.780000001</v>
      </c>
      <c r="H179" s="248">
        <f t="shared" si="56"/>
        <v>0</v>
      </c>
      <c r="I179" s="222">
        <f t="shared" si="56"/>
        <v>10255820.469999995</v>
      </c>
      <c r="J179" s="232">
        <f>J180+J221</f>
        <v>183528.83</v>
      </c>
      <c r="K179" s="285">
        <f>K180+K221</f>
        <v>0</v>
      </c>
      <c r="L179" s="222">
        <f>L180+L221</f>
        <v>10439349.299999997</v>
      </c>
      <c r="M179" s="105">
        <f t="shared" si="56"/>
        <v>0</v>
      </c>
      <c r="N179" s="105">
        <f t="shared" si="56"/>
        <v>0</v>
      </c>
      <c r="O179" s="105">
        <f t="shared" si="56"/>
        <v>1106175.45</v>
      </c>
      <c r="P179" s="105">
        <f t="shared" si="56"/>
        <v>0</v>
      </c>
      <c r="Q179" s="159">
        <f t="shared" si="56"/>
        <v>1106175.45</v>
      </c>
    </row>
    <row r="180" spans="1:17" ht="12.75">
      <c r="A180" s="38" t="s">
        <v>49</v>
      </c>
      <c r="B180" s="95"/>
      <c r="C180" s="113">
        <f aca="true" t="shared" si="57" ref="C180:Q180">SUM(C182:C220)</f>
        <v>419535.30000000005</v>
      </c>
      <c r="D180" s="114">
        <f t="shared" si="57"/>
        <v>1854764.6899999997</v>
      </c>
      <c r="E180" s="114">
        <f t="shared" si="57"/>
        <v>0</v>
      </c>
      <c r="F180" s="209">
        <f t="shared" si="57"/>
        <v>2274299.9899999998</v>
      </c>
      <c r="G180" s="233">
        <f t="shared" si="57"/>
        <v>7962759.780000001</v>
      </c>
      <c r="H180" s="251">
        <f t="shared" si="57"/>
        <v>0</v>
      </c>
      <c r="I180" s="229">
        <f t="shared" si="57"/>
        <v>10237059.769999996</v>
      </c>
      <c r="J180" s="233">
        <f>SUM(J182:J220)</f>
        <v>182660.03</v>
      </c>
      <c r="K180" s="290">
        <f>SUM(K182:K220)</f>
        <v>0</v>
      </c>
      <c r="L180" s="229">
        <f>SUM(L182:L220)</f>
        <v>10419719.799999997</v>
      </c>
      <c r="M180" s="113">
        <f t="shared" si="57"/>
        <v>0</v>
      </c>
      <c r="N180" s="113">
        <f t="shared" si="57"/>
        <v>0</v>
      </c>
      <c r="O180" s="113">
        <f t="shared" si="57"/>
        <v>1090550.51</v>
      </c>
      <c r="P180" s="113">
        <f t="shared" si="57"/>
        <v>0</v>
      </c>
      <c r="Q180" s="164">
        <f t="shared" si="57"/>
        <v>1090550.51</v>
      </c>
    </row>
    <row r="181" spans="1:17" ht="12.75">
      <c r="A181" s="30" t="s">
        <v>26</v>
      </c>
      <c r="B181" s="91"/>
      <c r="C181" s="108"/>
      <c r="D181" s="107"/>
      <c r="E181" s="107"/>
      <c r="F181" s="206"/>
      <c r="G181" s="236"/>
      <c r="H181" s="224"/>
      <c r="I181" s="223"/>
      <c r="J181" s="236"/>
      <c r="K181" s="286"/>
      <c r="L181" s="223"/>
      <c r="M181" s="20"/>
      <c r="N181" s="7"/>
      <c r="O181" s="21"/>
      <c r="P181" s="74"/>
      <c r="Q181" s="72"/>
    </row>
    <row r="182" spans="1:17" ht="12.75">
      <c r="A182" s="36" t="s">
        <v>72</v>
      </c>
      <c r="B182" s="91"/>
      <c r="C182" s="108">
        <v>359419.89</v>
      </c>
      <c r="D182" s="107">
        <f>3798.99+18503.4+207+75880.24+6000+490.69</f>
        <v>104880.32</v>
      </c>
      <c r="E182" s="107"/>
      <c r="F182" s="206">
        <f aca="true" t="shared" si="58" ref="F182:F220">C182+D182+E182</f>
        <v>464300.21</v>
      </c>
      <c r="G182" s="236">
        <f>37393.39+750+6402.5</f>
        <v>44545.89</v>
      </c>
      <c r="H182" s="224"/>
      <c r="I182" s="223">
        <f>F182+G182+H182</f>
        <v>508846.10000000003</v>
      </c>
      <c r="J182" s="236">
        <f>98.69+13410+488.88+1139.89+6.5+329.36+114.1</f>
        <v>15587.42</v>
      </c>
      <c r="K182" s="286"/>
      <c r="L182" s="223">
        <f>I182+J182+K182</f>
        <v>524433.52</v>
      </c>
      <c r="M182" s="20"/>
      <c r="N182" s="7"/>
      <c r="O182" s="21">
        <f>L182+M182+N182</f>
        <v>524433.52</v>
      </c>
      <c r="P182" s="74"/>
      <c r="Q182" s="72">
        <f t="shared" si="55"/>
        <v>524433.52</v>
      </c>
    </row>
    <row r="183" spans="1:17" ht="12.75">
      <c r="A183" s="36" t="s">
        <v>262</v>
      </c>
      <c r="B183" s="91">
        <v>33353</v>
      </c>
      <c r="C183" s="108"/>
      <c r="D183" s="107">
        <f>772855.17+772855.17</f>
        <v>1545710.34</v>
      </c>
      <c r="E183" s="107"/>
      <c r="F183" s="206">
        <f t="shared" si="58"/>
        <v>1545710.34</v>
      </c>
      <c r="G183" s="236">
        <f>772855.17+6925868.2+980.4</f>
        <v>7699703.7700000005</v>
      </c>
      <c r="H183" s="224"/>
      <c r="I183" s="223">
        <f aca="true" t="shared" si="59" ref="I183:I218">F183+G183+H183</f>
        <v>9245414.110000001</v>
      </c>
      <c r="J183" s="236">
        <f>7172.57</f>
        <v>7172.57</v>
      </c>
      <c r="K183" s="286"/>
      <c r="L183" s="223">
        <f aca="true" t="shared" si="60" ref="L183:L220">I183+J183+K183</f>
        <v>9252586.680000002</v>
      </c>
      <c r="M183" s="20"/>
      <c r="N183" s="7"/>
      <c r="O183" s="21"/>
      <c r="P183" s="74"/>
      <c r="Q183" s="72"/>
    </row>
    <row r="184" spans="1:17" ht="12.75">
      <c r="A184" s="36" t="s">
        <v>263</v>
      </c>
      <c r="B184" s="91">
        <v>33155</v>
      </c>
      <c r="C184" s="108"/>
      <c r="D184" s="118">
        <f>41253.78+41301.16</f>
        <v>82554.94</v>
      </c>
      <c r="E184" s="107"/>
      <c r="F184" s="206">
        <f t="shared" si="58"/>
        <v>82554.94</v>
      </c>
      <c r="G184" s="236">
        <f>41885.67+149383.17</f>
        <v>191268.84000000003</v>
      </c>
      <c r="H184" s="224"/>
      <c r="I184" s="223">
        <f t="shared" si="59"/>
        <v>273823.78</v>
      </c>
      <c r="J184" s="236">
        <f>136819.92</f>
        <v>136819.92</v>
      </c>
      <c r="K184" s="286"/>
      <c r="L184" s="223">
        <f t="shared" si="60"/>
        <v>410643.70000000007</v>
      </c>
      <c r="M184" s="20"/>
      <c r="N184" s="7"/>
      <c r="O184" s="21">
        <f aca="true" t="shared" si="61" ref="O184:O220">L184+M184+N184</f>
        <v>410643.70000000007</v>
      </c>
      <c r="P184" s="74"/>
      <c r="Q184" s="72">
        <f t="shared" si="55"/>
        <v>410643.70000000007</v>
      </c>
    </row>
    <row r="185" spans="1:17" ht="12.75">
      <c r="A185" s="36" t="s">
        <v>81</v>
      </c>
      <c r="B185" s="91" t="s">
        <v>196</v>
      </c>
      <c r="C185" s="108"/>
      <c r="D185" s="107"/>
      <c r="E185" s="107"/>
      <c r="F185" s="206">
        <f t="shared" si="58"/>
        <v>0</v>
      </c>
      <c r="G185" s="236"/>
      <c r="H185" s="224"/>
      <c r="I185" s="223">
        <f t="shared" si="59"/>
        <v>0</v>
      </c>
      <c r="J185" s="236">
        <f>102.38+330.8</f>
        <v>433.18</v>
      </c>
      <c r="K185" s="286"/>
      <c r="L185" s="223">
        <f t="shared" si="60"/>
        <v>433.18</v>
      </c>
      <c r="M185" s="20"/>
      <c r="N185" s="7"/>
      <c r="O185" s="21">
        <f t="shared" si="61"/>
        <v>433.18</v>
      </c>
      <c r="P185" s="74"/>
      <c r="Q185" s="72">
        <f t="shared" si="55"/>
        <v>433.18</v>
      </c>
    </row>
    <row r="186" spans="1:17" ht="12.75" hidden="1">
      <c r="A186" s="36" t="s">
        <v>129</v>
      </c>
      <c r="B186" s="91"/>
      <c r="C186" s="108"/>
      <c r="D186" s="107"/>
      <c r="E186" s="107"/>
      <c r="F186" s="206">
        <f t="shared" si="58"/>
        <v>0</v>
      </c>
      <c r="G186" s="236"/>
      <c r="H186" s="224"/>
      <c r="I186" s="223">
        <f t="shared" si="59"/>
        <v>0</v>
      </c>
      <c r="J186" s="236"/>
      <c r="K186" s="286"/>
      <c r="L186" s="223">
        <f t="shared" si="60"/>
        <v>0</v>
      </c>
      <c r="M186" s="20"/>
      <c r="N186" s="7"/>
      <c r="O186" s="21">
        <f t="shared" si="61"/>
        <v>0</v>
      </c>
      <c r="P186" s="74"/>
      <c r="Q186" s="72">
        <f t="shared" si="55"/>
        <v>0</v>
      </c>
    </row>
    <row r="187" spans="1:17" ht="12.75" hidden="1">
      <c r="A187" s="36" t="s">
        <v>193</v>
      </c>
      <c r="B187" s="91">
        <v>33215</v>
      </c>
      <c r="C187" s="108"/>
      <c r="D187" s="107"/>
      <c r="E187" s="107"/>
      <c r="F187" s="206">
        <f t="shared" si="58"/>
        <v>0</v>
      </c>
      <c r="G187" s="236"/>
      <c r="H187" s="224"/>
      <c r="I187" s="223">
        <f t="shared" si="59"/>
        <v>0</v>
      </c>
      <c r="J187" s="236"/>
      <c r="K187" s="286"/>
      <c r="L187" s="223">
        <f t="shared" si="60"/>
        <v>0</v>
      </c>
      <c r="M187" s="20"/>
      <c r="N187" s="7"/>
      <c r="O187" s="21">
        <f t="shared" si="61"/>
        <v>0</v>
      </c>
      <c r="P187" s="74"/>
      <c r="Q187" s="72">
        <f t="shared" si="55"/>
        <v>0</v>
      </c>
    </row>
    <row r="188" spans="1:17" ht="12.75" hidden="1">
      <c r="A188" s="36" t="s">
        <v>194</v>
      </c>
      <c r="B188" s="91">
        <v>33457</v>
      </c>
      <c r="C188" s="108"/>
      <c r="D188" s="107"/>
      <c r="E188" s="107"/>
      <c r="F188" s="206">
        <f t="shared" si="58"/>
        <v>0</v>
      </c>
      <c r="G188" s="236"/>
      <c r="H188" s="224"/>
      <c r="I188" s="223">
        <f t="shared" si="59"/>
        <v>0</v>
      </c>
      <c r="J188" s="236"/>
      <c r="K188" s="286"/>
      <c r="L188" s="223">
        <f t="shared" si="60"/>
        <v>0</v>
      </c>
      <c r="M188" s="20"/>
      <c r="N188" s="7"/>
      <c r="O188" s="21">
        <f t="shared" si="61"/>
        <v>0</v>
      </c>
      <c r="P188" s="74"/>
      <c r="Q188" s="72">
        <f t="shared" si="55"/>
        <v>0</v>
      </c>
    </row>
    <row r="189" spans="1:17" ht="12.75" hidden="1">
      <c r="A189" s="53" t="s">
        <v>179</v>
      </c>
      <c r="B189" s="91">
        <v>33052</v>
      </c>
      <c r="C189" s="108"/>
      <c r="D189" s="107"/>
      <c r="E189" s="107"/>
      <c r="F189" s="206">
        <f t="shared" si="58"/>
        <v>0</v>
      </c>
      <c r="G189" s="236"/>
      <c r="H189" s="224"/>
      <c r="I189" s="223">
        <f t="shared" si="59"/>
        <v>0</v>
      </c>
      <c r="J189" s="236"/>
      <c r="K189" s="286"/>
      <c r="L189" s="223">
        <f t="shared" si="60"/>
        <v>0</v>
      </c>
      <c r="M189" s="20"/>
      <c r="N189" s="7"/>
      <c r="O189" s="21">
        <f t="shared" si="61"/>
        <v>0</v>
      </c>
      <c r="P189" s="74"/>
      <c r="Q189" s="72">
        <f t="shared" si="55"/>
        <v>0</v>
      </c>
    </row>
    <row r="190" spans="1:17" ht="12.75" hidden="1">
      <c r="A190" s="53" t="s">
        <v>251</v>
      </c>
      <c r="B190" s="91">
        <v>33076</v>
      </c>
      <c r="C190" s="108"/>
      <c r="D190" s="107"/>
      <c r="E190" s="107"/>
      <c r="F190" s="206">
        <f t="shared" si="58"/>
        <v>0</v>
      </c>
      <c r="G190" s="236"/>
      <c r="H190" s="224"/>
      <c r="I190" s="223">
        <f t="shared" si="59"/>
        <v>0</v>
      </c>
      <c r="J190" s="236"/>
      <c r="K190" s="286"/>
      <c r="L190" s="223">
        <f t="shared" si="60"/>
        <v>0</v>
      </c>
      <c r="M190" s="20"/>
      <c r="N190" s="7"/>
      <c r="O190" s="21"/>
      <c r="P190" s="74"/>
      <c r="Q190" s="72"/>
    </row>
    <row r="191" spans="1:17" ht="12.75" hidden="1">
      <c r="A191" s="53" t="s">
        <v>211</v>
      </c>
      <c r="B191" s="91">
        <v>33069</v>
      </c>
      <c r="C191" s="108"/>
      <c r="D191" s="107"/>
      <c r="E191" s="107"/>
      <c r="F191" s="206">
        <f t="shared" si="58"/>
        <v>0</v>
      </c>
      <c r="G191" s="236"/>
      <c r="H191" s="224"/>
      <c r="I191" s="223">
        <f t="shared" si="59"/>
        <v>0</v>
      </c>
      <c r="J191" s="236"/>
      <c r="K191" s="286"/>
      <c r="L191" s="223">
        <f t="shared" si="60"/>
        <v>0</v>
      </c>
      <c r="M191" s="20"/>
      <c r="N191" s="7"/>
      <c r="O191" s="21"/>
      <c r="P191" s="74"/>
      <c r="Q191" s="72"/>
    </row>
    <row r="192" spans="1:17" ht="12.75" hidden="1">
      <c r="A192" s="53" t="s">
        <v>242</v>
      </c>
      <c r="B192" s="91">
        <v>33070</v>
      </c>
      <c r="C192" s="108"/>
      <c r="D192" s="107"/>
      <c r="E192" s="107"/>
      <c r="F192" s="206">
        <f t="shared" si="58"/>
        <v>0</v>
      </c>
      <c r="G192" s="236"/>
      <c r="H192" s="224"/>
      <c r="I192" s="223">
        <f t="shared" si="59"/>
        <v>0</v>
      </c>
      <c r="J192" s="236"/>
      <c r="K192" s="286"/>
      <c r="L192" s="223">
        <f t="shared" si="60"/>
        <v>0</v>
      </c>
      <c r="M192" s="20"/>
      <c r="N192" s="7"/>
      <c r="O192" s="21"/>
      <c r="P192" s="74"/>
      <c r="Q192" s="72"/>
    </row>
    <row r="193" spans="1:17" ht="12.75" hidden="1">
      <c r="A193" s="36" t="s">
        <v>235</v>
      </c>
      <c r="B193" s="91">
        <v>33071</v>
      </c>
      <c r="C193" s="108"/>
      <c r="D193" s="107"/>
      <c r="E193" s="107"/>
      <c r="F193" s="206">
        <f t="shared" si="58"/>
        <v>0</v>
      </c>
      <c r="G193" s="236"/>
      <c r="H193" s="224"/>
      <c r="I193" s="223">
        <f t="shared" si="59"/>
        <v>0</v>
      </c>
      <c r="J193" s="236"/>
      <c r="K193" s="286"/>
      <c r="L193" s="223">
        <f t="shared" si="60"/>
        <v>0</v>
      </c>
      <c r="M193" s="20"/>
      <c r="N193" s="7"/>
      <c r="O193" s="21">
        <f t="shared" si="61"/>
        <v>0</v>
      </c>
      <c r="P193" s="74"/>
      <c r="Q193" s="72">
        <f t="shared" si="55"/>
        <v>0</v>
      </c>
    </row>
    <row r="194" spans="1:17" ht="12.75" hidden="1">
      <c r="A194" s="36" t="s">
        <v>180</v>
      </c>
      <c r="B194" s="91">
        <v>33050</v>
      </c>
      <c r="C194" s="108"/>
      <c r="D194" s="107"/>
      <c r="E194" s="107"/>
      <c r="F194" s="206">
        <f t="shared" si="58"/>
        <v>0</v>
      </c>
      <c r="G194" s="236"/>
      <c r="H194" s="224"/>
      <c r="I194" s="223">
        <f t="shared" si="59"/>
        <v>0</v>
      </c>
      <c r="J194" s="236"/>
      <c r="K194" s="286"/>
      <c r="L194" s="223">
        <f t="shared" si="60"/>
        <v>0</v>
      </c>
      <c r="M194" s="20"/>
      <c r="N194" s="7"/>
      <c r="O194" s="21">
        <f t="shared" si="61"/>
        <v>0</v>
      </c>
      <c r="P194" s="74"/>
      <c r="Q194" s="72">
        <f t="shared" si="55"/>
        <v>0</v>
      </c>
    </row>
    <row r="195" spans="1:17" ht="12.75" hidden="1">
      <c r="A195" s="36" t="s">
        <v>139</v>
      </c>
      <c r="B195" s="91">
        <v>33435</v>
      </c>
      <c r="C195" s="108"/>
      <c r="D195" s="107"/>
      <c r="E195" s="107"/>
      <c r="F195" s="206">
        <f t="shared" si="58"/>
        <v>0</v>
      </c>
      <c r="G195" s="236"/>
      <c r="H195" s="224"/>
      <c r="I195" s="223">
        <f t="shared" si="59"/>
        <v>0</v>
      </c>
      <c r="J195" s="236"/>
      <c r="K195" s="286"/>
      <c r="L195" s="223">
        <f t="shared" si="60"/>
        <v>0</v>
      </c>
      <c r="M195" s="20"/>
      <c r="N195" s="7"/>
      <c r="O195" s="21">
        <f t="shared" si="61"/>
        <v>0</v>
      </c>
      <c r="P195" s="74"/>
      <c r="Q195" s="72">
        <f t="shared" si="55"/>
        <v>0</v>
      </c>
    </row>
    <row r="196" spans="1:17" ht="12.75" hidden="1">
      <c r="A196" s="36" t="s">
        <v>199</v>
      </c>
      <c r="B196" s="91">
        <v>33049</v>
      </c>
      <c r="C196" s="108"/>
      <c r="D196" s="107"/>
      <c r="E196" s="107"/>
      <c r="F196" s="206">
        <f t="shared" si="58"/>
        <v>0</v>
      </c>
      <c r="G196" s="236"/>
      <c r="H196" s="224"/>
      <c r="I196" s="223">
        <f t="shared" si="59"/>
        <v>0</v>
      </c>
      <c r="J196" s="236"/>
      <c r="K196" s="286"/>
      <c r="L196" s="223">
        <f t="shared" si="60"/>
        <v>0</v>
      </c>
      <c r="M196" s="20"/>
      <c r="N196" s="7"/>
      <c r="O196" s="21"/>
      <c r="P196" s="74"/>
      <c r="Q196" s="72"/>
    </row>
    <row r="197" spans="1:17" ht="12.75" hidden="1">
      <c r="A197" s="36" t="s">
        <v>181</v>
      </c>
      <c r="B197" s="91">
        <v>33044</v>
      </c>
      <c r="C197" s="108"/>
      <c r="D197" s="107"/>
      <c r="E197" s="107"/>
      <c r="F197" s="206">
        <f t="shared" si="58"/>
        <v>0</v>
      </c>
      <c r="G197" s="236"/>
      <c r="H197" s="224"/>
      <c r="I197" s="223">
        <f t="shared" si="59"/>
        <v>0</v>
      </c>
      <c r="J197" s="236"/>
      <c r="K197" s="286"/>
      <c r="L197" s="223">
        <f t="shared" si="60"/>
        <v>0</v>
      </c>
      <c r="M197" s="20"/>
      <c r="N197" s="7"/>
      <c r="O197" s="21">
        <f t="shared" si="61"/>
        <v>0</v>
      </c>
      <c r="P197" s="74"/>
      <c r="Q197" s="72">
        <f t="shared" si="55"/>
        <v>0</v>
      </c>
    </row>
    <row r="198" spans="1:17" ht="12.75" hidden="1">
      <c r="A198" s="36" t="s">
        <v>185</v>
      </c>
      <c r="B198" s="91">
        <v>33024</v>
      </c>
      <c r="C198" s="108"/>
      <c r="D198" s="107"/>
      <c r="E198" s="107"/>
      <c r="F198" s="206">
        <f t="shared" si="58"/>
        <v>0</v>
      </c>
      <c r="G198" s="236"/>
      <c r="H198" s="224"/>
      <c r="I198" s="223">
        <f t="shared" si="59"/>
        <v>0</v>
      </c>
      <c r="J198" s="236"/>
      <c r="K198" s="286"/>
      <c r="L198" s="223">
        <f t="shared" si="60"/>
        <v>0</v>
      </c>
      <c r="M198" s="20"/>
      <c r="N198" s="7"/>
      <c r="O198" s="21"/>
      <c r="P198" s="74"/>
      <c r="Q198" s="72"/>
    </row>
    <row r="199" spans="1:17" ht="12.75" hidden="1">
      <c r="A199" s="53" t="s">
        <v>144</v>
      </c>
      <c r="B199" s="91">
        <v>33018</v>
      </c>
      <c r="C199" s="108"/>
      <c r="D199" s="107"/>
      <c r="E199" s="107"/>
      <c r="F199" s="206">
        <f t="shared" si="58"/>
        <v>0</v>
      </c>
      <c r="G199" s="236"/>
      <c r="H199" s="224"/>
      <c r="I199" s="223">
        <f t="shared" si="59"/>
        <v>0</v>
      </c>
      <c r="J199" s="236"/>
      <c r="K199" s="286"/>
      <c r="L199" s="223">
        <f t="shared" si="60"/>
        <v>0</v>
      </c>
      <c r="M199" s="20"/>
      <c r="N199" s="7"/>
      <c r="O199" s="21">
        <f t="shared" si="61"/>
        <v>0</v>
      </c>
      <c r="P199" s="74"/>
      <c r="Q199" s="72">
        <f t="shared" si="55"/>
        <v>0</v>
      </c>
    </row>
    <row r="200" spans="1:17" ht="12.75">
      <c r="A200" s="36" t="s">
        <v>334</v>
      </c>
      <c r="B200" s="91">
        <v>33083</v>
      </c>
      <c r="C200" s="108"/>
      <c r="D200" s="107"/>
      <c r="E200" s="107"/>
      <c r="F200" s="206">
        <f t="shared" si="58"/>
        <v>0</v>
      </c>
      <c r="G200" s="236">
        <f>480.4-248.2</f>
        <v>232.2</v>
      </c>
      <c r="H200" s="224"/>
      <c r="I200" s="223">
        <f t="shared" si="59"/>
        <v>232.2</v>
      </c>
      <c r="J200" s="236"/>
      <c r="K200" s="286"/>
      <c r="L200" s="223">
        <f t="shared" si="60"/>
        <v>232.2</v>
      </c>
      <c r="M200" s="20"/>
      <c r="N200" s="7"/>
      <c r="O200" s="21">
        <f t="shared" si="61"/>
        <v>232.2</v>
      </c>
      <c r="P200" s="74"/>
      <c r="Q200" s="72">
        <f t="shared" si="55"/>
        <v>232.2</v>
      </c>
    </row>
    <row r="201" spans="1:17" ht="12.75" hidden="1">
      <c r="A201" s="53" t="s">
        <v>163</v>
      </c>
      <c r="B201" s="91">
        <v>33160</v>
      </c>
      <c r="C201" s="108"/>
      <c r="D201" s="107"/>
      <c r="E201" s="107"/>
      <c r="F201" s="206">
        <f t="shared" si="58"/>
        <v>0</v>
      </c>
      <c r="G201" s="236"/>
      <c r="H201" s="224"/>
      <c r="I201" s="223">
        <f t="shared" si="59"/>
        <v>0</v>
      </c>
      <c r="J201" s="236"/>
      <c r="K201" s="286"/>
      <c r="L201" s="223">
        <f t="shared" si="60"/>
        <v>0</v>
      </c>
      <c r="M201" s="20"/>
      <c r="N201" s="7"/>
      <c r="O201" s="21">
        <f t="shared" si="61"/>
        <v>0</v>
      </c>
      <c r="P201" s="74"/>
      <c r="Q201" s="72">
        <f t="shared" si="55"/>
        <v>0</v>
      </c>
    </row>
    <row r="202" spans="1:17" ht="12.75">
      <c r="A202" s="53" t="s">
        <v>332</v>
      </c>
      <c r="B202" s="91">
        <v>33087</v>
      </c>
      <c r="C202" s="108"/>
      <c r="D202" s="107"/>
      <c r="E202" s="107"/>
      <c r="F202" s="206">
        <f t="shared" si="58"/>
        <v>0</v>
      </c>
      <c r="G202" s="236">
        <f>13698.4</f>
        <v>13698.4</v>
      </c>
      <c r="H202" s="224"/>
      <c r="I202" s="223">
        <f t="shared" si="59"/>
        <v>13698.4</v>
      </c>
      <c r="J202" s="236"/>
      <c r="K202" s="286"/>
      <c r="L202" s="223">
        <f t="shared" si="60"/>
        <v>13698.4</v>
      </c>
      <c r="M202" s="20"/>
      <c r="N202" s="7"/>
      <c r="O202" s="21">
        <f t="shared" si="61"/>
        <v>13698.4</v>
      </c>
      <c r="P202" s="74"/>
      <c r="Q202" s="72">
        <f t="shared" si="55"/>
        <v>13698.4</v>
      </c>
    </row>
    <row r="203" spans="1:17" ht="12.75">
      <c r="A203" s="53" t="s">
        <v>341</v>
      </c>
      <c r="B203" s="91">
        <v>33087</v>
      </c>
      <c r="C203" s="108"/>
      <c r="D203" s="107"/>
      <c r="E203" s="107"/>
      <c r="F203" s="206">
        <f t="shared" si="58"/>
        <v>0</v>
      </c>
      <c r="G203" s="236">
        <f>32526</f>
        <v>32526</v>
      </c>
      <c r="H203" s="224"/>
      <c r="I203" s="223">
        <f t="shared" si="59"/>
        <v>32526</v>
      </c>
      <c r="J203" s="236"/>
      <c r="K203" s="286"/>
      <c r="L203" s="223">
        <f t="shared" si="60"/>
        <v>32526</v>
      </c>
      <c r="M203" s="20"/>
      <c r="N203" s="7"/>
      <c r="O203" s="21"/>
      <c r="P203" s="74"/>
      <c r="Q203" s="72"/>
    </row>
    <row r="204" spans="1:17" ht="12.75">
      <c r="A204" s="53" t="s">
        <v>321</v>
      </c>
      <c r="B204" s="91">
        <v>33086</v>
      </c>
      <c r="C204" s="108"/>
      <c r="D204" s="107">
        <f>18081.7</f>
        <v>18081.7</v>
      </c>
      <c r="E204" s="107"/>
      <c r="F204" s="206">
        <f t="shared" si="58"/>
        <v>18081.7</v>
      </c>
      <c r="G204" s="236"/>
      <c r="H204" s="224"/>
      <c r="I204" s="223">
        <f t="shared" si="59"/>
        <v>18081.7</v>
      </c>
      <c r="J204" s="236"/>
      <c r="K204" s="286"/>
      <c r="L204" s="223">
        <f t="shared" si="60"/>
        <v>18081.7</v>
      </c>
      <c r="M204" s="20"/>
      <c r="N204" s="7"/>
      <c r="O204" s="21">
        <f t="shared" si="61"/>
        <v>18081.7</v>
      </c>
      <c r="P204" s="74"/>
      <c r="Q204" s="72">
        <f t="shared" si="55"/>
        <v>18081.7</v>
      </c>
    </row>
    <row r="205" spans="1:17" ht="12.75">
      <c r="A205" s="53" t="s">
        <v>333</v>
      </c>
      <c r="B205" s="91">
        <v>33088</v>
      </c>
      <c r="C205" s="108"/>
      <c r="D205" s="107"/>
      <c r="E205" s="107"/>
      <c r="F205" s="206">
        <f t="shared" si="58"/>
        <v>0</v>
      </c>
      <c r="G205" s="236">
        <f>21681</f>
        <v>21681</v>
      </c>
      <c r="H205" s="224"/>
      <c r="I205" s="223">
        <f t="shared" si="59"/>
        <v>21681</v>
      </c>
      <c r="J205" s="236"/>
      <c r="K205" s="286"/>
      <c r="L205" s="223">
        <f t="shared" si="60"/>
        <v>21681</v>
      </c>
      <c r="M205" s="20"/>
      <c r="N205" s="7"/>
      <c r="O205" s="21">
        <f t="shared" si="61"/>
        <v>21681</v>
      </c>
      <c r="P205" s="74"/>
      <c r="Q205" s="72">
        <f t="shared" si="55"/>
        <v>21681</v>
      </c>
    </row>
    <row r="206" spans="1:17" ht="12.75" hidden="1">
      <c r="A206" s="36" t="s">
        <v>82</v>
      </c>
      <c r="B206" s="91">
        <v>33025</v>
      </c>
      <c r="C206" s="108"/>
      <c r="D206" s="107"/>
      <c r="E206" s="107"/>
      <c r="F206" s="206">
        <f t="shared" si="58"/>
        <v>0</v>
      </c>
      <c r="G206" s="236"/>
      <c r="H206" s="224"/>
      <c r="I206" s="223">
        <f t="shared" si="59"/>
        <v>0</v>
      </c>
      <c r="J206" s="236"/>
      <c r="K206" s="286"/>
      <c r="L206" s="223">
        <f t="shared" si="60"/>
        <v>0</v>
      </c>
      <c r="M206" s="20"/>
      <c r="N206" s="7"/>
      <c r="O206" s="21">
        <f t="shared" si="61"/>
        <v>0</v>
      </c>
      <c r="P206" s="74"/>
      <c r="Q206" s="72">
        <f t="shared" si="55"/>
        <v>0</v>
      </c>
    </row>
    <row r="207" spans="1:17" ht="12.75" hidden="1">
      <c r="A207" s="36" t="s">
        <v>152</v>
      </c>
      <c r="B207" s="91">
        <v>33038</v>
      </c>
      <c r="C207" s="108"/>
      <c r="D207" s="107"/>
      <c r="E207" s="107"/>
      <c r="F207" s="206">
        <f t="shared" si="58"/>
        <v>0</v>
      </c>
      <c r="G207" s="236"/>
      <c r="H207" s="224"/>
      <c r="I207" s="223">
        <f t="shared" si="59"/>
        <v>0</v>
      </c>
      <c r="J207" s="236"/>
      <c r="K207" s="286"/>
      <c r="L207" s="223">
        <f t="shared" si="60"/>
        <v>0</v>
      </c>
      <c r="M207" s="20"/>
      <c r="N207" s="7"/>
      <c r="O207" s="21">
        <f t="shared" si="61"/>
        <v>0</v>
      </c>
      <c r="P207" s="74"/>
      <c r="Q207" s="72">
        <f t="shared" si="55"/>
        <v>0</v>
      </c>
    </row>
    <row r="208" spans="1:17" ht="13.5" thickBot="1">
      <c r="A208" s="314" t="s">
        <v>336</v>
      </c>
      <c r="B208" s="130">
        <v>13305</v>
      </c>
      <c r="C208" s="188"/>
      <c r="D208" s="131"/>
      <c r="E208" s="131"/>
      <c r="F208" s="212">
        <f t="shared" si="58"/>
        <v>0</v>
      </c>
      <c r="G208" s="310">
        <f>1290.41+645.2</f>
        <v>1935.6100000000001</v>
      </c>
      <c r="H208" s="311"/>
      <c r="I208" s="312">
        <f t="shared" si="59"/>
        <v>1935.6100000000001</v>
      </c>
      <c r="J208" s="310">
        <f>4752.48</f>
        <v>4752.48</v>
      </c>
      <c r="K208" s="313"/>
      <c r="L208" s="312">
        <f t="shared" si="60"/>
        <v>6688.09</v>
      </c>
      <c r="M208" s="20"/>
      <c r="N208" s="7"/>
      <c r="O208" s="21"/>
      <c r="P208" s="74"/>
      <c r="Q208" s="72"/>
    </row>
    <row r="209" spans="1:17" ht="12.75">
      <c r="A209" s="36" t="s">
        <v>355</v>
      </c>
      <c r="B209" s="91">
        <v>29031</v>
      </c>
      <c r="C209" s="108"/>
      <c r="D209" s="107"/>
      <c r="E209" s="107"/>
      <c r="F209" s="206"/>
      <c r="G209" s="236"/>
      <c r="H209" s="224"/>
      <c r="I209" s="223">
        <f t="shared" si="59"/>
        <v>0</v>
      </c>
      <c r="J209" s="236">
        <f>420.75</f>
        <v>420.75</v>
      </c>
      <c r="K209" s="286"/>
      <c r="L209" s="223">
        <f t="shared" si="60"/>
        <v>420.75</v>
      </c>
      <c r="M209" s="20"/>
      <c r="N209" s="7"/>
      <c r="O209" s="21"/>
      <c r="P209" s="74"/>
      <c r="Q209" s="72"/>
    </row>
    <row r="210" spans="1:17" ht="12.75" hidden="1">
      <c r="A210" s="36" t="s">
        <v>252</v>
      </c>
      <c r="B210" s="91">
        <v>33063</v>
      </c>
      <c r="C210" s="108"/>
      <c r="D210" s="107"/>
      <c r="E210" s="107"/>
      <c r="F210" s="206">
        <f t="shared" si="58"/>
        <v>0</v>
      </c>
      <c r="G210" s="236"/>
      <c r="H210" s="224"/>
      <c r="I210" s="223">
        <f t="shared" si="59"/>
        <v>0</v>
      </c>
      <c r="J210" s="236"/>
      <c r="K210" s="286"/>
      <c r="L210" s="223">
        <f t="shared" si="60"/>
        <v>0</v>
      </c>
      <c r="M210" s="20"/>
      <c r="N210" s="7"/>
      <c r="O210" s="21"/>
      <c r="P210" s="74"/>
      <c r="Q210" s="72"/>
    </row>
    <row r="211" spans="1:17" ht="12.75" hidden="1">
      <c r="A211" s="36" t="s">
        <v>246</v>
      </c>
      <c r="B211" s="91" t="s">
        <v>247</v>
      </c>
      <c r="C211" s="108"/>
      <c r="D211" s="107"/>
      <c r="E211" s="107"/>
      <c r="F211" s="206">
        <f t="shared" si="58"/>
        <v>0</v>
      </c>
      <c r="G211" s="236"/>
      <c r="H211" s="224"/>
      <c r="I211" s="223">
        <f t="shared" si="59"/>
        <v>0</v>
      </c>
      <c r="J211" s="236"/>
      <c r="K211" s="286"/>
      <c r="L211" s="223">
        <f t="shared" si="60"/>
        <v>0</v>
      </c>
      <c r="M211" s="20"/>
      <c r="N211" s="7"/>
      <c r="O211" s="21"/>
      <c r="P211" s="74"/>
      <c r="Q211" s="72"/>
    </row>
    <row r="212" spans="1:17" ht="12.75">
      <c r="A212" s="36" t="s">
        <v>300</v>
      </c>
      <c r="B212" s="91"/>
      <c r="C212" s="108"/>
      <c r="D212" s="107">
        <f>13.8+389.37</f>
        <v>403.17</v>
      </c>
      <c r="E212" s="107"/>
      <c r="F212" s="206">
        <f t="shared" si="58"/>
        <v>403.17</v>
      </c>
      <c r="G212" s="236"/>
      <c r="H212" s="224"/>
      <c r="I212" s="223">
        <f t="shared" si="59"/>
        <v>403.17</v>
      </c>
      <c r="J212" s="236"/>
      <c r="K212" s="286"/>
      <c r="L212" s="223">
        <f t="shared" si="60"/>
        <v>403.17</v>
      </c>
      <c r="M212" s="20"/>
      <c r="N212" s="7"/>
      <c r="O212" s="21"/>
      <c r="P212" s="74"/>
      <c r="Q212" s="72"/>
    </row>
    <row r="213" spans="1:17" ht="12.75">
      <c r="A213" s="36" t="s">
        <v>312</v>
      </c>
      <c r="B213" s="91">
        <v>2054</v>
      </c>
      <c r="C213" s="108"/>
      <c r="D213" s="107">
        <f>2962.92</f>
        <v>2962.92</v>
      </c>
      <c r="E213" s="107"/>
      <c r="F213" s="206">
        <f t="shared" si="58"/>
        <v>2962.92</v>
      </c>
      <c r="G213" s="236"/>
      <c r="H213" s="224"/>
      <c r="I213" s="223">
        <f t="shared" si="59"/>
        <v>2962.92</v>
      </c>
      <c r="J213" s="236"/>
      <c r="K213" s="286"/>
      <c r="L213" s="223">
        <f t="shared" si="60"/>
        <v>2962.92</v>
      </c>
      <c r="M213" s="20"/>
      <c r="N213" s="7"/>
      <c r="O213" s="21"/>
      <c r="P213" s="74"/>
      <c r="Q213" s="72"/>
    </row>
    <row r="214" spans="1:17" ht="12.75">
      <c r="A214" s="36" t="s">
        <v>271</v>
      </c>
      <c r="B214" s="91">
        <v>2054</v>
      </c>
      <c r="C214" s="108"/>
      <c r="D214" s="107"/>
      <c r="E214" s="107"/>
      <c r="F214" s="206">
        <f t="shared" si="58"/>
        <v>0</v>
      </c>
      <c r="G214" s="236"/>
      <c r="H214" s="224"/>
      <c r="I214" s="223">
        <f t="shared" si="59"/>
        <v>0</v>
      </c>
      <c r="J214" s="236">
        <f>976.13</f>
        <v>976.13</v>
      </c>
      <c r="K214" s="286"/>
      <c r="L214" s="223">
        <f t="shared" si="60"/>
        <v>976.13</v>
      </c>
      <c r="M214" s="20"/>
      <c r="N214" s="7"/>
      <c r="O214" s="21"/>
      <c r="P214" s="74"/>
      <c r="Q214" s="72"/>
    </row>
    <row r="215" spans="1:17" ht="12.75">
      <c r="A215" s="36" t="s">
        <v>344</v>
      </c>
      <c r="B215" s="91">
        <v>2075</v>
      </c>
      <c r="C215" s="108"/>
      <c r="D215" s="107"/>
      <c r="E215" s="107"/>
      <c r="F215" s="206">
        <f t="shared" si="58"/>
        <v>0</v>
      </c>
      <c r="G215" s="236">
        <f>3064.67</f>
        <v>3064.67</v>
      </c>
      <c r="H215" s="224"/>
      <c r="I215" s="223">
        <f t="shared" si="59"/>
        <v>3064.67</v>
      </c>
      <c r="J215" s="236"/>
      <c r="K215" s="286"/>
      <c r="L215" s="223">
        <f t="shared" si="60"/>
        <v>3064.67</v>
      </c>
      <c r="M215" s="20"/>
      <c r="N215" s="7"/>
      <c r="O215" s="21"/>
      <c r="P215" s="74"/>
      <c r="Q215" s="72"/>
    </row>
    <row r="216" spans="1:17" ht="12.75">
      <c r="A216" s="36" t="s">
        <v>313</v>
      </c>
      <c r="B216" s="91">
        <v>2066</v>
      </c>
      <c r="C216" s="108"/>
      <c r="D216" s="107">
        <f>14775.7</f>
        <v>14775.7</v>
      </c>
      <c r="E216" s="107"/>
      <c r="F216" s="206">
        <f t="shared" si="58"/>
        <v>14775.7</v>
      </c>
      <c r="G216" s="236"/>
      <c r="H216" s="224"/>
      <c r="I216" s="223">
        <f t="shared" si="59"/>
        <v>14775.7</v>
      </c>
      <c r="J216" s="236"/>
      <c r="K216" s="286"/>
      <c r="L216" s="223">
        <f t="shared" si="60"/>
        <v>14775.7</v>
      </c>
      <c r="M216" s="20"/>
      <c r="N216" s="7"/>
      <c r="O216" s="21"/>
      <c r="P216" s="74"/>
      <c r="Q216" s="72"/>
    </row>
    <row r="217" spans="1:17" ht="12.75">
      <c r="A217" s="36" t="s">
        <v>352</v>
      </c>
      <c r="B217" s="91"/>
      <c r="C217" s="108"/>
      <c r="D217" s="107"/>
      <c r="E217" s="107"/>
      <c r="F217" s="206"/>
      <c r="G217" s="236"/>
      <c r="H217" s="224"/>
      <c r="I217" s="223">
        <f t="shared" si="59"/>
        <v>0</v>
      </c>
      <c r="J217" s="236">
        <f>14844.55-147.49</f>
        <v>14697.06</v>
      </c>
      <c r="K217" s="286"/>
      <c r="L217" s="223">
        <f t="shared" si="60"/>
        <v>14697.06</v>
      </c>
      <c r="M217" s="20"/>
      <c r="N217" s="7"/>
      <c r="O217" s="21"/>
      <c r="P217" s="74"/>
      <c r="Q217" s="72"/>
    </row>
    <row r="218" spans="1:17" ht="12.75">
      <c r="A218" s="36" t="s">
        <v>338</v>
      </c>
      <c r="B218" s="91">
        <v>17051</v>
      </c>
      <c r="C218" s="108"/>
      <c r="D218" s="107"/>
      <c r="E218" s="107"/>
      <c r="F218" s="206">
        <f t="shared" si="58"/>
        <v>0</v>
      </c>
      <c r="G218" s="236">
        <f>6.93+7.72+14.14</f>
        <v>28.79</v>
      </c>
      <c r="H218" s="224"/>
      <c r="I218" s="223">
        <f t="shared" si="59"/>
        <v>28.79</v>
      </c>
      <c r="J218" s="236">
        <f>7.93+13.12+18.28</f>
        <v>39.33</v>
      </c>
      <c r="K218" s="286"/>
      <c r="L218" s="223">
        <f t="shared" si="60"/>
        <v>68.12</v>
      </c>
      <c r="M218" s="20"/>
      <c r="N218" s="7"/>
      <c r="O218" s="21"/>
      <c r="P218" s="74"/>
      <c r="Q218" s="72"/>
    </row>
    <row r="219" spans="1:17" ht="12.75">
      <c r="A219" s="36" t="s">
        <v>75</v>
      </c>
      <c r="B219" s="154" t="s">
        <v>244</v>
      </c>
      <c r="C219" s="108">
        <v>6820</v>
      </c>
      <c r="D219" s="107">
        <f>6310.53+7999.21+191.86+35552.53</f>
        <v>50054.13</v>
      </c>
      <c r="E219" s="107"/>
      <c r="F219" s="206">
        <f t="shared" si="58"/>
        <v>56874.13</v>
      </c>
      <c r="G219" s="236">
        <f>-6664+41.66+174.49</f>
        <v>-6447.85</v>
      </c>
      <c r="H219" s="224"/>
      <c r="I219" s="223">
        <f>F219+G219+H219</f>
        <v>50426.28</v>
      </c>
      <c r="J219" s="236">
        <f>315</f>
        <v>315</v>
      </c>
      <c r="K219" s="286"/>
      <c r="L219" s="223">
        <f t="shared" si="60"/>
        <v>50741.28</v>
      </c>
      <c r="M219" s="28"/>
      <c r="N219" s="7"/>
      <c r="O219" s="21">
        <f t="shared" si="61"/>
        <v>50741.28</v>
      </c>
      <c r="P219" s="74"/>
      <c r="Q219" s="72">
        <f t="shared" si="55"/>
        <v>50741.28</v>
      </c>
    </row>
    <row r="220" spans="1:17" ht="12.75">
      <c r="A220" s="36" t="s">
        <v>51</v>
      </c>
      <c r="B220" s="91"/>
      <c r="C220" s="108">
        <v>53295.41</v>
      </c>
      <c r="D220" s="107">
        <f>2000+2184.07+4900-15535.6-207+7000+20000+9000+6000</f>
        <v>35341.47</v>
      </c>
      <c r="E220" s="107"/>
      <c r="F220" s="206">
        <f t="shared" si="58"/>
        <v>88636.88</v>
      </c>
      <c r="G220" s="236">
        <f>-32323.94-1.1-750-6402.5</f>
        <v>-39477.53999999999</v>
      </c>
      <c r="H220" s="224"/>
      <c r="I220" s="223">
        <f>F220+G220+H220</f>
        <v>49159.34000000001</v>
      </c>
      <c r="J220" s="236">
        <f>463.4+1311.9-389.5+180.99-6.5-114.1</f>
        <v>1446.1900000000003</v>
      </c>
      <c r="K220" s="286"/>
      <c r="L220" s="223">
        <f t="shared" si="60"/>
        <v>50605.53000000001</v>
      </c>
      <c r="M220" s="28"/>
      <c r="N220" s="7"/>
      <c r="O220" s="21">
        <f t="shared" si="61"/>
        <v>50605.53000000001</v>
      </c>
      <c r="P220" s="74"/>
      <c r="Q220" s="72">
        <f t="shared" si="55"/>
        <v>50605.53000000001</v>
      </c>
    </row>
    <row r="221" spans="1:17" ht="12.75">
      <c r="A221" s="39" t="s">
        <v>53</v>
      </c>
      <c r="B221" s="95"/>
      <c r="C221" s="116">
        <f>SUM(C223:C229)</f>
        <v>740</v>
      </c>
      <c r="D221" s="117">
        <f aca="true" t="shared" si="62" ref="D221:Q221">SUM(D223:D229)</f>
        <v>10063.7</v>
      </c>
      <c r="E221" s="117">
        <f t="shared" si="62"/>
        <v>0</v>
      </c>
      <c r="F221" s="210">
        <f t="shared" si="62"/>
        <v>10803.7</v>
      </c>
      <c r="G221" s="267">
        <f t="shared" si="62"/>
        <v>7957</v>
      </c>
      <c r="H221" s="252">
        <f t="shared" si="62"/>
        <v>0</v>
      </c>
      <c r="I221" s="230">
        <f t="shared" si="62"/>
        <v>18760.7</v>
      </c>
      <c r="J221" s="267">
        <f t="shared" si="62"/>
        <v>868.8</v>
      </c>
      <c r="K221" s="297">
        <f t="shared" si="62"/>
        <v>0</v>
      </c>
      <c r="L221" s="230">
        <f t="shared" si="62"/>
        <v>19629.5</v>
      </c>
      <c r="M221" s="116">
        <f t="shared" si="62"/>
        <v>0</v>
      </c>
      <c r="N221" s="116">
        <f t="shared" si="62"/>
        <v>0</v>
      </c>
      <c r="O221" s="116">
        <f t="shared" si="62"/>
        <v>15624.940000000002</v>
      </c>
      <c r="P221" s="116">
        <f t="shared" si="62"/>
        <v>0</v>
      </c>
      <c r="Q221" s="165">
        <f t="shared" si="62"/>
        <v>15624.940000000002</v>
      </c>
    </row>
    <row r="222" spans="1:17" ht="12.75">
      <c r="A222" s="34" t="s">
        <v>26</v>
      </c>
      <c r="B222" s="91"/>
      <c r="C222" s="108"/>
      <c r="D222" s="107"/>
      <c r="E222" s="107"/>
      <c r="F222" s="206"/>
      <c r="G222" s="236"/>
      <c r="H222" s="224"/>
      <c r="I222" s="222"/>
      <c r="J222" s="236"/>
      <c r="K222" s="286"/>
      <c r="L222" s="222"/>
      <c r="M222" s="20"/>
      <c r="N222" s="7"/>
      <c r="O222" s="19"/>
      <c r="P222" s="74"/>
      <c r="Q222" s="72"/>
    </row>
    <row r="223" spans="1:17" ht="12.75">
      <c r="A223" s="36" t="s">
        <v>83</v>
      </c>
      <c r="B223" s="91"/>
      <c r="C223" s="108">
        <v>740</v>
      </c>
      <c r="D223" s="107">
        <f>701.01</f>
        <v>701.01</v>
      </c>
      <c r="E223" s="107"/>
      <c r="F223" s="206">
        <f aca="true" t="shared" si="63" ref="F223:F229">C223+D223+E223</f>
        <v>1441.01</v>
      </c>
      <c r="G223" s="236">
        <f>593+700</f>
        <v>1293</v>
      </c>
      <c r="H223" s="224"/>
      <c r="I223" s="223">
        <f aca="true" t="shared" si="64" ref="I223:I229">F223+G223+H223</f>
        <v>2734.01</v>
      </c>
      <c r="J223" s="236">
        <f>173.8+695</f>
        <v>868.8</v>
      </c>
      <c r="K223" s="286"/>
      <c r="L223" s="223">
        <f aca="true" t="shared" si="65" ref="L223:L229">I223+J223+K223</f>
        <v>3602.8100000000004</v>
      </c>
      <c r="M223" s="20"/>
      <c r="N223" s="7"/>
      <c r="O223" s="21">
        <f>L223+M223+N223</f>
        <v>3602.8100000000004</v>
      </c>
      <c r="P223" s="74"/>
      <c r="Q223" s="72">
        <f t="shared" si="55"/>
        <v>3602.8100000000004</v>
      </c>
    </row>
    <row r="224" spans="1:17" ht="12.75" hidden="1">
      <c r="A224" s="36" t="s">
        <v>246</v>
      </c>
      <c r="B224" s="91" t="s">
        <v>248</v>
      </c>
      <c r="C224" s="108"/>
      <c r="D224" s="107"/>
      <c r="E224" s="107"/>
      <c r="F224" s="206">
        <f t="shared" si="63"/>
        <v>0</v>
      </c>
      <c r="G224" s="236"/>
      <c r="H224" s="224"/>
      <c r="I224" s="223">
        <f t="shared" si="64"/>
        <v>0</v>
      </c>
      <c r="J224" s="236"/>
      <c r="K224" s="286"/>
      <c r="L224" s="223">
        <f t="shared" si="65"/>
        <v>0</v>
      </c>
      <c r="M224" s="20"/>
      <c r="N224" s="7"/>
      <c r="O224" s="21"/>
      <c r="P224" s="74"/>
      <c r="Q224" s="72"/>
    </row>
    <row r="225" spans="1:17" ht="12.75">
      <c r="A225" s="36" t="s">
        <v>313</v>
      </c>
      <c r="B225" s="91"/>
      <c r="C225" s="108"/>
      <c r="D225" s="107">
        <f>4004.56</f>
        <v>4004.56</v>
      </c>
      <c r="E225" s="107"/>
      <c r="F225" s="206">
        <f t="shared" si="63"/>
        <v>4004.56</v>
      </c>
      <c r="G225" s="236"/>
      <c r="H225" s="224"/>
      <c r="I225" s="223">
        <f t="shared" si="64"/>
        <v>4004.56</v>
      </c>
      <c r="J225" s="236"/>
      <c r="K225" s="286"/>
      <c r="L225" s="223">
        <f t="shared" si="65"/>
        <v>4004.56</v>
      </c>
      <c r="M225" s="20"/>
      <c r="N225" s="7"/>
      <c r="O225" s="21"/>
      <c r="P225" s="74"/>
      <c r="Q225" s="72"/>
    </row>
    <row r="226" spans="1:17" ht="12.75" hidden="1">
      <c r="A226" s="36" t="s">
        <v>67</v>
      </c>
      <c r="B226" s="91"/>
      <c r="C226" s="108"/>
      <c r="D226" s="107"/>
      <c r="E226" s="107"/>
      <c r="F226" s="206">
        <f t="shared" si="63"/>
        <v>0</v>
      </c>
      <c r="G226" s="236"/>
      <c r="H226" s="224"/>
      <c r="I226" s="223">
        <f t="shared" si="64"/>
        <v>0</v>
      </c>
      <c r="J226" s="236"/>
      <c r="K226" s="286"/>
      <c r="L226" s="223">
        <f t="shared" si="65"/>
        <v>0</v>
      </c>
      <c r="M226" s="20"/>
      <c r="N226" s="7"/>
      <c r="O226" s="21">
        <f>L226+M226+N226</f>
        <v>0</v>
      </c>
      <c r="P226" s="74"/>
      <c r="Q226" s="72">
        <f t="shared" si="55"/>
        <v>0</v>
      </c>
    </row>
    <row r="227" spans="1:17" ht="12.75" hidden="1">
      <c r="A227" s="36" t="s">
        <v>84</v>
      </c>
      <c r="B227" s="91"/>
      <c r="C227" s="108"/>
      <c r="D227" s="107"/>
      <c r="E227" s="107"/>
      <c r="F227" s="206">
        <f t="shared" si="63"/>
        <v>0</v>
      </c>
      <c r="G227" s="236"/>
      <c r="H227" s="224"/>
      <c r="I227" s="223">
        <f t="shared" si="64"/>
        <v>0</v>
      </c>
      <c r="J227" s="236"/>
      <c r="K227" s="286"/>
      <c r="L227" s="223">
        <f t="shared" si="65"/>
        <v>0</v>
      </c>
      <c r="M227" s="20"/>
      <c r="N227" s="7"/>
      <c r="O227" s="21">
        <f>L227+M227+N227</f>
        <v>0</v>
      </c>
      <c r="P227" s="74"/>
      <c r="Q227" s="72">
        <f t="shared" si="55"/>
        <v>0</v>
      </c>
    </row>
    <row r="228" spans="1:17" ht="12.75" hidden="1">
      <c r="A228" s="36" t="s">
        <v>54</v>
      </c>
      <c r="B228" s="91"/>
      <c r="C228" s="108"/>
      <c r="D228" s="107"/>
      <c r="E228" s="107"/>
      <c r="F228" s="206">
        <f t="shared" si="63"/>
        <v>0</v>
      </c>
      <c r="G228" s="236"/>
      <c r="H228" s="224"/>
      <c r="I228" s="223">
        <f t="shared" si="64"/>
        <v>0</v>
      </c>
      <c r="J228" s="236"/>
      <c r="K228" s="291"/>
      <c r="L228" s="223">
        <f t="shared" si="65"/>
        <v>0</v>
      </c>
      <c r="M228" s="20"/>
      <c r="N228" s="7"/>
      <c r="O228" s="21">
        <f>L228+M228+N228</f>
        <v>0</v>
      </c>
      <c r="P228" s="74"/>
      <c r="Q228" s="72">
        <f t="shared" si="55"/>
        <v>0</v>
      </c>
    </row>
    <row r="229" spans="1:17" ht="12.75">
      <c r="A229" s="43" t="s">
        <v>75</v>
      </c>
      <c r="B229" s="94"/>
      <c r="C229" s="186"/>
      <c r="D229" s="115">
        <f>4858.13+500</f>
        <v>5358.13</v>
      </c>
      <c r="E229" s="115"/>
      <c r="F229" s="211">
        <f t="shared" si="63"/>
        <v>5358.13</v>
      </c>
      <c r="G229" s="235">
        <f>6664</f>
        <v>6664</v>
      </c>
      <c r="H229" s="253"/>
      <c r="I229" s="231">
        <f t="shared" si="64"/>
        <v>12022.130000000001</v>
      </c>
      <c r="J229" s="235"/>
      <c r="K229" s="292"/>
      <c r="L229" s="231">
        <f t="shared" si="65"/>
        <v>12022.130000000001</v>
      </c>
      <c r="M229" s="24"/>
      <c r="N229" s="9"/>
      <c r="O229" s="25">
        <f>L229+M229+N229</f>
        <v>12022.130000000001</v>
      </c>
      <c r="P229" s="77"/>
      <c r="Q229" s="78">
        <f t="shared" si="55"/>
        <v>12022.130000000001</v>
      </c>
    </row>
    <row r="230" spans="1:17" ht="12.75">
      <c r="A230" s="29" t="s">
        <v>85</v>
      </c>
      <c r="B230" s="95"/>
      <c r="C230" s="105">
        <f aca="true" t="shared" si="66" ref="C230:Q230">C231+C243</f>
        <v>675790.6</v>
      </c>
      <c r="D230" s="106">
        <f t="shared" si="66"/>
        <v>147005.25</v>
      </c>
      <c r="E230" s="106">
        <f t="shared" si="66"/>
        <v>0</v>
      </c>
      <c r="F230" s="205">
        <f t="shared" si="66"/>
        <v>822795.85</v>
      </c>
      <c r="G230" s="232">
        <f t="shared" si="66"/>
        <v>5424.8</v>
      </c>
      <c r="H230" s="248">
        <f t="shared" si="66"/>
        <v>0</v>
      </c>
      <c r="I230" s="222">
        <f t="shared" si="66"/>
        <v>828220.65</v>
      </c>
      <c r="J230" s="232">
        <f>J231+J243</f>
        <v>548</v>
      </c>
      <c r="K230" s="285">
        <f>K231+K243</f>
        <v>0</v>
      </c>
      <c r="L230" s="222">
        <f>L231+L243</f>
        <v>828768.65</v>
      </c>
      <c r="M230" s="105">
        <f t="shared" si="66"/>
        <v>0</v>
      </c>
      <c r="N230" s="105">
        <f t="shared" si="66"/>
        <v>0</v>
      </c>
      <c r="O230" s="105">
        <f t="shared" si="66"/>
        <v>796001.35</v>
      </c>
      <c r="P230" s="105">
        <f t="shared" si="66"/>
        <v>0</v>
      </c>
      <c r="Q230" s="159">
        <f t="shared" si="66"/>
        <v>796001.35</v>
      </c>
    </row>
    <row r="231" spans="1:17" ht="12.75">
      <c r="A231" s="38" t="s">
        <v>49</v>
      </c>
      <c r="B231" s="95"/>
      <c r="C231" s="113">
        <f aca="true" t="shared" si="67" ref="C231:Q231">SUM(C233:C242)</f>
        <v>675790.6</v>
      </c>
      <c r="D231" s="114">
        <f t="shared" si="67"/>
        <v>121242.75</v>
      </c>
      <c r="E231" s="114">
        <f t="shared" si="67"/>
        <v>0</v>
      </c>
      <c r="F231" s="209">
        <f t="shared" si="67"/>
        <v>797033.35</v>
      </c>
      <c r="G231" s="233">
        <f t="shared" si="67"/>
        <v>4024.8</v>
      </c>
      <c r="H231" s="251">
        <f t="shared" si="67"/>
        <v>0</v>
      </c>
      <c r="I231" s="229">
        <f t="shared" si="67"/>
        <v>801058.15</v>
      </c>
      <c r="J231" s="233">
        <f>SUM(J233:J242)</f>
        <v>548</v>
      </c>
      <c r="K231" s="290">
        <f>SUM(K233:K242)</f>
        <v>0</v>
      </c>
      <c r="L231" s="229">
        <f>SUM(L233:L242)</f>
        <v>801606.15</v>
      </c>
      <c r="M231" s="113">
        <f t="shared" si="67"/>
        <v>0</v>
      </c>
      <c r="N231" s="113">
        <f t="shared" si="67"/>
        <v>0</v>
      </c>
      <c r="O231" s="113">
        <f t="shared" si="67"/>
        <v>796001.35</v>
      </c>
      <c r="P231" s="113">
        <f t="shared" si="67"/>
        <v>0</v>
      </c>
      <c r="Q231" s="164">
        <f t="shared" si="67"/>
        <v>796001.35</v>
      </c>
    </row>
    <row r="232" spans="1:17" ht="12.75">
      <c r="A232" s="34" t="s">
        <v>26</v>
      </c>
      <c r="B232" s="91"/>
      <c r="C232" s="108"/>
      <c r="D232" s="107"/>
      <c r="E232" s="107"/>
      <c r="F232" s="205"/>
      <c r="G232" s="236"/>
      <c r="H232" s="224"/>
      <c r="I232" s="222"/>
      <c r="J232" s="236"/>
      <c r="K232" s="286"/>
      <c r="L232" s="222"/>
      <c r="M232" s="20"/>
      <c r="N232" s="7"/>
      <c r="O232" s="19"/>
      <c r="P232" s="74"/>
      <c r="Q232" s="72"/>
    </row>
    <row r="233" spans="1:17" ht="12.75">
      <c r="A233" s="31" t="s">
        <v>72</v>
      </c>
      <c r="B233" s="91"/>
      <c r="C233" s="108">
        <v>336314.6</v>
      </c>
      <c r="D233" s="107">
        <f>27000+11394.25+27.2</f>
        <v>38421.45</v>
      </c>
      <c r="E233" s="107"/>
      <c r="F233" s="206">
        <f aca="true" t="shared" si="68" ref="F233:F242">C233+D233+E233</f>
        <v>374736.05</v>
      </c>
      <c r="G233" s="236"/>
      <c r="H233" s="224"/>
      <c r="I233" s="223">
        <f aca="true" t="shared" si="69" ref="I233:I242">F233+G233+H233</f>
        <v>374736.05</v>
      </c>
      <c r="J233" s="236">
        <f>200+368</f>
        <v>568</v>
      </c>
      <c r="K233" s="286"/>
      <c r="L233" s="223">
        <f aca="true" t="shared" si="70" ref="L233:L242">I233+J233+K233</f>
        <v>375304.05</v>
      </c>
      <c r="M233" s="20"/>
      <c r="N233" s="7"/>
      <c r="O233" s="21">
        <f aca="true" t="shared" si="71" ref="O233:O242">L233+M233+N233</f>
        <v>375304.05</v>
      </c>
      <c r="P233" s="74"/>
      <c r="Q233" s="72">
        <f>O233+P233</f>
        <v>375304.05</v>
      </c>
    </row>
    <row r="234" spans="1:17" ht="12.75" hidden="1">
      <c r="A234" s="92" t="s">
        <v>191</v>
      </c>
      <c r="B234" s="91"/>
      <c r="C234" s="108"/>
      <c r="D234" s="107"/>
      <c r="E234" s="107"/>
      <c r="F234" s="206">
        <f t="shared" si="68"/>
        <v>0</v>
      </c>
      <c r="G234" s="236"/>
      <c r="H234" s="224"/>
      <c r="I234" s="223">
        <f t="shared" si="69"/>
        <v>0</v>
      </c>
      <c r="J234" s="236"/>
      <c r="K234" s="286"/>
      <c r="L234" s="223"/>
      <c r="M234" s="20"/>
      <c r="N234" s="7"/>
      <c r="O234" s="21"/>
      <c r="P234" s="74"/>
      <c r="Q234" s="72"/>
    </row>
    <row r="235" spans="1:17" ht="12.75">
      <c r="A235" s="36" t="s">
        <v>63</v>
      </c>
      <c r="B235" s="91"/>
      <c r="C235" s="108">
        <v>231476</v>
      </c>
      <c r="D235" s="107">
        <f>60418.83</f>
        <v>60418.83</v>
      </c>
      <c r="E235" s="107"/>
      <c r="F235" s="206">
        <f t="shared" si="68"/>
        <v>291894.83</v>
      </c>
      <c r="G235" s="236"/>
      <c r="H235" s="224">
        <f>1375.23</f>
        <v>1375.23</v>
      </c>
      <c r="I235" s="223">
        <f t="shared" si="69"/>
        <v>293270.06</v>
      </c>
      <c r="J235" s="236">
        <f>-107.41</f>
        <v>-107.41</v>
      </c>
      <c r="K235" s="286"/>
      <c r="L235" s="223">
        <f t="shared" si="70"/>
        <v>293162.65</v>
      </c>
      <c r="M235" s="20"/>
      <c r="N235" s="7"/>
      <c r="O235" s="21">
        <f t="shared" si="71"/>
        <v>293162.65</v>
      </c>
      <c r="P235" s="74"/>
      <c r="Q235" s="72">
        <f>O235+P235</f>
        <v>293162.65</v>
      </c>
    </row>
    <row r="236" spans="1:17" ht="12.75" hidden="1">
      <c r="A236" s="36" t="s">
        <v>158</v>
      </c>
      <c r="B236" s="91"/>
      <c r="C236" s="108">
        <v>0</v>
      </c>
      <c r="D236" s="118"/>
      <c r="E236" s="107"/>
      <c r="F236" s="206">
        <f t="shared" si="68"/>
        <v>0</v>
      </c>
      <c r="G236" s="236"/>
      <c r="H236" s="224"/>
      <c r="I236" s="223">
        <f t="shared" si="69"/>
        <v>0</v>
      </c>
      <c r="J236" s="236"/>
      <c r="K236" s="286"/>
      <c r="L236" s="223"/>
      <c r="M236" s="20"/>
      <c r="N236" s="7"/>
      <c r="O236" s="21"/>
      <c r="P236" s="74"/>
      <c r="Q236" s="72"/>
    </row>
    <row r="237" spans="1:17" ht="12.75">
      <c r="A237" s="36" t="s">
        <v>51</v>
      </c>
      <c r="B237" s="91"/>
      <c r="C237" s="187">
        <v>108000</v>
      </c>
      <c r="D237" s="107">
        <f>21500+599.97</f>
        <v>22099.97</v>
      </c>
      <c r="E237" s="107"/>
      <c r="F237" s="206">
        <f t="shared" si="68"/>
        <v>130099.97</v>
      </c>
      <c r="G237" s="236">
        <f>-1400</f>
        <v>-1400</v>
      </c>
      <c r="H237" s="224">
        <f>-1375.23</f>
        <v>-1375.23</v>
      </c>
      <c r="I237" s="223">
        <f t="shared" si="69"/>
        <v>127324.74</v>
      </c>
      <c r="J237" s="236">
        <f>-200+107.41</f>
        <v>-92.59</v>
      </c>
      <c r="K237" s="286"/>
      <c r="L237" s="223">
        <f t="shared" si="70"/>
        <v>127232.15000000001</v>
      </c>
      <c r="M237" s="20"/>
      <c r="N237" s="7"/>
      <c r="O237" s="21">
        <f t="shared" si="71"/>
        <v>127232.15000000001</v>
      </c>
      <c r="P237" s="74"/>
      <c r="Q237" s="72">
        <f>O237+P237</f>
        <v>127232.15000000001</v>
      </c>
    </row>
    <row r="238" spans="1:17" ht="12.75">
      <c r="A238" s="36" t="s">
        <v>76</v>
      </c>
      <c r="B238" s="91"/>
      <c r="C238" s="187"/>
      <c r="D238" s="107">
        <f>302.5</f>
        <v>302.5</v>
      </c>
      <c r="E238" s="107"/>
      <c r="F238" s="206">
        <f t="shared" si="68"/>
        <v>302.5</v>
      </c>
      <c r="G238" s="236"/>
      <c r="H238" s="224"/>
      <c r="I238" s="223">
        <f t="shared" si="69"/>
        <v>302.5</v>
      </c>
      <c r="J238" s="236"/>
      <c r="K238" s="286"/>
      <c r="L238" s="223">
        <f t="shared" si="70"/>
        <v>302.5</v>
      </c>
      <c r="M238" s="20"/>
      <c r="N238" s="7"/>
      <c r="O238" s="21">
        <f t="shared" si="71"/>
        <v>302.5</v>
      </c>
      <c r="P238" s="74"/>
      <c r="Q238" s="72">
        <f>O238+P238</f>
        <v>302.5</v>
      </c>
    </row>
    <row r="239" spans="1:17" ht="12.75">
      <c r="A239" s="53" t="s">
        <v>353</v>
      </c>
      <c r="B239" s="91">
        <v>35028</v>
      </c>
      <c r="C239" s="187"/>
      <c r="D239" s="107"/>
      <c r="E239" s="107"/>
      <c r="F239" s="206">
        <f t="shared" si="68"/>
        <v>0</v>
      </c>
      <c r="G239" s="236"/>
      <c r="H239" s="224"/>
      <c r="I239" s="223">
        <f t="shared" si="69"/>
        <v>0</v>
      </c>
      <c r="J239" s="236">
        <f>180</f>
        <v>180</v>
      </c>
      <c r="K239" s="286"/>
      <c r="L239" s="223">
        <f t="shared" si="70"/>
        <v>180</v>
      </c>
      <c r="M239" s="20"/>
      <c r="N239" s="7"/>
      <c r="O239" s="21"/>
      <c r="P239" s="74"/>
      <c r="Q239" s="72"/>
    </row>
    <row r="240" spans="1:17" ht="12.75">
      <c r="A240" s="36" t="s">
        <v>254</v>
      </c>
      <c r="B240" s="91">
        <v>35018</v>
      </c>
      <c r="C240" s="187"/>
      <c r="D240" s="107"/>
      <c r="E240" s="107"/>
      <c r="F240" s="206">
        <f t="shared" si="68"/>
        <v>0</v>
      </c>
      <c r="G240" s="236">
        <f>1900+3524.8</f>
        <v>5424.8</v>
      </c>
      <c r="H240" s="224"/>
      <c r="I240" s="223">
        <f t="shared" si="69"/>
        <v>5424.8</v>
      </c>
      <c r="J240" s="236"/>
      <c r="K240" s="286"/>
      <c r="L240" s="223">
        <f t="shared" si="70"/>
        <v>5424.8</v>
      </c>
      <c r="M240" s="20"/>
      <c r="N240" s="7"/>
      <c r="O240" s="21"/>
      <c r="P240" s="74"/>
      <c r="Q240" s="72"/>
    </row>
    <row r="241" spans="1:17" ht="12.75" hidden="1">
      <c r="A241" s="36" t="s">
        <v>282</v>
      </c>
      <c r="B241" s="91"/>
      <c r="C241" s="187"/>
      <c r="D241" s="107"/>
      <c r="E241" s="107"/>
      <c r="F241" s="206">
        <f t="shared" si="68"/>
        <v>0</v>
      </c>
      <c r="G241" s="236"/>
      <c r="H241" s="224"/>
      <c r="I241" s="223">
        <f t="shared" si="69"/>
        <v>0</v>
      </c>
      <c r="J241" s="236"/>
      <c r="K241" s="286"/>
      <c r="L241" s="223">
        <f t="shared" si="70"/>
        <v>0</v>
      </c>
      <c r="M241" s="20"/>
      <c r="N241" s="7"/>
      <c r="O241" s="21">
        <f t="shared" si="71"/>
        <v>0</v>
      </c>
      <c r="P241" s="74"/>
      <c r="Q241" s="72">
        <f>O241+P241</f>
        <v>0</v>
      </c>
    </row>
    <row r="242" spans="1:17" ht="12.75" hidden="1">
      <c r="A242" s="36" t="s">
        <v>86</v>
      </c>
      <c r="B242" s="91"/>
      <c r="C242" s="108"/>
      <c r="D242" s="107"/>
      <c r="E242" s="107"/>
      <c r="F242" s="206">
        <f t="shared" si="68"/>
        <v>0</v>
      </c>
      <c r="G242" s="236"/>
      <c r="H242" s="224"/>
      <c r="I242" s="223">
        <f t="shared" si="69"/>
        <v>0</v>
      </c>
      <c r="J242" s="236"/>
      <c r="K242" s="286"/>
      <c r="L242" s="223">
        <f t="shared" si="70"/>
        <v>0</v>
      </c>
      <c r="M242" s="20"/>
      <c r="N242" s="7"/>
      <c r="O242" s="21">
        <f t="shared" si="71"/>
        <v>0</v>
      </c>
      <c r="P242" s="74"/>
      <c r="Q242" s="72">
        <f>O242+P242</f>
        <v>0</v>
      </c>
    </row>
    <row r="243" spans="1:17" ht="12.75">
      <c r="A243" s="38" t="s">
        <v>53</v>
      </c>
      <c r="B243" s="95"/>
      <c r="C243" s="113">
        <f>SUM(C245:C249)</f>
        <v>0</v>
      </c>
      <c r="D243" s="114">
        <f aca="true" t="shared" si="72" ref="D243:Q243">SUM(D245:D249)</f>
        <v>25762.5</v>
      </c>
      <c r="E243" s="114">
        <f t="shared" si="72"/>
        <v>0</v>
      </c>
      <c r="F243" s="209">
        <f t="shared" si="72"/>
        <v>25762.5</v>
      </c>
      <c r="G243" s="233">
        <f t="shared" si="72"/>
        <v>1400</v>
      </c>
      <c r="H243" s="251">
        <f t="shared" si="72"/>
        <v>0</v>
      </c>
      <c r="I243" s="229">
        <f t="shared" si="72"/>
        <v>27162.5</v>
      </c>
      <c r="J243" s="233">
        <f t="shared" si="72"/>
        <v>0</v>
      </c>
      <c r="K243" s="290">
        <f t="shared" si="72"/>
        <v>0</v>
      </c>
      <c r="L243" s="229">
        <f t="shared" si="72"/>
        <v>27162.5</v>
      </c>
      <c r="M243" s="113">
        <f t="shared" si="72"/>
        <v>0</v>
      </c>
      <c r="N243" s="113">
        <f t="shared" si="72"/>
        <v>0</v>
      </c>
      <c r="O243" s="113">
        <f t="shared" si="72"/>
        <v>0</v>
      </c>
      <c r="P243" s="113">
        <f t="shared" si="72"/>
        <v>0</v>
      </c>
      <c r="Q243" s="164">
        <f t="shared" si="72"/>
        <v>0</v>
      </c>
    </row>
    <row r="244" spans="1:17" ht="12.75">
      <c r="A244" s="34" t="s">
        <v>26</v>
      </c>
      <c r="B244" s="91"/>
      <c r="C244" s="108"/>
      <c r="D244" s="107"/>
      <c r="E244" s="107"/>
      <c r="F244" s="206"/>
      <c r="G244" s="236"/>
      <c r="H244" s="224"/>
      <c r="I244" s="223"/>
      <c r="J244" s="236"/>
      <c r="K244" s="286"/>
      <c r="L244" s="223"/>
      <c r="M244" s="20"/>
      <c r="N244" s="7"/>
      <c r="O244" s="21"/>
      <c r="P244" s="74"/>
      <c r="Q244" s="72"/>
    </row>
    <row r="245" spans="1:17" ht="12.75" hidden="1">
      <c r="A245" s="36" t="s">
        <v>54</v>
      </c>
      <c r="B245" s="91"/>
      <c r="C245" s="108">
        <v>0</v>
      </c>
      <c r="D245" s="107"/>
      <c r="E245" s="107"/>
      <c r="F245" s="206">
        <f>C245+D245+E245</f>
        <v>0</v>
      </c>
      <c r="G245" s="236"/>
      <c r="H245" s="224"/>
      <c r="I245" s="223"/>
      <c r="J245" s="236"/>
      <c r="K245" s="286"/>
      <c r="L245" s="223"/>
      <c r="M245" s="20"/>
      <c r="N245" s="7"/>
      <c r="O245" s="21"/>
      <c r="P245" s="74"/>
      <c r="Q245" s="72"/>
    </row>
    <row r="246" spans="1:17" ht="12.75">
      <c r="A246" s="43" t="s">
        <v>221</v>
      </c>
      <c r="B246" s="94"/>
      <c r="C246" s="186"/>
      <c r="D246" s="184">
        <f>25762.5</f>
        <v>25762.5</v>
      </c>
      <c r="E246" s="115"/>
      <c r="F246" s="211">
        <f>C246+D246+E246</f>
        <v>25762.5</v>
      </c>
      <c r="G246" s="235">
        <f>1400</f>
        <v>1400</v>
      </c>
      <c r="H246" s="253"/>
      <c r="I246" s="231">
        <f>F246+G246+H246</f>
        <v>27162.5</v>
      </c>
      <c r="J246" s="235"/>
      <c r="K246" s="289"/>
      <c r="L246" s="231">
        <f>I246+J246+K246</f>
        <v>27162.5</v>
      </c>
      <c r="M246" s="20"/>
      <c r="N246" s="7"/>
      <c r="O246" s="21"/>
      <c r="P246" s="74"/>
      <c r="Q246" s="72"/>
    </row>
    <row r="247" spans="1:17" ht="12.75" hidden="1">
      <c r="A247" s="36" t="s">
        <v>67</v>
      </c>
      <c r="B247" s="91"/>
      <c r="C247" s="108"/>
      <c r="D247" s="107"/>
      <c r="E247" s="107"/>
      <c r="F247" s="206">
        <f>C247+D247+E247</f>
        <v>0</v>
      </c>
      <c r="G247" s="236"/>
      <c r="H247" s="224"/>
      <c r="I247" s="223">
        <f>F247+G247+H247</f>
        <v>0</v>
      </c>
      <c r="J247" s="236"/>
      <c r="K247" s="286"/>
      <c r="L247" s="223">
        <f>I247+J247+K247</f>
        <v>0</v>
      </c>
      <c r="M247" s="20"/>
      <c r="N247" s="7"/>
      <c r="O247" s="21">
        <f>L247+M247+N247</f>
        <v>0</v>
      </c>
      <c r="P247" s="74"/>
      <c r="Q247" s="72">
        <f>O247+P247</f>
        <v>0</v>
      </c>
    </row>
    <row r="248" spans="1:17" ht="12.75" hidden="1">
      <c r="A248" s="36" t="s">
        <v>195</v>
      </c>
      <c r="B248" s="91"/>
      <c r="C248" s="108"/>
      <c r="D248" s="107"/>
      <c r="E248" s="107"/>
      <c r="F248" s="206">
        <f>C248+D248+E248</f>
        <v>0</v>
      </c>
      <c r="G248" s="235"/>
      <c r="H248" s="253"/>
      <c r="I248" s="231">
        <f>F248+G248+H248</f>
        <v>0</v>
      </c>
      <c r="J248" s="235"/>
      <c r="K248" s="289"/>
      <c r="L248" s="231">
        <f>I248+J248+K248</f>
        <v>0</v>
      </c>
      <c r="M248" s="24"/>
      <c r="N248" s="9"/>
      <c r="O248" s="25">
        <f>L248+M248+N248</f>
        <v>0</v>
      </c>
      <c r="P248" s="77"/>
      <c r="Q248" s="78">
        <f>O248+P248</f>
        <v>0</v>
      </c>
    </row>
    <row r="249" spans="1:17" ht="12.75" hidden="1">
      <c r="A249" s="35" t="s">
        <v>76</v>
      </c>
      <c r="B249" s="94"/>
      <c r="C249" s="186"/>
      <c r="D249" s="115"/>
      <c r="E249" s="115"/>
      <c r="F249" s="211">
        <f>C249+D249+E249</f>
        <v>0</v>
      </c>
      <c r="G249" s="235"/>
      <c r="H249" s="253"/>
      <c r="I249" s="231">
        <f>F249+G249+H249</f>
        <v>0</v>
      </c>
      <c r="J249" s="235"/>
      <c r="K249" s="289"/>
      <c r="L249" s="231">
        <f>I249+J249+K249</f>
        <v>0</v>
      </c>
      <c r="M249" s="24"/>
      <c r="N249" s="9"/>
      <c r="O249" s="25">
        <f>L249+M249+N249</f>
        <v>0</v>
      </c>
      <c r="P249" s="77"/>
      <c r="Q249" s="78">
        <f>O249+P249</f>
        <v>0</v>
      </c>
    </row>
    <row r="250" spans="1:17" ht="12.75">
      <c r="A250" s="44" t="s">
        <v>288</v>
      </c>
      <c r="B250" s="96"/>
      <c r="C250" s="109">
        <f aca="true" t="shared" si="73" ref="C250:Q250">C251+C266</f>
        <v>262309.5</v>
      </c>
      <c r="D250" s="110">
        <f t="shared" si="73"/>
        <v>25623.950000000004</v>
      </c>
      <c r="E250" s="110">
        <f t="shared" si="73"/>
        <v>0</v>
      </c>
      <c r="F250" s="207">
        <f t="shared" si="73"/>
        <v>287933.45</v>
      </c>
      <c r="G250" s="266">
        <f t="shared" si="73"/>
        <v>6176.759999999999</v>
      </c>
      <c r="H250" s="250">
        <f t="shared" si="73"/>
        <v>0</v>
      </c>
      <c r="I250" s="225">
        <f t="shared" si="73"/>
        <v>294110.21</v>
      </c>
      <c r="J250" s="266">
        <f>J251+J266</f>
        <v>11400.66</v>
      </c>
      <c r="K250" s="288">
        <f>K251+K266</f>
        <v>150</v>
      </c>
      <c r="L250" s="225">
        <f>L251+L266</f>
        <v>305660.87</v>
      </c>
      <c r="M250" s="109">
        <f t="shared" si="73"/>
        <v>0</v>
      </c>
      <c r="N250" s="109">
        <f t="shared" si="73"/>
        <v>0</v>
      </c>
      <c r="O250" s="109">
        <f t="shared" si="73"/>
        <v>304337.75</v>
      </c>
      <c r="P250" s="109">
        <f t="shared" si="73"/>
        <v>0</v>
      </c>
      <c r="Q250" s="162">
        <f t="shared" si="73"/>
        <v>304337.75</v>
      </c>
    </row>
    <row r="251" spans="1:17" ht="12.75">
      <c r="A251" s="38" t="s">
        <v>49</v>
      </c>
      <c r="B251" s="95"/>
      <c r="C251" s="113">
        <f aca="true" t="shared" si="74" ref="C251:Q251">SUM(C253:C265)</f>
        <v>259459.5</v>
      </c>
      <c r="D251" s="114">
        <f t="shared" si="74"/>
        <v>23881.950000000004</v>
      </c>
      <c r="E251" s="114">
        <f t="shared" si="74"/>
        <v>0</v>
      </c>
      <c r="F251" s="209">
        <f t="shared" si="74"/>
        <v>283341.45</v>
      </c>
      <c r="G251" s="233">
        <f t="shared" si="74"/>
        <v>4812.8099999999995</v>
      </c>
      <c r="H251" s="251">
        <f t="shared" si="74"/>
        <v>0</v>
      </c>
      <c r="I251" s="229">
        <f t="shared" si="74"/>
        <v>288154.26</v>
      </c>
      <c r="J251" s="233">
        <f>SUM(J253:J265)</f>
        <v>7750.66</v>
      </c>
      <c r="K251" s="290">
        <f>SUM(K253:K265)</f>
        <v>150</v>
      </c>
      <c r="L251" s="229">
        <f>SUM(L253:L265)</f>
        <v>296054.92</v>
      </c>
      <c r="M251" s="113">
        <f t="shared" si="74"/>
        <v>0</v>
      </c>
      <c r="N251" s="113">
        <f t="shared" si="74"/>
        <v>0</v>
      </c>
      <c r="O251" s="113">
        <f t="shared" si="74"/>
        <v>294731.8</v>
      </c>
      <c r="P251" s="113">
        <f t="shared" si="74"/>
        <v>0</v>
      </c>
      <c r="Q251" s="164">
        <f t="shared" si="74"/>
        <v>294731.8</v>
      </c>
    </row>
    <row r="252" spans="1:17" ht="12.75">
      <c r="A252" s="34" t="s">
        <v>26</v>
      </c>
      <c r="B252" s="91"/>
      <c r="C252" s="108"/>
      <c r="D252" s="107"/>
      <c r="E252" s="107"/>
      <c r="F252" s="206"/>
      <c r="G252" s="236"/>
      <c r="H252" s="224"/>
      <c r="I252" s="223"/>
      <c r="J252" s="236"/>
      <c r="K252" s="286"/>
      <c r="L252" s="223"/>
      <c r="M252" s="20"/>
      <c r="N252" s="7"/>
      <c r="O252" s="21"/>
      <c r="P252" s="74"/>
      <c r="Q252" s="72"/>
    </row>
    <row r="253" spans="1:17" ht="12.75">
      <c r="A253" s="36" t="s">
        <v>72</v>
      </c>
      <c r="B253" s="91"/>
      <c r="C253" s="108">
        <v>214799.6</v>
      </c>
      <c r="D253" s="107">
        <f>1000+1960+6961.7+5380.1+3630.6</f>
        <v>18932.4</v>
      </c>
      <c r="E253" s="107">
        <f>340</f>
        <v>340</v>
      </c>
      <c r="F253" s="206">
        <f aca="true" t="shared" si="75" ref="F253:F265">C253+D253+E253</f>
        <v>234072</v>
      </c>
      <c r="G253" s="236">
        <f>1695.3+150-180+470.2+211.45</f>
        <v>2346.95</v>
      </c>
      <c r="H253" s="224"/>
      <c r="I253" s="223">
        <f>F253+G253+H253</f>
        <v>236418.95</v>
      </c>
      <c r="J253" s="236">
        <f>5552+74</f>
        <v>5626</v>
      </c>
      <c r="K253" s="286"/>
      <c r="L253" s="223">
        <f>I253+J253+K253</f>
        <v>242044.95</v>
      </c>
      <c r="M253" s="20"/>
      <c r="N253" s="7"/>
      <c r="O253" s="21">
        <f>L253+M253+N253</f>
        <v>242044.95</v>
      </c>
      <c r="P253" s="74"/>
      <c r="Q253" s="72">
        <f aca="true" t="shared" si="76" ref="Q253:Q265">O253+P253</f>
        <v>242044.95</v>
      </c>
    </row>
    <row r="254" spans="1:17" ht="12.75">
      <c r="A254" s="36" t="s">
        <v>51</v>
      </c>
      <c r="B254" s="91"/>
      <c r="C254" s="108">
        <v>41051.6</v>
      </c>
      <c r="D254" s="107">
        <f>-6340.2+3444.55-1600-400+400+300+57+500-242-1960+2100+630</f>
        <v>-3110.6499999999996</v>
      </c>
      <c r="E254" s="107">
        <f>-340-20</f>
        <v>-360</v>
      </c>
      <c r="F254" s="206">
        <f t="shared" si="75"/>
        <v>37580.95</v>
      </c>
      <c r="G254" s="236">
        <f>-250-108.04</f>
        <v>-358.04</v>
      </c>
      <c r="H254" s="224"/>
      <c r="I254" s="223">
        <f aca="true" t="shared" si="77" ref="I254:I265">F254+G254+H254</f>
        <v>37222.909999999996</v>
      </c>
      <c r="J254" s="236">
        <f>1600-2000</f>
        <v>-400</v>
      </c>
      <c r="K254" s="286">
        <f>150</f>
        <v>150</v>
      </c>
      <c r="L254" s="223">
        <f aca="true" t="shared" si="78" ref="L254:L265">I254+J254+K254</f>
        <v>36972.909999999996</v>
      </c>
      <c r="M254" s="20"/>
      <c r="N254" s="7"/>
      <c r="O254" s="21">
        <f aca="true" t="shared" si="79" ref="O254:O265">L254+M254+N254</f>
        <v>36972.909999999996</v>
      </c>
      <c r="P254" s="74"/>
      <c r="Q254" s="72">
        <f t="shared" si="76"/>
        <v>36972.909999999996</v>
      </c>
    </row>
    <row r="255" spans="1:17" ht="12.75">
      <c r="A255" s="36" t="s">
        <v>124</v>
      </c>
      <c r="B255" s="91"/>
      <c r="C255" s="108">
        <v>3608.3</v>
      </c>
      <c r="D255" s="107">
        <f>120</f>
        <v>120</v>
      </c>
      <c r="E255" s="107"/>
      <c r="F255" s="206">
        <f t="shared" si="75"/>
        <v>3728.3</v>
      </c>
      <c r="G255" s="236"/>
      <c r="H255" s="224"/>
      <c r="I255" s="223">
        <f t="shared" si="77"/>
        <v>3728.3</v>
      </c>
      <c r="J255" s="236"/>
      <c r="K255" s="286"/>
      <c r="L255" s="223">
        <f t="shared" si="78"/>
        <v>3728.3</v>
      </c>
      <c r="M255" s="20"/>
      <c r="N255" s="7"/>
      <c r="O255" s="21">
        <f t="shared" si="79"/>
        <v>3728.3</v>
      </c>
      <c r="P255" s="74"/>
      <c r="Q255" s="72">
        <f t="shared" si="76"/>
        <v>3728.3</v>
      </c>
    </row>
    <row r="256" spans="1:17" ht="12.75">
      <c r="A256" s="36" t="s">
        <v>64</v>
      </c>
      <c r="B256" s="91"/>
      <c r="C256" s="108"/>
      <c r="D256" s="107">
        <f>6340.2+1600+400-400</f>
        <v>7940.200000000001</v>
      </c>
      <c r="E256" s="107">
        <f>20</f>
        <v>20</v>
      </c>
      <c r="F256" s="206">
        <f t="shared" si="75"/>
        <v>7960.200000000001</v>
      </c>
      <c r="G256" s="236"/>
      <c r="H256" s="224"/>
      <c r="I256" s="223">
        <f t="shared" si="77"/>
        <v>7960.200000000001</v>
      </c>
      <c r="J256" s="236"/>
      <c r="K256" s="286"/>
      <c r="L256" s="223">
        <f t="shared" si="78"/>
        <v>7960.200000000001</v>
      </c>
      <c r="M256" s="20"/>
      <c r="N256" s="7"/>
      <c r="O256" s="21">
        <f t="shared" si="79"/>
        <v>7960.200000000001</v>
      </c>
      <c r="P256" s="74"/>
      <c r="Q256" s="72">
        <f t="shared" si="76"/>
        <v>7960.200000000001</v>
      </c>
    </row>
    <row r="257" spans="1:17" ht="12.75">
      <c r="A257" s="36" t="s">
        <v>87</v>
      </c>
      <c r="B257" s="91">
        <v>34070</v>
      </c>
      <c r="C257" s="108"/>
      <c r="D257" s="107"/>
      <c r="E257" s="107"/>
      <c r="F257" s="206">
        <f t="shared" si="75"/>
        <v>0</v>
      </c>
      <c r="G257" s="236">
        <f>810</f>
        <v>810</v>
      </c>
      <c r="H257" s="224"/>
      <c r="I257" s="223">
        <f t="shared" si="77"/>
        <v>810</v>
      </c>
      <c r="J257" s="236">
        <f>345+140+60+130+215+100</f>
        <v>990</v>
      </c>
      <c r="K257" s="286"/>
      <c r="L257" s="223">
        <f t="shared" si="78"/>
        <v>1800</v>
      </c>
      <c r="M257" s="20"/>
      <c r="N257" s="7"/>
      <c r="O257" s="21">
        <f t="shared" si="79"/>
        <v>1800</v>
      </c>
      <c r="P257" s="74"/>
      <c r="Q257" s="72">
        <f t="shared" si="76"/>
        <v>1800</v>
      </c>
    </row>
    <row r="258" spans="1:17" ht="12.75">
      <c r="A258" s="36" t="s">
        <v>349</v>
      </c>
      <c r="B258" s="91">
        <v>34017</v>
      </c>
      <c r="C258" s="108"/>
      <c r="D258" s="107"/>
      <c r="E258" s="107"/>
      <c r="F258" s="206"/>
      <c r="G258" s="236"/>
      <c r="H258" s="224"/>
      <c r="I258" s="223">
        <f t="shared" si="77"/>
        <v>0</v>
      </c>
      <c r="J258" s="236">
        <f>27.5+135</f>
        <v>162.5</v>
      </c>
      <c r="K258" s="286"/>
      <c r="L258" s="223">
        <f t="shared" si="78"/>
        <v>162.5</v>
      </c>
      <c r="M258" s="20"/>
      <c r="N258" s="7"/>
      <c r="O258" s="21"/>
      <c r="P258" s="74"/>
      <c r="Q258" s="72"/>
    </row>
    <row r="259" spans="1:17" ht="12.75">
      <c r="A259" s="36" t="s">
        <v>350</v>
      </c>
      <c r="B259" s="91">
        <v>34019</v>
      </c>
      <c r="C259" s="108"/>
      <c r="D259" s="107"/>
      <c r="E259" s="107"/>
      <c r="F259" s="206"/>
      <c r="G259" s="236"/>
      <c r="H259" s="224"/>
      <c r="I259" s="223">
        <f t="shared" si="77"/>
        <v>0</v>
      </c>
      <c r="J259" s="236">
        <f>34.16+50</f>
        <v>84.16</v>
      </c>
      <c r="K259" s="286"/>
      <c r="L259" s="223">
        <f t="shared" si="78"/>
        <v>84.16</v>
      </c>
      <c r="M259" s="20"/>
      <c r="N259" s="7"/>
      <c r="O259" s="21"/>
      <c r="P259" s="74"/>
      <c r="Q259" s="72"/>
    </row>
    <row r="260" spans="1:17" ht="12.75">
      <c r="A260" s="36" t="s">
        <v>351</v>
      </c>
      <c r="B260" s="91">
        <v>34031</v>
      </c>
      <c r="C260" s="108"/>
      <c r="D260" s="107"/>
      <c r="E260" s="107"/>
      <c r="F260" s="206"/>
      <c r="G260" s="236"/>
      <c r="H260" s="224"/>
      <c r="I260" s="223">
        <f t="shared" si="77"/>
        <v>0</v>
      </c>
      <c r="J260" s="236">
        <f>83+69+92+117+90</f>
        <v>451</v>
      </c>
      <c r="K260" s="286"/>
      <c r="L260" s="223">
        <f t="shared" si="78"/>
        <v>451</v>
      </c>
      <c r="M260" s="20"/>
      <c r="N260" s="7"/>
      <c r="O260" s="21"/>
      <c r="P260" s="74"/>
      <c r="Q260" s="72"/>
    </row>
    <row r="261" spans="1:17" ht="12.75">
      <c r="A261" s="36" t="s">
        <v>88</v>
      </c>
      <c r="B261" s="91">
        <v>34053</v>
      </c>
      <c r="C261" s="108"/>
      <c r="D261" s="107"/>
      <c r="E261" s="107"/>
      <c r="F261" s="206">
        <f t="shared" si="75"/>
        <v>0</v>
      </c>
      <c r="G261" s="236"/>
      <c r="H261" s="224"/>
      <c r="I261" s="223">
        <f t="shared" si="77"/>
        <v>0</v>
      </c>
      <c r="J261" s="236">
        <f>32+65+28+69+63+126+97</f>
        <v>480</v>
      </c>
      <c r="K261" s="286"/>
      <c r="L261" s="223">
        <f t="shared" si="78"/>
        <v>480</v>
      </c>
      <c r="M261" s="20"/>
      <c r="N261" s="7"/>
      <c r="O261" s="21">
        <f t="shared" si="79"/>
        <v>480</v>
      </c>
      <c r="P261" s="74"/>
      <c r="Q261" s="72">
        <f t="shared" si="76"/>
        <v>480</v>
      </c>
    </row>
    <row r="262" spans="1:17" ht="12.75">
      <c r="A262" s="36" t="s">
        <v>356</v>
      </c>
      <c r="B262" s="91">
        <v>34021</v>
      </c>
      <c r="C262" s="108"/>
      <c r="D262" s="107"/>
      <c r="E262" s="107"/>
      <c r="F262" s="206"/>
      <c r="G262" s="236"/>
      <c r="H262" s="224"/>
      <c r="I262" s="223">
        <f t="shared" si="77"/>
        <v>0</v>
      </c>
      <c r="J262" s="236">
        <f>200</f>
        <v>200</v>
      </c>
      <c r="K262" s="286"/>
      <c r="L262" s="223">
        <f t="shared" si="78"/>
        <v>200</v>
      </c>
      <c r="M262" s="20"/>
      <c r="N262" s="7"/>
      <c r="O262" s="21"/>
      <c r="P262" s="74"/>
      <c r="Q262" s="72"/>
    </row>
    <row r="263" spans="1:17" ht="12.75" hidden="1">
      <c r="A263" s="36" t="s">
        <v>314</v>
      </c>
      <c r="B263" s="91"/>
      <c r="C263" s="108"/>
      <c r="D263" s="107"/>
      <c r="E263" s="107"/>
      <c r="F263" s="206">
        <f t="shared" si="75"/>
        <v>0</v>
      </c>
      <c r="G263" s="236"/>
      <c r="H263" s="224"/>
      <c r="I263" s="223">
        <f t="shared" si="77"/>
        <v>0</v>
      </c>
      <c r="J263" s="236"/>
      <c r="K263" s="286"/>
      <c r="L263" s="223">
        <f t="shared" si="78"/>
        <v>0</v>
      </c>
      <c r="M263" s="20"/>
      <c r="N263" s="7"/>
      <c r="O263" s="21"/>
      <c r="P263" s="74"/>
      <c r="Q263" s="72"/>
    </row>
    <row r="264" spans="1:17" ht="12.75">
      <c r="A264" s="36" t="s">
        <v>252</v>
      </c>
      <c r="B264" s="91"/>
      <c r="C264" s="108"/>
      <c r="D264" s="107"/>
      <c r="E264" s="107"/>
      <c r="F264" s="206">
        <f t="shared" si="75"/>
        <v>0</v>
      </c>
      <c r="G264" s="236">
        <f>425.46</f>
        <v>425.46</v>
      </c>
      <c r="H264" s="224"/>
      <c r="I264" s="223">
        <f t="shared" si="77"/>
        <v>425.46</v>
      </c>
      <c r="J264" s="236"/>
      <c r="K264" s="286"/>
      <c r="L264" s="223">
        <f t="shared" si="78"/>
        <v>425.46</v>
      </c>
      <c r="M264" s="20"/>
      <c r="N264" s="7"/>
      <c r="O264" s="21"/>
      <c r="P264" s="74"/>
      <c r="Q264" s="72"/>
    </row>
    <row r="265" spans="1:17" ht="12.75">
      <c r="A265" s="36" t="s">
        <v>76</v>
      </c>
      <c r="B265" s="91"/>
      <c r="C265" s="108"/>
      <c r="D265" s="107"/>
      <c r="E265" s="107"/>
      <c r="F265" s="206">
        <f t="shared" si="75"/>
        <v>0</v>
      </c>
      <c r="G265" s="236">
        <f>323.8+402+862.64</f>
        <v>1588.44</v>
      </c>
      <c r="H265" s="224"/>
      <c r="I265" s="223">
        <f t="shared" si="77"/>
        <v>1588.44</v>
      </c>
      <c r="J265" s="236">
        <f>157</f>
        <v>157</v>
      </c>
      <c r="K265" s="286"/>
      <c r="L265" s="223">
        <f t="shared" si="78"/>
        <v>1745.44</v>
      </c>
      <c r="M265" s="20"/>
      <c r="N265" s="7"/>
      <c r="O265" s="21">
        <f t="shared" si="79"/>
        <v>1745.44</v>
      </c>
      <c r="P265" s="74"/>
      <c r="Q265" s="72">
        <f t="shared" si="76"/>
        <v>1745.44</v>
      </c>
    </row>
    <row r="266" spans="1:17" ht="12.75">
      <c r="A266" s="38" t="s">
        <v>53</v>
      </c>
      <c r="B266" s="95"/>
      <c r="C266" s="113">
        <f>SUM(C268:C271)</f>
        <v>2850</v>
      </c>
      <c r="D266" s="114">
        <f aca="true" t="shared" si="80" ref="D266:Q266">SUM(D268:D271)</f>
        <v>1742</v>
      </c>
      <c r="E266" s="114">
        <f t="shared" si="80"/>
        <v>0</v>
      </c>
      <c r="F266" s="209">
        <f t="shared" si="80"/>
        <v>4592</v>
      </c>
      <c r="G266" s="233">
        <f t="shared" si="80"/>
        <v>1363.95</v>
      </c>
      <c r="H266" s="251">
        <f t="shared" si="80"/>
        <v>0</v>
      </c>
      <c r="I266" s="229">
        <f t="shared" si="80"/>
        <v>5955.95</v>
      </c>
      <c r="J266" s="233">
        <f t="shared" si="80"/>
        <v>3650</v>
      </c>
      <c r="K266" s="290">
        <f t="shared" si="80"/>
        <v>0</v>
      </c>
      <c r="L266" s="229">
        <f t="shared" si="80"/>
        <v>9605.95</v>
      </c>
      <c r="M266" s="113">
        <f t="shared" si="80"/>
        <v>0</v>
      </c>
      <c r="N266" s="113">
        <f t="shared" si="80"/>
        <v>0</v>
      </c>
      <c r="O266" s="113">
        <f t="shared" si="80"/>
        <v>9605.95</v>
      </c>
      <c r="P266" s="113">
        <f t="shared" si="80"/>
        <v>0</v>
      </c>
      <c r="Q266" s="164">
        <f t="shared" si="80"/>
        <v>9605.95</v>
      </c>
    </row>
    <row r="267" spans="1:17" ht="12.75">
      <c r="A267" s="34" t="s">
        <v>26</v>
      </c>
      <c r="B267" s="91"/>
      <c r="C267" s="108"/>
      <c r="D267" s="107"/>
      <c r="E267" s="107"/>
      <c r="F267" s="206"/>
      <c r="G267" s="236"/>
      <c r="H267" s="224"/>
      <c r="I267" s="223"/>
      <c r="J267" s="236"/>
      <c r="K267" s="286"/>
      <c r="L267" s="223"/>
      <c r="M267" s="20"/>
      <c r="N267" s="7"/>
      <c r="O267" s="21"/>
      <c r="P267" s="74"/>
      <c r="Q267" s="72"/>
    </row>
    <row r="268" spans="1:17" ht="12.75">
      <c r="A268" s="36" t="s">
        <v>88</v>
      </c>
      <c r="B268" s="91">
        <v>34544</v>
      </c>
      <c r="C268" s="108"/>
      <c r="D268" s="107"/>
      <c r="E268" s="107"/>
      <c r="F268" s="206">
        <f>C268+D268+E268</f>
        <v>0</v>
      </c>
      <c r="G268" s="236"/>
      <c r="H268" s="224"/>
      <c r="I268" s="223"/>
      <c r="J268" s="236">
        <f>440</f>
        <v>440</v>
      </c>
      <c r="K268" s="286"/>
      <c r="L268" s="223">
        <f>I268+J268+K268</f>
        <v>440</v>
      </c>
      <c r="M268" s="20"/>
      <c r="N268" s="7"/>
      <c r="O268" s="21">
        <f>L268+M268+N268</f>
        <v>440</v>
      </c>
      <c r="P268" s="74"/>
      <c r="Q268" s="72">
        <f>O268+P268</f>
        <v>440</v>
      </c>
    </row>
    <row r="269" spans="1:17" ht="12.75">
      <c r="A269" s="89" t="s">
        <v>83</v>
      </c>
      <c r="B269" s="91"/>
      <c r="C269" s="108">
        <v>2850</v>
      </c>
      <c r="D269" s="118">
        <f>1500</f>
        <v>1500</v>
      </c>
      <c r="E269" s="107"/>
      <c r="F269" s="206">
        <f>C269+D269+E269</f>
        <v>4350</v>
      </c>
      <c r="G269" s="236">
        <f>100+180+800+1000-1200</f>
        <v>880</v>
      </c>
      <c r="H269" s="224"/>
      <c r="I269" s="223">
        <f>F269+G269+H269</f>
        <v>5230</v>
      </c>
      <c r="J269" s="236">
        <f>2000</f>
        <v>2000</v>
      </c>
      <c r="K269" s="286"/>
      <c r="L269" s="223">
        <f>I269+J269+K269</f>
        <v>7230</v>
      </c>
      <c r="M269" s="20"/>
      <c r="N269" s="7"/>
      <c r="O269" s="21">
        <f>L269+M269+N269</f>
        <v>7230</v>
      </c>
      <c r="P269" s="74"/>
      <c r="Q269" s="72">
        <f>O269+P269</f>
        <v>7230</v>
      </c>
    </row>
    <row r="270" spans="1:17" ht="12.75">
      <c r="A270" s="89" t="s">
        <v>54</v>
      </c>
      <c r="B270" s="91"/>
      <c r="C270" s="108"/>
      <c r="D270" s="107">
        <f>242</f>
        <v>242</v>
      </c>
      <c r="E270" s="107"/>
      <c r="F270" s="206">
        <f>C270+D270+E270</f>
        <v>242</v>
      </c>
      <c r="G270" s="236">
        <f>173.96</f>
        <v>173.96</v>
      </c>
      <c r="H270" s="224"/>
      <c r="I270" s="223">
        <f>F270+G270+H270</f>
        <v>415.96000000000004</v>
      </c>
      <c r="J270" s="236"/>
      <c r="K270" s="286"/>
      <c r="L270" s="223">
        <f>I270+J270+K270</f>
        <v>415.96000000000004</v>
      </c>
      <c r="M270" s="20"/>
      <c r="N270" s="7"/>
      <c r="O270" s="21">
        <f>L270+M270+N270</f>
        <v>415.96000000000004</v>
      </c>
      <c r="P270" s="74"/>
      <c r="Q270" s="72">
        <f>O270+P270</f>
        <v>415.96000000000004</v>
      </c>
    </row>
    <row r="271" spans="1:17" ht="12.75">
      <c r="A271" s="43" t="s">
        <v>76</v>
      </c>
      <c r="B271" s="94"/>
      <c r="C271" s="186"/>
      <c r="D271" s="115"/>
      <c r="E271" s="115"/>
      <c r="F271" s="211">
        <f>C271+D271+E271</f>
        <v>0</v>
      </c>
      <c r="G271" s="235">
        <f>250+59.99</f>
        <v>309.99</v>
      </c>
      <c r="H271" s="253"/>
      <c r="I271" s="231">
        <f>F271+G271+H271</f>
        <v>309.99</v>
      </c>
      <c r="J271" s="235">
        <f>1210</f>
        <v>1210</v>
      </c>
      <c r="K271" s="289"/>
      <c r="L271" s="231">
        <f>I271+J271+K271</f>
        <v>1519.99</v>
      </c>
      <c r="M271" s="69"/>
      <c r="N271" s="9"/>
      <c r="O271" s="25">
        <f>L271+M271+N271</f>
        <v>1519.99</v>
      </c>
      <c r="P271" s="77"/>
      <c r="Q271" s="78">
        <f>O271+P271</f>
        <v>1519.99</v>
      </c>
    </row>
    <row r="272" spans="1:27" ht="12.75">
      <c r="A272" s="29" t="s">
        <v>256</v>
      </c>
      <c r="B272" s="95"/>
      <c r="C272" s="105">
        <f>C273+C276</f>
        <v>1338.39</v>
      </c>
      <c r="D272" s="106">
        <f>D273+D276</f>
        <v>0</v>
      </c>
      <c r="E272" s="106">
        <f>E273+E278</f>
        <v>0</v>
      </c>
      <c r="F272" s="205">
        <f aca="true" t="shared" si="81" ref="F272:L272">F273+F276</f>
        <v>1338.39</v>
      </c>
      <c r="G272" s="268">
        <f t="shared" si="81"/>
        <v>0</v>
      </c>
      <c r="H272" s="255">
        <f t="shared" si="81"/>
        <v>0</v>
      </c>
      <c r="I272" s="234">
        <f t="shared" si="81"/>
        <v>1338.39</v>
      </c>
      <c r="J272" s="268">
        <f t="shared" si="81"/>
        <v>0</v>
      </c>
      <c r="K272" s="298">
        <f t="shared" si="81"/>
        <v>0</v>
      </c>
      <c r="L272" s="234">
        <f t="shared" si="81"/>
        <v>1338.39</v>
      </c>
      <c r="M272" s="28"/>
      <c r="N272" s="125"/>
      <c r="O272" s="80"/>
      <c r="P272" s="74"/>
      <c r="Q272" s="72"/>
      <c r="Z272" s="161"/>
      <c r="AA272" s="137"/>
    </row>
    <row r="273" spans="1:17" ht="12.75">
      <c r="A273" s="38" t="s">
        <v>49</v>
      </c>
      <c r="B273" s="95"/>
      <c r="C273" s="113">
        <f aca="true" t="shared" si="82" ref="C273:I273">SUM(C275:C275)</f>
        <v>1338.39</v>
      </c>
      <c r="D273" s="114">
        <f t="shared" si="82"/>
        <v>0</v>
      </c>
      <c r="E273" s="114">
        <f t="shared" si="82"/>
        <v>0</v>
      </c>
      <c r="F273" s="209">
        <f t="shared" si="82"/>
        <v>1338.39</v>
      </c>
      <c r="G273" s="233">
        <f t="shared" si="82"/>
        <v>0</v>
      </c>
      <c r="H273" s="251">
        <f t="shared" si="82"/>
        <v>0</v>
      </c>
      <c r="I273" s="229">
        <f t="shared" si="82"/>
        <v>1338.39</v>
      </c>
      <c r="J273" s="233">
        <f>SUM(J275:J275)</f>
        <v>0</v>
      </c>
      <c r="K273" s="290">
        <f>SUM(K275:K275)</f>
        <v>0</v>
      </c>
      <c r="L273" s="229">
        <f>SUM(L275:L275)</f>
        <v>1338.39</v>
      </c>
      <c r="M273" s="28"/>
      <c r="N273" s="125"/>
      <c r="O273" s="80"/>
      <c r="P273" s="74"/>
      <c r="Q273" s="72"/>
    </row>
    <row r="274" spans="1:17" ht="12.75">
      <c r="A274" s="34" t="s">
        <v>26</v>
      </c>
      <c r="B274" s="91"/>
      <c r="C274" s="108"/>
      <c r="D274" s="107"/>
      <c r="E274" s="107"/>
      <c r="F274" s="206"/>
      <c r="G274" s="236"/>
      <c r="H274" s="224"/>
      <c r="I274" s="223"/>
      <c r="J274" s="236"/>
      <c r="K274" s="286"/>
      <c r="L274" s="223"/>
      <c r="M274" s="28"/>
      <c r="N274" s="125"/>
      <c r="O274" s="80"/>
      <c r="P274" s="74"/>
      <c r="Q274" s="72"/>
    </row>
    <row r="275" spans="1:17" ht="12.75">
      <c r="A275" s="35" t="s">
        <v>51</v>
      </c>
      <c r="B275" s="94"/>
      <c r="C275" s="186">
        <v>1338.39</v>
      </c>
      <c r="D275" s="115"/>
      <c r="E275" s="115"/>
      <c r="F275" s="211">
        <f>C275+D275+E275</f>
        <v>1338.39</v>
      </c>
      <c r="G275" s="235"/>
      <c r="H275" s="253"/>
      <c r="I275" s="231">
        <f>F275+G275+H275</f>
        <v>1338.39</v>
      </c>
      <c r="J275" s="235"/>
      <c r="K275" s="289"/>
      <c r="L275" s="231">
        <f>I275+J275+K275</f>
        <v>1338.39</v>
      </c>
      <c r="M275" s="28"/>
      <c r="N275" s="125"/>
      <c r="O275" s="80"/>
      <c r="P275" s="74"/>
      <c r="Q275" s="72"/>
    </row>
    <row r="276" spans="1:17" ht="12.75" hidden="1">
      <c r="A276" s="38" t="s">
        <v>53</v>
      </c>
      <c r="B276" s="95"/>
      <c r="C276" s="113">
        <f>C278</f>
        <v>0</v>
      </c>
      <c r="D276" s="114">
        <f>D278</f>
        <v>0</v>
      </c>
      <c r="E276" s="114">
        <f>SUM(E278:E280)</f>
        <v>53698.78</v>
      </c>
      <c r="F276" s="209">
        <f aca="true" t="shared" si="83" ref="F276:L276">F278</f>
        <v>0</v>
      </c>
      <c r="G276" s="233">
        <f t="shared" si="83"/>
        <v>0</v>
      </c>
      <c r="H276" s="251">
        <f t="shared" si="83"/>
        <v>0</v>
      </c>
      <c r="I276" s="229">
        <f t="shared" si="83"/>
        <v>0</v>
      </c>
      <c r="J276" s="233">
        <f t="shared" si="83"/>
        <v>0</v>
      </c>
      <c r="K276" s="290">
        <f t="shared" si="83"/>
        <v>0</v>
      </c>
      <c r="L276" s="229">
        <f t="shared" si="83"/>
        <v>0</v>
      </c>
      <c r="M276" s="113">
        <f>SUM(M278:M280)</f>
        <v>0</v>
      </c>
      <c r="N276" s="113">
        <f>SUM(N278:N280)</f>
        <v>0</v>
      </c>
      <c r="O276" s="113">
        <f>SUM(O278:O280)</f>
        <v>652198.74</v>
      </c>
      <c r="P276" s="113">
        <f>SUM(P278:P280)</f>
        <v>0</v>
      </c>
      <c r="Q276" s="164">
        <f>SUM(Q278:Q280)</f>
        <v>652198.74</v>
      </c>
    </row>
    <row r="277" spans="1:17" ht="12.75" hidden="1">
      <c r="A277" s="34" t="s">
        <v>26</v>
      </c>
      <c r="B277" s="91"/>
      <c r="C277" s="108"/>
      <c r="D277" s="107"/>
      <c r="E277" s="107"/>
      <c r="F277" s="206"/>
      <c r="G277" s="236"/>
      <c r="H277" s="224"/>
      <c r="I277" s="223"/>
      <c r="J277" s="236"/>
      <c r="K277" s="286"/>
      <c r="L277" s="223"/>
      <c r="M277" s="20"/>
      <c r="N277" s="7"/>
      <c r="O277" s="21"/>
      <c r="P277" s="74"/>
      <c r="Q277" s="72"/>
    </row>
    <row r="278" spans="1:17" ht="12.75" hidden="1">
      <c r="A278" s="158" t="s">
        <v>54</v>
      </c>
      <c r="B278" s="94"/>
      <c r="C278" s="186"/>
      <c r="D278" s="115"/>
      <c r="E278" s="115"/>
      <c r="F278" s="211">
        <f>C278+D278+E278</f>
        <v>0</v>
      </c>
      <c r="G278" s="235"/>
      <c r="H278" s="224"/>
      <c r="I278" s="231">
        <f>F278+G278+H278</f>
        <v>0</v>
      </c>
      <c r="J278" s="236"/>
      <c r="K278" s="286"/>
      <c r="L278" s="223">
        <f>I278+J278+K278</f>
        <v>0</v>
      </c>
      <c r="M278" s="20"/>
      <c r="N278" s="7"/>
      <c r="O278" s="21">
        <f>L278+M278+N278</f>
        <v>0</v>
      </c>
      <c r="P278" s="74"/>
      <c r="Q278" s="72">
        <f>O278+P278</f>
        <v>0</v>
      </c>
    </row>
    <row r="279" spans="1:17" ht="12.75">
      <c r="A279" s="29" t="s">
        <v>48</v>
      </c>
      <c r="B279" s="93"/>
      <c r="C279" s="105">
        <f aca="true" t="shared" si="84" ref="C279:Q279">C280+C294</f>
        <v>61493.06</v>
      </c>
      <c r="D279" s="106">
        <f t="shared" si="84"/>
        <v>12200</v>
      </c>
      <c r="E279" s="106">
        <f t="shared" si="84"/>
        <v>27484.7</v>
      </c>
      <c r="F279" s="205">
        <f t="shared" si="84"/>
        <v>101177.76</v>
      </c>
      <c r="G279" s="232">
        <f t="shared" si="84"/>
        <v>80000</v>
      </c>
      <c r="H279" s="248">
        <f t="shared" si="84"/>
        <v>0</v>
      </c>
      <c r="I279" s="222">
        <f t="shared" si="84"/>
        <v>181177.75999999998</v>
      </c>
      <c r="J279" s="232">
        <f>J280+J294</f>
        <v>169306.31000000003</v>
      </c>
      <c r="K279" s="285">
        <f>K280+K294</f>
        <v>-150</v>
      </c>
      <c r="L279" s="222">
        <f>L280+L294</f>
        <v>350334.07</v>
      </c>
      <c r="M279" s="105">
        <f t="shared" si="84"/>
        <v>0</v>
      </c>
      <c r="N279" s="105">
        <f t="shared" si="84"/>
        <v>0</v>
      </c>
      <c r="O279" s="105">
        <f t="shared" si="84"/>
        <v>326499.37</v>
      </c>
      <c r="P279" s="105">
        <f t="shared" si="84"/>
        <v>0</v>
      </c>
      <c r="Q279" s="159">
        <f t="shared" si="84"/>
        <v>326499.37</v>
      </c>
    </row>
    <row r="280" spans="1:17" ht="12.75">
      <c r="A280" s="38" t="s">
        <v>49</v>
      </c>
      <c r="B280" s="93"/>
      <c r="C280" s="113">
        <f aca="true" t="shared" si="85" ref="C280:Q280">SUM(C282:C293)</f>
        <v>60693.06</v>
      </c>
      <c r="D280" s="114">
        <f t="shared" si="85"/>
        <v>10900</v>
      </c>
      <c r="E280" s="114">
        <f t="shared" si="85"/>
        <v>26214.08</v>
      </c>
      <c r="F280" s="209">
        <f t="shared" si="85"/>
        <v>97807.14</v>
      </c>
      <c r="G280" s="233">
        <f t="shared" si="85"/>
        <v>80000</v>
      </c>
      <c r="H280" s="251">
        <f t="shared" si="85"/>
        <v>0</v>
      </c>
      <c r="I280" s="229">
        <f t="shared" si="85"/>
        <v>177807.13999999998</v>
      </c>
      <c r="J280" s="233">
        <f>SUM(J282:J293)</f>
        <v>169306.31000000003</v>
      </c>
      <c r="K280" s="290">
        <f>SUM(K282:K293)</f>
        <v>-150</v>
      </c>
      <c r="L280" s="229">
        <f>SUM(L282:L293)</f>
        <v>346963.45</v>
      </c>
      <c r="M280" s="113">
        <f t="shared" si="85"/>
        <v>0</v>
      </c>
      <c r="N280" s="113">
        <f t="shared" si="85"/>
        <v>0</v>
      </c>
      <c r="O280" s="113">
        <f t="shared" si="85"/>
        <v>325699.37</v>
      </c>
      <c r="P280" s="113">
        <f t="shared" si="85"/>
        <v>0</v>
      </c>
      <c r="Q280" s="164">
        <f t="shared" si="85"/>
        <v>325699.37</v>
      </c>
    </row>
    <row r="281" spans="1:17" ht="12.75">
      <c r="A281" s="34" t="s">
        <v>26</v>
      </c>
      <c r="B281" s="66"/>
      <c r="C281" s="108"/>
      <c r="D281" s="107"/>
      <c r="E281" s="107"/>
      <c r="F281" s="206"/>
      <c r="G281" s="236"/>
      <c r="H281" s="224"/>
      <c r="I281" s="223"/>
      <c r="J281" s="236"/>
      <c r="K281" s="286"/>
      <c r="L281" s="223"/>
      <c r="M281" s="20"/>
      <c r="N281" s="7"/>
      <c r="O281" s="21"/>
      <c r="P281" s="74"/>
      <c r="Q281" s="72"/>
    </row>
    <row r="282" spans="1:17" ht="12.75">
      <c r="A282" s="32" t="s">
        <v>126</v>
      </c>
      <c r="B282" s="91"/>
      <c r="C282" s="108">
        <v>27707.22</v>
      </c>
      <c r="D282" s="107"/>
      <c r="E282" s="107"/>
      <c r="F282" s="206">
        <f aca="true" t="shared" si="86" ref="F282:F293">C282+D282+E282</f>
        <v>27707.22</v>
      </c>
      <c r="G282" s="236"/>
      <c r="H282" s="224"/>
      <c r="I282" s="223">
        <f>F282+G282+H282</f>
        <v>27707.22</v>
      </c>
      <c r="J282" s="236"/>
      <c r="K282" s="286"/>
      <c r="L282" s="223">
        <f>I282+J282+K282</f>
        <v>27707.22</v>
      </c>
      <c r="M282" s="20"/>
      <c r="N282" s="7"/>
      <c r="O282" s="21">
        <f>L282+M282+N282</f>
        <v>27707.22</v>
      </c>
      <c r="P282" s="74"/>
      <c r="Q282" s="72">
        <f>O282+P282</f>
        <v>27707.22</v>
      </c>
    </row>
    <row r="283" spans="1:17" ht="12.75">
      <c r="A283" s="32" t="s">
        <v>50</v>
      </c>
      <c r="B283" s="91"/>
      <c r="C283" s="108">
        <v>7048.74</v>
      </c>
      <c r="D283" s="107"/>
      <c r="E283" s="107"/>
      <c r="F283" s="206">
        <f t="shared" si="86"/>
        <v>7048.74</v>
      </c>
      <c r="G283" s="236"/>
      <c r="H283" s="224"/>
      <c r="I283" s="223">
        <f>F283+G283+H283</f>
        <v>7048.74</v>
      </c>
      <c r="J283" s="236"/>
      <c r="K283" s="286"/>
      <c r="L283" s="223">
        <f>I283+J283+K283</f>
        <v>7048.74</v>
      </c>
      <c r="M283" s="20"/>
      <c r="N283" s="7"/>
      <c r="O283" s="21">
        <f>L283+M283+N283</f>
        <v>7048.74</v>
      </c>
      <c r="P283" s="74"/>
      <c r="Q283" s="72">
        <f>O283+P283</f>
        <v>7048.74</v>
      </c>
    </row>
    <row r="284" spans="1:17" ht="12.75">
      <c r="A284" s="32" t="s">
        <v>229</v>
      </c>
      <c r="B284" s="91"/>
      <c r="C284" s="108">
        <v>1450</v>
      </c>
      <c r="D284" s="107"/>
      <c r="E284" s="107"/>
      <c r="F284" s="206">
        <f t="shared" si="86"/>
        <v>1450</v>
      </c>
      <c r="G284" s="236"/>
      <c r="H284" s="224"/>
      <c r="I284" s="223">
        <f>F284+G284+H284</f>
        <v>1450</v>
      </c>
      <c r="J284" s="236"/>
      <c r="K284" s="286"/>
      <c r="L284" s="223">
        <f>I284+J284+K284</f>
        <v>1450</v>
      </c>
      <c r="M284" s="20"/>
      <c r="N284" s="7"/>
      <c r="O284" s="21">
        <f>L284+M284+N284</f>
        <v>1450</v>
      </c>
      <c r="P284" s="74"/>
      <c r="Q284" s="72">
        <f>O284+P284</f>
        <v>1450</v>
      </c>
    </row>
    <row r="285" spans="1:17" ht="12.75">
      <c r="A285" s="32" t="s">
        <v>51</v>
      </c>
      <c r="B285" s="91"/>
      <c r="C285" s="108">
        <v>15187.1</v>
      </c>
      <c r="D285" s="107">
        <f>1500</f>
        <v>1500</v>
      </c>
      <c r="E285" s="107"/>
      <c r="F285" s="206">
        <f t="shared" si="86"/>
        <v>16687.1</v>
      </c>
      <c r="G285" s="236"/>
      <c r="H285" s="224"/>
      <c r="I285" s="223">
        <f>F285+G285+H285</f>
        <v>16687.1</v>
      </c>
      <c r="J285" s="236">
        <f>75.1</f>
        <v>75.1</v>
      </c>
      <c r="K285" s="286"/>
      <c r="L285" s="223">
        <f>I285+J285+K285</f>
        <v>16762.199999999997</v>
      </c>
      <c r="M285" s="20"/>
      <c r="N285" s="7"/>
      <c r="O285" s="21">
        <f>L285+M285+N285</f>
        <v>16762.199999999997</v>
      </c>
      <c r="P285" s="74"/>
      <c r="Q285" s="72">
        <f>O285+P285</f>
        <v>16762.199999999997</v>
      </c>
    </row>
    <row r="286" spans="1:17" ht="12.75" hidden="1">
      <c r="A286" s="32" t="s">
        <v>76</v>
      </c>
      <c r="B286" s="91"/>
      <c r="C286" s="108"/>
      <c r="D286" s="107"/>
      <c r="E286" s="107"/>
      <c r="F286" s="206">
        <f t="shared" si="86"/>
        <v>0</v>
      </c>
      <c r="G286" s="236"/>
      <c r="H286" s="224"/>
      <c r="I286" s="223"/>
      <c r="J286" s="236"/>
      <c r="K286" s="286"/>
      <c r="L286" s="223"/>
      <c r="M286" s="20"/>
      <c r="N286" s="7"/>
      <c r="O286" s="21"/>
      <c r="P286" s="74"/>
      <c r="Q286" s="72"/>
    </row>
    <row r="287" spans="1:17" ht="12.75">
      <c r="A287" s="32" t="s">
        <v>326</v>
      </c>
      <c r="B287" s="91"/>
      <c r="C287" s="108">
        <v>500</v>
      </c>
      <c r="D287" s="107"/>
      <c r="E287" s="118">
        <f>25000</f>
        <v>25000</v>
      </c>
      <c r="F287" s="206">
        <f t="shared" si="86"/>
        <v>25500</v>
      </c>
      <c r="G287" s="236">
        <f>20000+20000+40000</f>
        <v>80000</v>
      </c>
      <c r="H287" s="224"/>
      <c r="I287" s="223">
        <f aca="true" t="shared" si="87" ref="I287:I293">F287+G287+H287</f>
        <v>105500</v>
      </c>
      <c r="J287" s="236">
        <f>101.8+23578.3+120000+23551.11</f>
        <v>167231.21000000002</v>
      </c>
      <c r="K287" s="286"/>
      <c r="L287" s="223">
        <f aca="true" t="shared" si="88" ref="L287:L293">I287+J287+K287</f>
        <v>272731.21</v>
      </c>
      <c r="M287" s="20"/>
      <c r="N287" s="7"/>
      <c r="O287" s="21">
        <f>L287+M287+N287</f>
        <v>272731.21</v>
      </c>
      <c r="P287" s="74"/>
      <c r="Q287" s="72">
        <f>O287+P287</f>
        <v>272731.21</v>
      </c>
    </row>
    <row r="288" spans="1:17" ht="12.75" hidden="1">
      <c r="A288" s="32" t="s">
        <v>286</v>
      </c>
      <c r="B288" s="91">
        <v>98032</v>
      </c>
      <c r="C288" s="108"/>
      <c r="D288" s="107"/>
      <c r="E288" s="107"/>
      <c r="F288" s="206">
        <f t="shared" si="86"/>
        <v>0</v>
      </c>
      <c r="G288" s="236"/>
      <c r="H288" s="224"/>
      <c r="I288" s="223">
        <f t="shared" si="87"/>
        <v>0</v>
      </c>
      <c r="J288" s="236"/>
      <c r="K288" s="286"/>
      <c r="L288" s="223">
        <f t="shared" si="88"/>
        <v>0</v>
      </c>
      <c r="M288" s="20"/>
      <c r="N288" s="7"/>
      <c r="O288" s="21"/>
      <c r="P288" s="74"/>
      <c r="Q288" s="72"/>
    </row>
    <row r="289" spans="1:17" ht="12.75" hidden="1">
      <c r="A289" s="32" t="s">
        <v>357</v>
      </c>
      <c r="B289" s="91">
        <v>98045</v>
      </c>
      <c r="C289" s="108"/>
      <c r="D289" s="107"/>
      <c r="E289" s="107"/>
      <c r="F289" s="206"/>
      <c r="G289" s="236"/>
      <c r="H289" s="224"/>
      <c r="I289" s="223">
        <f t="shared" si="87"/>
        <v>0</v>
      </c>
      <c r="J289" s="236"/>
      <c r="K289" s="286"/>
      <c r="L289" s="223">
        <f t="shared" si="88"/>
        <v>0</v>
      </c>
      <c r="M289" s="20"/>
      <c r="N289" s="7"/>
      <c r="O289" s="21"/>
      <c r="P289" s="74"/>
      <c r="Q289" s="72"/>
    </row>
    <row r="290" spans="1:17" ht="12.75">
      <c r="A290" s="32" t="s">
        <v>283</v>
      </c>
      <c r="B290" s="91"/>
      <c r="C290" s="108"/>
      <c r="D290" s="107">
        <f>5000</f>
        <v>5000</v>
      </c>
      <c r="E290" s="107"/>
      <c r="F290" s="206">
        <f t="shared" si="86"/>
        <v>5000</v>
      </c>
      <c r="G290" s="236"/>
      <c r="H290" s="224"/>
      <c r="I290" s="223">
        <f t="shared" si="87"/>
        <v>5000</v>
      </c>
      <c r="J290" s="236"/>
      <c r="K290" s="286"/>
      <c r="L290" s="223">
        <f t="shared" si="88"/>
        <v>5000</v>
      </c>
      <c r="M290" s="20"/>
      <c r="N290" s="7"/>
      <c r="O290" s="21"/>
      <c r="P290" s="74"/>
      <c r="Q290" s="72"/>
    </row>
    <row r="291" spans="1:17" ht="12.75">
      <c r="A291" s="32" t="s">
        <v>230</v>
      </c>
      <c r="B291" s="91"/>
      <c r="C291" s="108">
        <v>8200</v>
      </c>
      <c r="D291" s="107">
        <f>3500</f>
        <v>3500</v>
      </c>
      <c r="E291" s="107">
        <f>1214.08</f>
        <v>1214.08</v>
      </c>
      <c r="F291" s="206">
        <f t="shared" si="86"/>
        <v>12914.08</v>
      </c>
      <c r="G291" s="236"/>
      <c r="H291" s="224"/>
      <c r="I291" s="223">
        <f t="shared" si="87"/>
        <v>12914.08</v>
      </c>
      <c r="J291" s="236">
        <f>2000</f>
        <v>2000</v>
      </c>
      <c r="K291" s="286">
        <f>-150</f>
        <v>-150</v>
      </c>
      <c r="L291" s="223">
        <f t="shared" si="88"/>
        <v>14764.08</v>
      </c>
      <c r="M291" s="20"/>
      <c r="N291" s="7"/>
      <c r="O291" s="21"/>
      <c r="P291" s="74"/>
      <c r="Q291" s="72"/>
    </row>
    <row r="292" spans="1:17" ht="12.75">
      <c r="A292" s="32" t="s">
        <v>231</v>
      </c>
      <c r="B292" s="91"/>
      <c r="C292" s="108">
        <v>600</v>
      </c>
      <c r="D292" s="107">
        <f>900</f>
        <v>900</v>
      </c>
      <c r="E292" s="107"/>
      <c r="F292" s="206">
        <f t="shared" si="86"/>
        <v>1500</v>
      </c>
      <c r="G292" s="236"/>
      <c r="H292" s="224"/>
      <c r="I292" s="223">
        <f t="shared" si="87"/>
        <v>1500</v>
      </c>
      <c r="J292" s="236"/>
      <c r="K292" s="286"/>
      <c r="L292" s="223">
        <f t="shared" si="88"/>
        <v>1500</v>
      </c>
      <c r="M292" s="20"/>
      <c r="N292" s="7"/>
      <c r="O292" s="21"/>
      <c r="P292" s="74"/>
      <c r="Q292" s="72"/>
    </row>
    <row r="293" spans="1:17" ht="12.75" hidden="1">
      <c r="A293" s="32" t="s">
        <v>52</v>
      </c>
      <c r="B293" s="91"/>
      <c r="C293" s="108"/>
      <c r="D293" s="107"/>
      <c r="E293" s="107"/>
      <c r="F293" s="206">
        <f t="shared" si="86"/>
        <v>0</v>
      </c>
      <c r="G293" s="236"/>
      <c r="H293" s="224"/>
      <c r="I293" s="223">
        <f t="shared" si="87"/>
        <v>0</v>
      </c>
      <c r="J293" s="236"/>
      <c r="K293" s="286"/>
      <c r="L293" s="223">
        <f t="shared" si="88"/>
        <v>0</v>
      </c>
      <c r="M293" s="20"/>
      <c r="N293" s="7"/>
      <c r="O293" s="21">
        <f>L293+M293+N293</f>
        <v>0</v>
      </c>
      <c r="P293" s="74"/>
      <c r="Q293" s="72">
        <f>O293+P293</f>
        <v>0</v>
      </c>
    </row>
    <row r="294" spans="1:17" ht="12.75">
      <c r="A294" s="39" t="s">
        <v>53</v>
      </c>
      <c r="B294" s="95"/>
      <c r="C294" s="116">
        <f aca="true" t="shared" si="89" ref="C294:Q294">SUM(C296:C300)</f>
        <v>800</v>
      </c>
      <c r="D294" s="117">
        <f t="shared" si="89"/>
        <v>1300</v>
      </c>
      <c r="E294" s="117">
        <f t="shared" si="89"/>
        <v>1270.62</v>
      </c>
      <c r="F294" s="210">
        <f t="shared" si="89"/>
        <v>3370.62</v>
      </c>
      <c r="G294" s="267">
        <f t="shared" si="89"/>
        <v>0</v>
      </c>
      <c r="H294" s="252">
        <f t="shared" si="89"/>
        <v>0</v>
      </c>
      <c r="I294" s="230">
        <f t="shared" si="89"/>
        <v>3370.62</v>
      </c>
      <c r="J294" s="267">
        <f t="shared" si="89"/>
        <v>0</v>
      </c>
      <c r="K294" s="297">
        <f t="shared" si="89"/>
        <v>0</v>
      </c>
      <c r="L294" s="230">
        <f t="shared" si="89"/>
        <v>3370.62</v>
      </c>
      <c r="M294" s="116">
        <f t="shared" si="89"/>
        <v>0</v>
      </c>
      <c r="N294" s="116">
        <f t="shared" si="89"/>
        <v>0</v>
      </c>
      <c r="O294" s="116">
        <f t="shared" si="89"/>
        <v>800</v>
      </c>
      <c r="P294" s="116">
        <f t="shared" si="89"/>
        <v>0</v>
      </c>
      <c r="Q294" s="165">
        <f t="shared" si="89"/>
        <v>800</v>
      </c>
    </row>
    <row r="295" spans="1:17" ht="12.75">
      <c r="A295" s="30" t="s">
        <v>26</v>
      </c>
      <c r="B295" s="91"/>
      <c r="C295" s="109"/>
      <c r="D295" s="110"/>
      <c r="E295" s="110"/>
      <c r="F295" s="207"/>
      <c r="G295" s="266"/>
      <c r="H295" s="250"/>
      <c r="I295" s="225"/>
      <c r="J295" s="266"/>
      <c r="K295" s="288"/>
      <c r="L295" s="225"/>
      <c r="M295" s="22"/>
      <c r="N295" s="8"/>
      <c r="O295" s="23"/>
      <c r="P295" s="74"/>
      <c r="Q295" s="72"/>
    </row>
    <row r="296" spans="1:17" ht="12.75" hidden="1">
      <c r="A296" s="32" t="s">
        <v>143</v>
      </c>
      <c r="B296" s="91"/>
      <c r="C296" s="108"/>
      <c r="D296" s="107"/>
      <c r="E296" s="107"/>
      <c r="F296" s="206">
        <f>C296+D296+E296</f>
        <v>0</v>
      </c>
      <c r="G296" s="236"/>
      <c r="H296" s="224"/>
      <c r="I296" s="223">
        <f>F296+G296+H296</f>
        <v>0</v>
      </c>
      <c r="J296" s="236"/>
      <c r="K296" s="286"/>
      <c r="L296" s="223">
        <f>I296+J296+K296</f>
        <v>0</v>
      </c>
      <c r="M296" s="20"/>
      <c r="N296" s="7"/>
      <c r="O296" s="21">
        <f>L296+M296+N296</f>
        <v>0</v>
      </c>
      <c r="P296" s="74"/>
      <c r="Q296" s="72">
        <f>O296+P296</f>
        <v>0</v>
      </c>
    </row>
    <row r="297" spans="1:17" ht="12.75">
      <c r="A297" s="32" t="s">
        <v>230</v>
      </c>
      <c r="B297" s="91"/>
      <c r="C297" s="108">
        <v>800</v>
      </c>
      <c r="D297" s="107">
        <f>500</f>
        <v>500</v>
      </c>
      <c r="E297" s="107">
        <f>1270.62</f>
        <v>1270.62</v>
      </c>
      <c r="F297" s="206">
        <f>C297+D297+E297</f>
        <v>2570.62</v>
      </c>
      <c r="G297" s="236"/>
      <c r="H297" s="224"/>
      <c r="I297" s="223">
        <f>F297+G297+H297</f>
        <v>2570.62</v>
      </c>
      <c r="J297" s="236"/>
      <c r="K297" s="286"/>
      <c r="L297" s="223">
        <f>I297+J297+K297</f>
        <v>2570.62</v>
      </c>
      <c r="M297" s="20"/>
      <c r="N297" s="7"/>
      <c r="O297" s="21"/>
      <c r="P297" s="74"/>
      <c r="Q297" s="72"/>
    </row>
    <row r="298" spans="1:17" ht="12.75" hidden="1">
      <c r="A298" s="32" t="s">
        <v>231</v>
      </c>
      <c r="B298" s="91"/>
      <c r="C298" s="108"/>
      <c r="D298" s="107"/>
      <c r="E298" s="107"/>
      <c r="F298" s="206">
        <f>C298+D298+E298</f>
        <v>0</v>
      </c>
      <c r="G298" s="236"/>
      <c r="H298" s="224"/>
      <c r="I298" s="223"/>
      <c r="J298" s="236"/>
      <c r="K298" s="286"/>
      <c r="L298" s="223"/>
      <c r="M298" s="20"/>
      <c r="N298" s="7"/>
      <c r="O298" s="21"/>
      <c r="P298" s="74"/>
      <c r="Q298" s="72"/>
    </row>
    <row r="299" spans="1:17" ht="12.75" hidden="1">
      <c r="A299" s="32" t="s">
        <v>52</v>
      </c>
      <c r="B299" s="91"/>
      <c r="C299" s="108"/>
      <c r="D299" s="107"/>
      <c r="E299" s="107"/>
      <c r="F299" s="206">
        <f>C299+D299+E299</f>
        <v>0</v>
      </c>
      <c r="G299" s="235"/>
      <c r="H299" s="253"/>
      <c r="I299" s="231">
        <f>F299+G299+H299</f>
        <v>0</v>
      </c>
      <c r="J299" s="235"/>
      <c r="K299" s="289"/>
      <c r="L299" s="231">
        <f>I299+J299+K299</f>
        <v>0</v>
      </c>
      <c r="M299" s="24"/>
      <c r="N299" s="9"/>
      <c r="O299" s="25">
        <f>L299+M299+N299</f>
        <v>0</v>
      </c>
      <c r="P299" s="77"/>
      <c r="Q299" s="78">
        <f>O299+P299</f>
        <v>0</v>
      </c>
    </row>
    <row r="300" spans="1:17" ht="13.5" thickBot="1">
      <c r="A300" s="156" t="s">
        <v>54</v>
      </c>
      <c r="B300" s="130"/>
      <c r="C300" s="188"/>
      <c r="D300" s="131">
        <f>800</f>
        <v>800</v>
      </c>
      <c r="E300" s="131"/>
      <c r="F300" s="212">
        <f>C300+D300+E300</f>
        <v>800</v>
      </c>
      <c r="G300" s="310"/>
      <c r="H300" s="311"/>
      <c r="I300" s="312">
        <f>F300+G300+H300</f>
        <v>800</v>
      </c>
      <c r="J300" s="310"/>
      <c r="K300" s="313"/>
      <c r="L300" s="312">
        <f>I300+J300+K300</f>
        <v>800</v>
      </c>
      <c r="M300" s="24"/>
      <c r="N300" s="9"/>
      <c r="O300" s="25">
        <f>L300+M300+N300</f>
        <v>800</v>
      </c>
      <c r="P300" s="74"/>
      <c r="Q300" s="72">
        <f>O300+P300</f>
        <v>800</v>
      </c>
    </row>
    <row r="301" spans="1:17" ht="12.75">
      <c r="A301" s="29" t="s">
        <v>234</v>
      </c>
      <c r="B301" s="95"/>
      <c r="C301" s="105">
        <f aca="true" t="shared" si="90" ref="C301:Q301">C302+C319</f>
        <v>480289.64</v>
      </c>
      <c r="D301" s="106">
        <f t="shared" si="90"/>
        <v>-11549.519999999997</v>
      </c>
      <c r="E301" s="106">
        <f t="shared" si="90"/>
        <v>0</v>
      </c>
      <c r="F301" s="205">
        <f t="shared" si="90"/>
        <v>468740.12</v>
      </c>
      <c r="G301" s="232">
        <f t="shared" si="90"/>
        <v>1002.23</v>
      </c>
      <c r="H301" s="248">
        <f t="shared" si="90"/>
        <v>0</v>
      </c>
      <c r="I301" s="222">
        <f t="shared" si="90"/>
        <v>469742.35</v>
      </c>
      <c r="J301" s="232">
        <f>J302+J319</f>
        <v>5902.23</v>
      </c>
      <c r="K301" s="285">
        <f>K302+K319</f>
        <v>0</v>
      </c>
      <c r="L301" s="222">
        <f>L302+L319</f>
        <v>475644.57999999996</v>
      </c>
      <c r="M301" s="105">
        <f t="shared" si="90"/>
        <v>0</v>
      </c>
      <c r="N301" s="105">
        <f t="shared" si="90"/>
        <v>0</v>
      </c>
      <c r="O301" s="105">
        <f t="shared" si="90"/>
        <v>474643.44999999995</v>
      </c>
      <c r="P301" s="105">
        <f t="shared" si="90"/>
        <v>0</v>
      </c>
      <c r="Q301" s="159">
        <f t="shared" si="90"/>
        <v>474643.44999999995</v>
      </c>
    </row>
    <row r="302" spans="1:17" ht="12.75">
      <c r="A302" s="38" t="s">
        <v>49</v>
      </c>
      <c r="B302" s="95"/>
      <c r="C302" s="113">
        <f aca="true" t="shared" si="91" ref="C302:Q302">SUM(C304:C318)</f>
        <v>480289.64</v>
      </c>
      <c r="D302" s="114">
        <f t="shared" si="91"/>
        <v>-11549.519999999997</v>
      </c>
      <c r="E302" s="114">
        <f t="shared" si="91"/>
        <v>0</v>
      </c>
      <c r="F302" s="209">
        <f t="shared" si="91"/>
        <v>468740.12</v>
      </c>
      <c r="G302" s="233">
        <f t="shared" si="91"/>
        <v>1002.23</v>
      </c>
      <c r="H302" s="251">
        <f t="shared" si="91"/>
        <v>0</v>
      </c>
      <c r="I302" s="229">
        <f t="shared" si="91"/>
        <v>469742.35</v>
      </c>
      <c r="J302" s="233">
        <f>SUM(J304:J318)</f>
        <v>5902.23</v>
      </c>
      <c r="K302" s="290">
        <f>SUM(K304:K318)</f>
        <v>0</v>
      </c>
      <c r="L302" s="229">
        <f>SUM(L304:L318)</f>
        <v>475644.57999999996</v>
      </c>
      <c r="M302" s="113">
        <f t="shared" si="91"/>
        <v>0</v>
      </c>
      <c r="N302" s="113">
        <f t="shared" si="91"/>
        <v>0</v>
      </c>
      <c r="O302" s="113">
        <f t="shared" si="91"/>
        <v>474643.44999999995</v>
      </c>
      <c r="P302" s="113">
        <f t="shared" si="91"/>
        <v>0</v>
      </c>
      <c r="Q302" s="164">
        <f t="shared" si="91"/>
        <v>474643.44999999995</v>
      </c>
    </row>
    <row r="303" spans="1:17" ht="12.75">
      <c r="A303" s="34" t="s">
        <v>26</v>
      </c>
      <c r="B303" s="91"/>
      <c r="C303" s="108"/>
      <c r="D303" s="107"/>
      <c r="E303" s="107"/>
      <c r="F303" s="206"/>
      <c r="G303" s="236"/>
      <c r="H303" s="224"/>
      <c r="I303" s="223"/>
      <c r="J303" s="236"/>
      <c r="K303" s="286"/>
      <c r="L303" s="223"/>
      <c r="M303" s="20"/>
      <c r="N303" s="7"/>
      <c r="O303" s="21"/>
      <c r="P303" s="74"/>
      <c r="Q303" s="72"/>
    </row>
    <row r="304" spans="1:17" ht="12.75">
      <c r="A304" s="41" t="s">
        <v>127</v>
      </c>
      <c r="B304" s="91"/>
      <c r="C304" s="108">
        <v>261770.61</v>
      </c>
      <c r="D304" s="118">
        <f>4123.76</f>
        <v>4123.76</v>
      </c>
      <c r="E304" s="107"/>
      <c r="F304" s="206">
        <f aca="true" t="shared" si="92" ref="F304:F318">C304+D304+E304</f>
        <v>265894.37</v>
      </c>
      <c r="G304" s="236"/>
      <c r="H304" s="224"/>
      <c r="I304" s="223">
        <f>F304+G304+H304</f>
        <v>265894.37</v>
      </c>
      <c r="J304" s="269">
        <f>2500+852.71</f>
        <v>3352.71</v>
      </c>
      <c r="K304" s="286"/>
      <c r="L304" s="223">
        <f>I304+J304+K304</f>
        <v>269247.08</v>
      </c>
      <c r="M304" s="20"/>
      <c r="N304" s="7"/>
      <c r="O304" s="21">
        <f>L304+M304+N304</f>
        <v>269247.08</v>
      </c>
      <c r="P304" s="74"/>
      <c r="Q304" s="72">
        <f aca="true" t="shared" si="93" ref="Q304:Q311">O304+P304</f>
        <v>269247.08</v>
      </c>
    </row>
    <row r="305" spans="1:17" ht="12.75">
      <c r="A305" s="32" t="s">
        <v>50</v>
      </c>
      <c r="B305" s="91"/>
      <c r="C305" s="108">
        <v>88209.38</v>
      </c>
      <c r="D305" s="107">
        <f>1376.93</f>
        <v>1376.93</v>
      </c>
      <c r="E305" s="107"/>
      <c r="F305" s="206">
        <f t="shared" si="92"/>
        <v>89586.31</v>
      </c>
      <c r="G305" s="236"/>
      <c r="H305" s="224"/>
      <c r="I305" s="223">
        <f aca="true" t="shared" si="94" ref="I305:I315">F305+G305+H305</f>
        <v>89586.31</v>
      </c>
      <c r="J305" s="236">
        <f>1147.29</f>
        <v>1147.29</v>
      </c>
      <c r="K305" s="286"/>
      <c r="L305" s="223">
        <f aca="true" t="shared" si="95" ref="L305:L318">I305+J305+K305</f>
        <v>90733.59999999999</v>
      </c>
      <c r="M305" s="20"/>
      <c r="N305" s="7"/>
      <c r="O305" s="21">
        <f aca="true" t="shared" si="96" ref="O305:O311">L305+M305+N305</f>
        <v>90733.59999999999</v>
      </c>
      <c r="P305" s="74"/>
      <c r="Q305" s="72">
        <f t="shared" si="93"/>
        <v>90733.59999999999</v>
      </c>
    </row>
    <row r="306" spans="1:17" ht="12.75">
      <c r="A306" s="32" t="s">
        <v>229</v>
      </c>
      <c r="B306" s="91"/>
      <c r="C306" s="108">
        <v>196</v>
      </c>
      <c r="D306" s="107"/>
      <c r="E306" s="107"/>
      <c r="F306" s="206">
        <f t="shared" si="92"/>
        <v>196</v>
      </c>
      <c r="G306" s="236"/>
      <c r="H306" s="224"/>
      <c r="I306" s="223">
        <f t="shared" si="94"/>
        <v>196</v>
      </c>
      <c r="J306" s="236"/>
      <c r="K306" s="286"/>
      <c r="L306" s="223">
        <f t="shared" si="95"/>
        <v>196</v>
      </c>
      <c r="M306" s="20"/>
      <c r="N306" s="7"/>
      <c r="O306" s="21">
        <f t="shared" si="96"/>
        <v>196</v>
      </c>
      <c r="P306" s="74"/>
      <c r="Q306" s="72">
        <f t="shared" si="93"/>
        <v>196</v>
      </c>
    </row>
    <row r="307" spans="1:17" ht="12.75">
      <c r="A307" s="32" t="s">
        <v>51</v>
      </c>
      <c r="B307" s="91"/>
      <c r="C307" s="108">
        <v>67230.25</v>
      </c>
      <c r="D307" s="129">
        <f>-25455+140.83+2250+555</f>
        <v>-22509.17</v>
      </c>
      <c r="E307" s="107"/>
      <c r="F307" s="206">
        <f t="shared" si="92"/>
        <v>44721.08</v>
      </c>
      <c r="G307" s="236">
        <f>1.1</f>
        <v>1.1</v>
      </c>
      <c r="H307" s="224"/>
      <c r="I307" s="223">
        <f t="shared" si="94"/>
        <v>44722.18</v>
      </c>
      <c r="J307" s="236">
        <f>2902.23-2000</f>
        <v>902.23</v>
      </c>
      <c r="K307" s="286"/>
      <c r="L307" s="223">
        <f t="shared" si="95"/>
        <v>45624.41</v>
      </c>
      <c r="M307" s="20"/>
      <c r="N307" s="7"/>
      <c r="O307" s="21">
        <f t="shared" si="96"/>
        <v>45624.41</v>
      </c>
      <c r="P307" s="74"/>
      <c r="Q307" s="72">
        <f t="shared" si="93"/>
        <v>45624.41</v>
      </c>
    </row>
    <row r="308" spans="1:17" ht="12.75">
      <c r="A308" s="32" t="s">
        <v>55</v>
      </c>
      <c r="B308" s="91">
        <v>1115</v>
      </c>
      <c r="C308" s="108">
        <v>343</v>
      </c>
      <c r="D308" s="107">
        <f>188.96</f>
        <v>188.96</v>
      </c>
      <c r="E308" s="107"/>
      <c r="F308" s="206">
        <f t="shared" si="92"/>
        <v>531.96</v>
      </c>
      <c r="G308" s="236"/>
      <c r="H308" s="224"/>
      <c r="I308" s="223">
        <f t="shared" si="94"/>
        <v>531.96</v>
      </c>
      <c r="J308" s="236"/>
      <c r="K308" s="286"/>
      <c r="L308" s="223">
        <f t="shared" si="95"/>
        <v>531.96</v>
      </c>
      <c r="M308" s="20"/>
      <c r="N308" s="7"/>
      <c r="O308" s="21">
        <f t="shared" si="96"/>
        <v>531.96</v>
      </c>
      <c r="P308" s="74"/>
      <c r="Q308" s="72">
        <f t="shared" si="93"/>
        <v>531.96</v>
      </c>
    </row>
    <row r="309" spans="1:17" ht="12.75" hidden="1">
      <c r="A309" s="32" t="s">
        <v>56</v>
      </c>
      <c r="B309" s="91"/>
      <c r="C309" s="108"/>
      <c r="D309" s="107"/>
      <c r="E309" s="107"/>
      <c r="F309" s="206">
        <f t="shared" si="92"/>
        <v>0</v>
      </c>
      <c r="G309" s="236"/>
      <c r="H309" s="224"/>
      <c r="I309" s="223">
        <f t="shared" si="94"/>
        <v>0</v>
      </c>
      <c r="J309" s="236"/>
      <c r="K309" s="286"/>
      <c r="L309" s="223">
        <f t="shared" si="95"/>
        <v>0</v>
      </c>
      <c r="M309" s="20"/>
      <c r="N309" s="7"/>
      <c r="O309" s="21">
        <f t="shared" si="96"/>
        <v>0</v>
      </c>
      <c r="P309" s="74"/>
      <c r="Q309" s="72">
        <f t="shared" si="93"/>
        <v>0</v>
      </c>
    </row>
    <row r="310" spans="1:17" ht="12.75">
      <c r="A310" s="32" t="s">
        <v>57</v>
      </c>
      <c r="B310" s="91">
        <v>51</v>
      </c>
      <c r="C310" s="108">
        <v>62540.4</v>
      </c>
      <c r="D310" s="107">
        <f>5270</f>
        <v>5270</v>
      </c>
      <c r="E310" s="107"/>
      <c r="F310" s="206">
        <f t="shared" si="92"/>
        <v>67810.4</v>
      </c>
      <c r="G310" s="236"/>
      <c r="H310" s="224"/>
      <c r="I310" s="223">
        <f t="shared" si="94"/>
        <v>67810.4</v>
      </c>
      <c r="J310" s="236"/>
      <c r="K310" s="286"/>
      <c r="L310" s="223">
        <f t="shared" si="95"/>
        <v>67810.4</v>
      </c>
      <c r="M310" s="20"/>
      <c r="N310" s="7"/>
      <c r="O310" s="21">
        <f t="shared" si="96"/>
        <v>67810.4</v>
      </c>
      <c r="P310" s="74"/>
      <c r="Q310" s="72">
        <f t="shared" si="93"/>
        <v>67810.4</v>
      </c>
    </row>
    <row r="311" spans="1:17" ht="12.75" hidden="1">
      <c r="A311" s="32" t="s">
        <v>75</v>
      </c>
      <c r="B311" s="91"/>
      <c r="C311" s="108"/>
      <c r="D311" s="107"/>
      <c r="E311" s="107"/>
      <c r="F311" s="206">
        <f t="shared" si="92"/>
        <v>0</v>
      </c>
      <c r="G311" s="236"/>
      <c r="H311" s="224"/>
      <c r="I311" s="223">
        <f t="shared" si="94"/>
        <v>0</v>
      </c>
      <c r="J311" s="236"/>
      <c r="K311" s="286"/>
      <c r="L311" s="223">
        <f t="shared" si="95"/>
        <v>0</v>
      </c>
      <c r="M311" s="20"/>
      <c r="N311" s="7"/>
      <c r="O311" s="21">
        <f t="shared" si="96"/>
        <v>0</v>
      </c>
      <c r="P311" s="74"/>
      <c r="Q311" s="72">
        <f t="shared" si="93"/>
        <v>0</v>
      </c>
    </row>
    <row r="312" spans="1:17" ht="12.75">
      <c r="A312" s="32" t="s">
        <v>339</v>
      </c>
      <c r="B312" s="91">
        <v>13015</v>
      </c>
      <c r="C312" s="108"/>
      <c r="D312" s="107"/>
      <c r="E312" s="107"/>
      <c r="F312" s="206">
        <f t="shared" si="92"/>
        <v>0</v>
      </c>
      <c r="G312" s="236">
        <f>1001.13</f>
        <v>1001.13</v>
      </c>
      <c r="H312" s="224"/>
      <c r="I312" s="223">
        <f t="shared" si="94"/>
        <v>1001.13</v>
      </c>
      <c r="J312" s="236"/>
      <c r="K312" s="286"/>
      <c r="L312" s="223">
        <f t="shared" si="95"/>
        <v>1001.13</v>
      </c>
      <c r="M312" s="20"/>
      <c r="N312" s="7"/>
      <c r="O312" s="21"/>
      <c r="P312" s="74"/>
      <c r="Q312" s="72"/>
    </row>
    <row r="313" spans="1:17" ht="12.75" hidden="1">
      <c r="A313" s="32" t="s">
        <v>58</v>
      </c>
      <c r="B313" s="91"/>
      <c r="C313" s="108"/>
      <c r="D313" s="107"/>
      <c r="E313" s="107"/>
      <c r="F313" s="206">
        <f t="shared" si="92"/>
        <v>0</v>
      </c>
      <c r="G313" s="236"/>
      <c r="H313" s="224"/>
      <c r="I313" s="223">
        <f t="shared" si="94"/>
        <v>0</v>
      </c>
      <c r="J313" s="236"/>
      <c r="K313" s="286"/>
      <c r="L313" s="223">
        <f t="shared" si="95"/>
        <v>0</v>
      </c>
      <c r="M313" s="20"/>
      <c r="N313" s="7"/>
      <c r="O313" s="21">
        <f>L313+M313+N313</f>
        <v>0</v>
      </c>
      <c r="P313" s="74"/>
      <c r="Q313" s="72">
        <f>O313+P313</f>
        <v>0</v>
      </c>
    </row>
    <row r="314" spans="1:17" ht="12.75" hidden="1">
      <c r="A314" s="32" t="s">
        <v>237</v>
      </c>
      <c r="B314" s="91">
        <v>98008</v>
      </c>
      <c r="C314" s="108"/>
      <c r="D314" s="107"/>
      <c r="E314" s="107"/>
      <c r="F314" s="206">
        <f t="shared" si="92"/>
        <v>0</v>
      </c>
      <c r="G314" s="236"/>
      <c r="H314" s="224"/>
      <c r="I314" s="223">
        <f t="shared" si="94"/>
        <v>0</v>
      </c>
      <c r="J314" s="236"/>
      <c r="K314" s="286"/>
      <c r="L314" s="223">
        <f t="shared" si="95"/>
        <v>0</v>
      </c>
      <c r="M314" s="20"/>
      <c r="N314" s="7"/>
      <c r="O314" s="21"/>
      <c r="P314" s="74"/>
      <c r="Q314" s="72"/>
    </row>
    <row r="315" spans="1:17" ht="12.75" hidden="1">
      <c r="A315" s="32" t="s">
        <v>238</v>
      </c>
      <c r="B315" s="91">
        <v>98071</v>
      </c>
      <c r="C315" s="108"/>
      <c r="D315" s="107"/>
      <c r="E315" s="107"/>
      <c r="F315" s="206">
        <f t="shared" si="92"/>
        <v>0</v>
      </c>
      <c r="G315" s="236"/>
      <c r="H315" s="224"/>
      <c r="I315" s="223">
        <f t="shared" si="94"/>
        <v>0</v>
      </c>
      <c r="J315" s="236"/>
      <c r="K315" s="286"/>
      <c r="L315" s="223">
        <f t="shared" si="95"/>
        <v>0</v>
      </c>
      <c r="M315" s="20"/>
      <c r="N315" s="7"/>
      <c r="O315" s="21"/>
      <c r="P315" s="74"/>
      <c r="Q315" s="72"/>
    </row>
    <row r="316" spans="1:17" ht="12.75" hidden="1">
      <c r="A316" s="32" t="s">
        <v>59</v>
      </c>
      <c r="B316" s="91">
        <v>98074</v>
      </c>
      <c r="C316" s="108"/>
      <c r="D316" s="107"/>
      <c r="E316" s="107"/>
      <c r="F316" s="185">
        <f t="shared" si="92"/>
        <v>0</v>
      </c>
      <c r="G316" s="236"/>
      <c r="H316" s="224"/>
      <c r="I316" s="223">
        <f>F316+G316+H316</f>
        <v>0</v>
      </c>
      <c r="J316" s="236"/>
      <c r="K316" s="286"/>
      <c r="L316" s="223">
        <f t="shared" si="95"/>
        <v>0</v>
      </c>
      <c r="M316" s="20"/>
      <c r="N316" s="7"/>
      <c r="O316" s="21">
        <f>L316+M316+N316</f>
        <v>0</v>
      </c>
      <c r="P316" s="74"/>
      <c r="Q316" s="72">
        <f>O316+P316</f>
        <v>0</v>
      </c>
    </row>
    <row r="317" spans="1:17" ht="12.75" hidden="1">
      <c r="A317" s="32" t="s">
        <v>60</v>
      </c>
      <c r="B317" s="91"/>
      <c r="C317" s="108"/>
      <c r="D317" s="107"/>
      <c r="E317" s="107"/>
      <c r="F317" s="206">
        <f t="shared" si="92"/>
        <v>0</v>
      </c>
      <c r="G317" s="236"/>
      <c r="H317" s="224"/>
      <c r="I317" s="223">
        <f>F317+G317+H317</f>
        <v>0</v>
      </c>
      <c r="J317" s="236"/>
      <c r="K317" s="286"/>
      <c r="L317" s="223">
        <f t="shared" si="95"/>
        <v>0</v>
      </c>
      <c r="M317" s="20"/>
      <c r="N317" s="7"/>
      <c r="O317" s="21">
        <f>L317+M317+N317</f>
        <v>0</v>
      </c>
      <c r="P317" s="74"/>
      <c r="Q317" s="72">
        <f>O317+P317</f>
        <v>0</v>
      </c>
    </row>
    <row r="318" spans="1:17" ht="12.75">
      <c r="A318" s="35" t="s">
        <v>61</v>
      </c>
      <c r="B318" s="94">
        <v>4001</v>
      </c>
      <c r="C318" s="186"/>
      <c r="D318" s="115"/>
      <c r="E318" s="115"/>
      <c r="F318" s="211">
        <f t="shared" si="92"/>
        <v>0</v>
      </c>
      <c r="G318" s="235"/>
      <c r="H318" s="253"/>
      <c r="I318" s="231">
        <f>F318+G318+H318</f>
        <v>0</v>
      </c>
      <c r="J318" s="235">
        <f>500</f>
        <v>500</v>
      </c>
      <c r="K318" s="289"/>
      <c r="L318" s="231">
        <f t="shared" si="95"/>
        <v>500</v>
      </c>
      <c r="M318" s="20"/>
      <c r="N318" s="7"/>
      <c r="O318" s="21">
        <f>L318+M318+N318</f>
        <v>500</v>
      </c>
      <c r="P318" s="74"/>
      <c r="Q318" s="72">
        <f>O318+P318</f>
        <v>500</v>
      </c>
    </row>
    <row r="319" spans="1:17" ht="12.75" hidden="1">
      <c r="A319" s="38" t="s">
        <v>53</v>
      </c>
      <c r="B319" s="95"/>
      <c r="C319" s="113">
        <f>C322+C321</f>
        <v>0</v>
      </c>
      <c r="D319" s="114">
        <f aca="true" t="shared" si="97" ref="D319:Q319">D322+D321</f>
        <v>0</v>
      </c>
      <c r="E319" s="114">
        <f t="shared" si="97"/>
        <v>0</v>
      </c>
      <c r="F319" s="209">
        <f t="shared" si="97"/>
        <v>0</v>
      </c>
      <c r="G319" s="233">
        <f t="shared" si="97"/>
        <v>0</v>
      </c>
      <c r="H319" s="251">
        <f t="shared" si="97"/>
        <v>0</v>
      </c>
      <c r="I319" s="229">
        <f t="shared" si="97"/>
        <v>0</v>
      </c>
      <c r="J319" s="233">
        <f t="shared" si="97"/>
        <v>0</v>
      </c>
      <c r="K319" s="290">
        <f t="shared" si="97"/>
        <v>0</v>
      </c>
      <c r="L319" s="229">
        <f t="shared" si="97"/>
        <v>0</v>
      </c>
      <c r="M319" s="113">
        <f t="shared" si="97"/>
        <v>0</v>
      </c>
      <c r="N319" s="113">
        <f t="shared" si="97"/>
        <v>0</v>
      </c>
      <c r="O319" s="113">
        <f t="shared" si="97"/>
        <v>0</v>
      </c>
      <c r="P319" s="113">
        <f t="shared" si="97"/>
        <v>0</v>
      </c>
      <c r="Q319" s="164">
        <f t="shared" si="97"/>
        <v>0</v>
      </c>
    </row>
    <row r="320" spans="1:17" ht="12.75" hidden="1">
      <c r="A320" s="34" t="s">
        <v>26</v>
      </c>
      <c r="B320" s="91"/>
      <c r="C320" s="108"/>
      <c r="D320" s="107"/>
      <c r="E320" s="107"/>
      <c r="F320" s="205"/>
      <c r="G320" s="236"/>
      <c r="H320" s="224"/>
      <c r="I320" s="222"/>
      <c r="J320" s="236"/>
      <c r="K320" s="286"/>
      <c r="L320" s="222"/>
      <c r="M320" s="20"/>
      <c r="N320" s="7"/>
      <c r="O320" s="19"/>
      <c r="P320" s="74"/>
      <c r="Q320" s="72"/>
    </row>
    <row r="321" spans="1:17" ht="12.75" hidden="1">
      <c r="A321" s="31" t="s">
        <v>54</v>
      </c>
      <c r="B321" s="91"/>
      <c r="C321" s="108"/>
      <c r="D321" s="107"/>
      <c r="E321" s="107"/>
      <c r="F321" s="206">
        <f>C321+D321+E321</f>
        <v>0</v>
      </c>
      <c r="G321" s="236"/>
      <c r="H321" s="224"/>
      <c r="I321" s="223">
        <f>F321+G321+H321</f>
        <v>0</v>
      </c>
      <c r="J321" s="236"/>
      <c r="K321" s="286"/>
      <c r="L321" s="223">
        <f>I321+J321+K321</f>
        <v>0</v>
      </c>
      <c r="M321" s="20"/>
      <c r="N321" s="7"/>
      <c r="O321" s="21">
        <f>L321+M321+N321</f>
        <v>0</v>
      </c>
      <c r="P321" s="74"/>
      <c r="Q321" s="72">
        <f>O321+P321</f>
        <v>0</v>
      </c>
    </row>
    <row r="322" spans="1:17" ht="12.75" hidden="1">
      <c r="A322" s="35" t="s">
        <v>76</v>
      </c>
      <c r="B322" s="94"/>
      <c r="C322" s="186"/>
      <c r="D322" s="115"/>
      <c r="E322" s="115"/>
      <c r="F322" s="211">
        <f>C322+D322+E322</f>
        <v>0</v>
      </c>
      <c r="G322" s="235"/>
      <c r="H322" s="253"/>
      <c r="I322" s="231">
        <f>F322+G322+H322</f>
        <v>0</v>
      </c>
      <c r="J322" s="235"/>
      <c r="K322" s="289"/>
      <c r="L322" s="231">
        <f>I322+J322+K322</f>
        <v>0</v>
      </c>
      <c r="M322" s="24"/>
      <c r="N322" s="9"/>
      <c r="O322" s="25">
        <f>L322+M322+N322</f>
        <v>0</v>
      </c>
      <c r="P322" s="77"/>
      <c r="Q322" s="78">
        <f>O322+P322</f>
        <v>0</v>
      </c>
    </row>
    <row r="323" spans="1:17" ht="12.75">
      <c r="A323" s="44" t="s">
        <v>153</v>
      </c>
      <c r="B323" s="96"/>
      <c r="C323" s="105">
        <f aca="true" t="shared" si="98" ref="C323:Q323">C324+C350</f>
        <v>561310.2</v>
      </c>
      <c r="D323" s="106">
        <f t="shared" si="98"/>
        <v>1522805.8199999996</v>
      </c>
      <c r="E323" s="106">
        <f t="shared" si="98"/>
        <v>29719.719999999998</v>
      </c>
      <c r="F323" s="205">
        <f t="shared" si="98"/>
        <v>2113835.74</v>
      </c>
      <c r="G323" s="232">
        <f t="shared" si="98"/>
        <v>610719.65</v>
      </c>
      <c r="H323" s="248">
        <f t="shared" si="98"/>
        <v>8691.2</v>
      </c>
      <c r="I323" s="222">
        <f t="shared" si="98"/>
        <v>2733246.59</v>
      </c>
      <c r="J323" s="232">
        <f>J324+J350</f>
        <v>28344.03000000001</v>
      </c>
      <c r="K323" s="285">
        <f>K324+K350</f>
        <v>11529.78</v>
      </c>
      <c r="L323" s="222">
        <f>L324+L350</f>
        <v>2773120.4</v>
      </c>
      <c r="M323" s="105">
        <f t="shared" si="98"/>
        <v>0</v>
      </c>
      <c r="N323" s="105">
        <f t="shared" si="98"/>
        <v>0</v>
      </c>
      <c r="O323" s="105">
        <f t="shared" si="98"/>
        <v>0</v>
      </c>
      <c r="P323" s="105">
        <f t="shared" si="98"/>
        <v>0</v>
      </c>
      <c r="Q323" s="159">
        <f t="shared" si="98"/>
        <v>0</v>
      </c>
    </row>
    <row r="324" spans="1:17" ht="12.75">
      <c r="A324" s="38" t="s">
        <v>49</v>
      </c>
      <c r="B324" s="95"/>
      <c r="C324" s="113">
        <f aca="true" t="shared" si="99" ref="C324:Q324">SUM(C326:C338)</f>
        <v>78611.45</v>
      </c>
      <c r="D324" s="114">
        <f t="shared" si="99"/>
        <v>69516.63999999998</v>
      </c>
      <c r="E324" s="114">
        <f t="shared" si="99"/>
        <v>32.67</v>
      </c>
      <c r="F324" s="209">
        <f t="shared" si="99"/>
        <v>148160.76</v>
      </c>
      <c r="G324" s="233">
        <f t="shared" si="99"/>
        <v>2366.3</v>
      </c>
      <c r="H324" s="251">
        <f t="shared" si="99"/>
        <v>4682.41</v>
      </c>
      <c r="I324" s="229">
        <f t="shared" si="99"/>
        <v>155209.46999999997</v>
      </c>
      <c r="J324" s="233">
        <f>SUM(J326:J338)</f>
        <v>-4444.660000000001</v>
      </c>
      <c r="K324" s="290">
        <f>SUM(K326:K338)</f>
        <v>3070.3700000000003</v>
      </c>
      <c r="L324" s="229">
        <f>SUM(L326:L338)</f>
        <v>153835.18</v>
      </c>
      <c r="M324" s="113">
        <f t="shared" si="99"/>
        <v>0</v>
      </c>
      <c r="N324" s="113">
        <f t="shared" si="99"/>
        <v>0</v>
      </c>
      <c r="O324" s="113">
        <f t="shared" si="99"/>
        <v>0</v>
      </c>
      <c r="P324" s="113">
        <f t="shared" si="99"/>
        <v>0</v>
      </c>
      <c r="Q324" s="164">
        <f t="shared" si="99"/>
        <v>0</v>
      </c>
    </row>
    <row r="325" spans="1:17" ht="12.75">
      <c r="A325" s="34" t="s">
        <v>26</v>
      </c>
      <c r="B325" s="91"/>
      <c r="C325" s="113"/>
      <c r="D325" s="123"/>
      <c r="E325" s="123"/>
      <c r="F325" s="209"/>
      <c r="G325" s="236"/>
      <c r="H325" s="224"/>
      <c r="I325" s="223"/>
      <c r="J325" s="236"/>
      <c r="K325" s="286"/>
      <c r="L325" s="223"/>
      <c r="M325" s="28"/>
      <c r="N325" s="7"/>
      <c r="O325" s="21"/>
      <c r="P325" s="74"/>
      <c r="Q325" s="72"/>
    </row>
    <row r="326" spans="1:17" ht="12.75">
      <c r="A326" s="36" t="s">
        <v>51</v>
      </c>
      <c r="B326" s="91"/>
      <c r="C326" s="108">
        <v>6512.95</v>
      </c>
      <c r="D326" s="118">
        <f>2000+6655.15</f>
        <v>8655.15</v>
      </c>
      <c r="E326" s="118"/>
      <c r="F326" s="206">
        <f aca="true" t="shared" si="100" ref="F326:F349">C326+D326+E326</f>
        <v>15168.099999999999</v>
      </c>
      <c r="G326" s="236">
        <f>200</f>
        <v>200</v>
      </c>
      <c r="H326" s="224"/>
      <c r="I326" s="223">
        <f aca="true" t="shared" si="101" ref="I326:I337">F326+G326+H326</f>
        <v>15368.099999999999</v>
      </c>
      <c r="J326" s="236">
        <f>-1000</f>
        <v>-1000</v>
      </c>
      <c r="K326" s="286"/>
      <c r="L326" s="223">
        <f aca="true" t="shared" si="102" ref="L326:L348">I326+J326+K326</f>
        <v>14368.099999999999</v>
      </c>
      <c r="M326" s="28"/>
      <c r="N326" s="7"/>
      <c r="O326" s="21"/>
      <c r="P326" s="74"/>
      <c r="Q326" s="72"/>
    </row>
    <row r="327" spans="1:17" ht="12.75">
      <c r="A327" s="36" t="s">
        <v>159</v>
      </c>
      <c r="B327" s="91">
        <v>1080</v>
      </c>
      <c r="C327" s="108"/>
      <c r="D327" s="118">
        <f>1246.76</f>
        <v>1246.76</v>
      </c>
      <c r="E327" s="118"/>
      <c r="F327" s="206">
        <f t="shared" si="100"/>
        <v>1246.76</v>
      </c>
      <c r="G327" s="236"/>
      <c r="H327" s="224"/>
      <c r="I327" s="223">
        <f t="shared" si="101"/>
        <v>1246.76</v>
      </c>
      <c r="J327" s="236"/>
      <c r="K327" s="286"/>
      <c r="L327" s="223">
        <f t="shared" si="102"/>
        <v>1246.76</v>
      </c>
      <c r="M327" s="28"/>
      <c r="N327" s="7"/>
      <c r="O327" s="21"/>
      <c r="P327" s="74"/>
      <c r="Q327" s="72"/>
    </row>
    <row r="328" spans="1:17" ht="12.75">
      <c r="A328" s="36" t="s">
        <v>160</v>
      </c>
      <c r="B328" s="155">
        <v>1081.1202</v>
      </c>
      <c r="C328" s="108">
        <v>1490</v>
      </c>
      <c r="D328" s="118">
        <f>228.14</f>
        <v>228.14</v>
      </c>
      <c r="E328" s="118"/>
      <c r="F328" s="206">
        <f t="shared" si="100"/>
        <v>1718.1399999999999</v>
      </c>
      <c r="G328" s="236"/>
      <c r="H328" s="224"/>
      <c r="I328" s="223">
        <f t="shared" si="101"/>
        <v>1718.1399999999999</v>
      </c>
      <c r="J328" s="236"/>
      <c r="K328" s="286"/>
      <c r="L328" s="223">
        <f t="shared" si="102"/>
        <v>1718.1399999999999</v>
      </c>
      <c r="M328" s="28"/>
      <c r="N328" s="7"/>
      <c r="O328" s="21"/>
      <c r="P328" s="74"/>
      <c r="Q328" s="72"/>
    </row>
    <row r="329" spans="1:17" ht="12.75" hidden="1">
      <c r="A329" s="92" t="s">
        <v>79</v>
      </c>
      <c r="B329" s="91"/>
      <c r="C329" s="108"/>
      <c r="D329" s="118"/>
      <c r="E329" s="118"/>
      <c r="F329" s="206">
        <f t="shared" si="100"/>
        <v>0</v>
      </c>
      <c r="G329" s="236"/>
      <c r="H329" s="224"/>
      <c r="I329" s="223">
        <f t="shared" si="101"/>
        <v>0</v>
      </c>
      <c r="J329" s="236"/>
      <c r="K329" s="286"/>
      <c r="L329" s="223">
        <f t="shared" si="102"/>
        <v>0</v>
      </c>
      <c r="M329" s="28"/>
      <c r="N329" s="7"/>
      <c r="O329" s="21"/>
      <c r="P329" s="74"/>
      <c r="Q329" s="72"/>
    </row>
    <row r="330" spans="1:17" ht="12.75">
      <c r="A330" s="32" t="s">
        <v>166</v>
      </c>
      <c r="B330" s="91"/>
      <c r="C330" s="108">
        <v>43593.34</v>
      </c>
      <c r="D330" s="118">
        <f>6000</f>
        <v>6000</v>
      </c>
      <c r="E330" s="118"/>
      <c r="F330" s="206">
        <f t="shared" si="100"/>
        <v>49593.34</v>
      </c>
      <c r="G330" s="236"/>
      <c r="H330" s="224"/>
      <c r="I330" s="223">
        <f t="shared" si="101"/>
        <v>49593.34</v>
      </c>
      <c r="J330" s="236"/>
      <c r="K330" s="286"/>
      <c r="L330" s="223">
        <f t="shared" si="102"/>
        <v>49593.34</v>
      </c>
      <c r="M330" s="28"/>
      <c r="N330" s="7"/>
      <c r="O330" s="21"/>
      <c r="P330" s="74"/>
      <c r="Q330" s="72"/>
    </row>
    <row r="331" spans="1:17" ht="12.75">
      <c r="A331" s="36" t="s">
        <v>214</v>
      </c>
      <c r="B331" s="91"/>
      <c r="C331" s="108"/>
      <c r="D331" s="118">
        <f>15406.15</f>
        <v>15406.15</v>
      </c>
      <c r="E331" s="118"/>
      <c r="F331" s="206">
        <f t="shared" si="100"/>
        <v>15406.15</v>
      </c>
      <c r="G331" s="236">
        <f>100</f>
        <v>100</v>
      </c>
      <c r="H331" s="224"/>
      <c r="I331" s="223">
        <f t="shared" si="101"/>
        <v>15506.15</v>
      </c>
      <c r="J331" s="236">
        <f>-4000</f>
        <v>-4000</v>
      </c>
      <c r="K331" s="286"/>
      <c r="L331" s="223">
        <f t="shared" si="102"/>
        <v>11506.15</v>
      </c>
      <c r="M331" s="28"/>
      <c r="N331" s="7"/>
      <c r="O331" s="21"/>
      <c r="P331" s="74"/>
      <c r="Q331" s="72"/>
    </row>
    <row r="332" spans="1:17" ht="12.75">
      <c r="A332" s="32" t="s">
        <v>182</v>
      </c>
      <c r="B332" s="140">
        <v>212163</v>
      </c>
      <c r="C332" s="108"/>
      <c r="D332" s="118">
        <f>486.94</f>
        <v>486.94</v>
      </c>
      <c r="E332" s="118"/>
      <c r="F332" s="206">
        <f t="shared" si="100"/>
        <v>486.94</v>
      </c>
      <c r="G332" s="236">
        <f>150</f>
        <v>150</v>
      </c>
      <c r="H332" s="224"/>
      <c r="I332" s="223">
        <f t="shared" si="101"/>
        <v>636.94</v>
      </c>
      <c r="J332" s="236"/>
      <c r="K332" s="286"/>
      <c r="L332" s="223">
        <f t="shared" si="102"/>
        <v>636.94</v>
      </c>
      <c r="M332" s="28"/>
      <c r="N332" s="7"/>
      <c r="O332" s="21"/>
      <c r="P332" s="74"/>
      <c r="Q332" s="72"/>
    </row>
    <row r="333" spans="1:17" ht="12.75" hidden="1">
      <c r="A333" s="36" t="s">
        <v>156</v>
      </c>
      <c r="B333" s="140">
        <v>212162</v>
      </c>
      <c r="C333" s="108"/>
      <c r="D333" s="118"/>
      <c r="E333" s="118"/>
      <c r="F333" s="206">
        <f t="shared" si="100"/>
        <v>0</v>
      </c>
      <c r="G333" s="236"/>
      <c r="H333" s="224"/>
      <c r="I333" s="223">
        <f t="shared" si="101"/>
        <v>0</v>
      </c>
      <c r="J333" s="236"/>
      <c r="K333" s="286"/>
      <c r="L333" s="223">
        <f t="shared" si="102"/>
        <v>0</v>
      </c>
      <c r="M333" s="28"/>
      <c r="N333" s="7"/>
      <c r="O333" s="21"/>
      <c r="P333" s="74"/>
      <c r="Q333" s="72"/>
    </row>
    <row r="334" spans="1:17" ht="12.75">
      <c r="A334" s="36" t="s">
        <v>281</v>
      </c>
      <c r="B334" s="140"/>
      <c r="C334" s="108"/>
      <c r="D334" s="118"/>
      <c r="E334" s="118"/>
      <c r="F334" s="206">
        <f t="shared" si="100"/>
        <v>0</v>
      </c>
      <c r="G334" s="236">
        <f>1151.87</f>
        <v>1151.87</v>
      </c>
      <c r="H334" s="224"/>
      <c r="I334" s="223">
        <f t="shared" si="101"/>
        <v>1151.87</v>
      </c>
      <c r="J334" s="236"/>
      <c r="K334" s="286"/>
      <c r="L334" s="223">
        <f t="shared" si="102"/>
        <v>1151.87</v>
      </c>
      <c r="M334" s="153"/>
      <c r="N334" s="80"/>
      <c r="O334" s="80"/>
      <c r="P334" s="175"/>
      <c r="Q334" s="72"/>
    </row>
    <row r="335" spans="1:17" ht="12.75">
      <c r="A335" s="53" t="s">
        <v>322</v>
      </c>
      <c r="B335" s="140"/>
      <c r="C335" s="108"/>
      <c r="D335" s="118">
        <f>2533.61+298.07</f>
        <v>2831.6800000000003</v>
      </c>
      <c r="E335" s="118"/>
      <c r="F335" s="206">
        <f t="shared" si="100"/>
        <v>2831.6800000000003</v>
      </c>
      <c r="G335" s="236"/>
      <c r="H335" s="224"/>
      <c r="I335" s="223">
        <f t="shared" si="101"/>
        <v>2831.6800000000003</v>
      </c>
      <c r="J335" s="236"/>
      <c r="K335" s="286"/>
      <c r="L335" s="223">
        <f t="shared" si="102"/>
        <v>2831.6800000000003</v>
      </c>
      <c r="M335" s="153"/>
      <c r="N335" s="80"/>
      <c r="O335" s="80"/>
      <c r="P335" s="175"/>
      <c r="Q335" s="72"/>
    </row>
    <row r="336" spans="1:17" ht="12.75">
      <c r="A336" s="36" t="s">
        <v>348</v>
      </c>
      <c r="B336" s="140"/>
      <c r="C336" s="108"/>
      <c r="D336" s="118"/>
      <c r="E336" s="118"/>
      <c r="F336" s="206"/>
      <c r="G336" s="236"/>
      <c r="H336" s="224"/>
      <c r="I336" s="223">
        <f t="shared" si="101"/>
        <v>0</v>
      </c>
      <c r="J336" s="236">
        <f>29.89</f>
        <v>29.89</v>
      </c>
      <c r="K336" s="286"/>
      <c r="L336" s="223">
        <f t="shared" si="102"/>
        <v>29.89</v>
      </c>
      <c r="M336" s="153"/>
      <c r="N336" s="80"/>
      <c r="O336" s="80"/>
      <c r="P336" s="175"/>
      <c r="Q336" s="72"/>
    </row>
    <row r="337" spans="1:17" ht="12.75" hidden="1">
      <c r="A337" s="36" t="s">
        <v>269</v>
      </c>
      <c r="B337" s="140"/>
      <c r="C337" s="108"/>
      <c r="D337" s="118"/>
      <c r="E337" s="118"/>
      <c r="F337" s="206">
        <f t="shared" si="100"/>
        <v>0</v>
      </c>
      <c r="G337" s="236"/>
      <c r="H337" s="224"/>
      <c r="I337" s="223">
        <f t="shared" si="101"/>
        <v>0</v>
      </c>
      <c r="J337" s="236"/>
      <c r="K337" s="286"/>
      <c r="L337" s="223">
        <f t="shared" si="102"/>
        <v>0</v>
      </c>
      <c r="M337" s="153"/>
      <c r="N337" s="80"/>
      <c r="O337" s="80"/>
      <c r="P337" s="175"/>
      <c r="Q337" s="72"/>
    </row>
    <row r="338" spans="1:17" ht="12.75">
      <c r="A338" s="32" t="s">
        <v>76</v>
      </c>
      <c r="B338" s="91"/>
      <c r="C338" s="187">
        <f>SUM(C339:C349)</f>
        <v>27015.16</v>
      </c>
      <c r="D338" s="118">
        <f>SUM(D339:D349)</f>
        <v>34661.81999999999</v>
      </c>
      <c r="E338" s="118">
        <f aca="true" t="shared" si="103" ref="E338:Q338">SUM(E339:E349)</f>
        <v>32.67</v>
      </c>
      <c r="F338" s="213">
        <f t="shared" si="103"/>
        <v>61709.65000000001</v>
      </c>
      <c r="G338" s="269">
        <f t="shared" si="103"/>
        <v>764.4300000000001</v>
      </c>
      <c r="H338" s="256">
        <f t="shared" si="103"/>
        <v>4682.41</v>
      </c>
      <c r="I338" s="237">
        <f t="shared" si="103"/>
        <v>67156.49</v>
      </c>
      <c r="J338" s="269">
        <f t="shared" si="103"/>
        <v>525.4499999999989</v>
      </c>
      <c r="K338" s="291">
        <f t="shared" si="103"/>
        <v>3070.3700000000003</v>
      </c>
      <c r="L338" s="237">
        <f t="shared" si="103"/>
        <v>70752.31</v>
      </c>
      <c r="M338" s="133">
        <f t="shared" si="103"/>
        <v>0</v>
      </c>
      <c r="N338" s="133">
        <f t="shared" si="103"/>
        <v>0</v>
      </c>
      <c r="O338" s="133">
        <f t="shared" si="103"/>
        <v>0</v>
      </c>
      <c r="P338" s="133">
        <f t="shared" si="103"/>
        <v>0</v>
      </c>
      <c r="Q338" s="166">
        <f t="shared" si="103"/>
        <v>0</v>
      </c>
    </row>
    <row r="339" spans="1:18" ht="12.75">
      <c r="A339" s="32" t="s">
        <v>201</v>
      </c>
      <c r="B339" s="91"/>
      <c r="C339" s="187">
        <v>7500</v>
      </c>
      <c r="D339" s="118"/>
      <c r="E339" s="107"/>
      <c r="F339" s="206">
        <f t="shared" si="100"/>
        <v>7500</v>
      </c>
      <c r="G339" s="236"/>
      <c r="H339" s="224"/>
      <c r="I339" s="223">
        <f>F339+G339+H339</f>
        <v>7500</v>
      </c>
      <c r="J339" s="236"/>
      <c r="K339" s="286"/>
      <c r="L339" s="223">
        <f t="shared" si="102"/>
        <v>7500</v>
      </c>
      <c r="M339" s="28"/>
      <c r="N339" s="7"/>
      <c r="O339" s="21"/>
      <c r="P339" s="74"/>
      <c r="Q339" s="72"/>
      <c r="R339" s="180"/>
    </row>
    <row r="340" spans="1:18" ht="12.75">
      <c r="A340" s="32" t="s">
        <v>165</v>
      </c>
      <c r="B340" s="91"/>
      <c r="C340" s="187"/>
      <c r="D340" s="118">
        <f>8511.2-298.07+8000</f>
        <v>16213.130000000001</v>
      </c>
      <c r="E340" s="107"/>
      <c r="F340" s="206">
        <f t="shared" si="100"/>
        <v>16213.130000000001</v>
      </c>
      <c r="G340" s="236">
        <f>906.59</f>
        <v>906.59</v>
      </c>
      <c r="H340" s="224"/>
      <c r="I340" s="223">
        <f aca="true" t="shared" si="104" ref="I340:I348">F340+G340+H340</f>
        <v>17119.72</v>
      </c>
      <c r="J340" s="236">
        <f>20.05+340.85</f>
        <v>360.90000000000003</v>
      </c>
      <c r="K340" s="286"/>
      <c r="L340" s="223">
        <f t="shared" si="102"/>
        <v>17480.620000000003</v>
      </c>
      <c r="M340" s="28"/>
      <c r="N340" s="7"/>
      <c r="O340" s="21"/>
      <c r="P340" s="74"/>
      <c r="Q340" s="72"/>
      <c r="R340" s="60"/>
    </row>
    <row r="341" spans="1:17" ht="12.75" hidden="1">
      <c r="A341" s="32" t="s">
        <v>249</v>
      </c>
      <c r="B341" s="91"/>
      <c r="C341" s="187"/>
      <c r="D341" s="124"/>
      <c r="E341" s="107"/>
      <c r="F341" s="206">
        <f t="shared" si="100"/>
        <v>0</v>
      </c>
      <c r="G341" s="236"/>
      <c r="H341" s="224"/>
      <c r="I341" s="223">
        <f t="shared" si="104"/>
        <v>0</v>
      </c>
      <c r="J341" s="236"/>
      <c r="K341" s="286"/>
      <c r="L341" s="223">
        <f t="shared" si="102"/>
        <v>0</v>
      </c>
      <c r="M341" s="28"/>
      <c r="N341" s="7"/>
      <c r="O341" s="21"/>
      <c r="P341" s="74"/>
      <c r="Q341" s="72"/>
    </row>
    <row r="342" spans="1:17" ht="12.75" hidden="1">
      <c r="A342" s="32" t="s">
        <v>190</v>
      </c>
      <c r="B342" s="91"/>
      <c r="C342" s="187"/>
      <c r="D342" s="118"/>
      <c r="E342" s="107"/>
      <c r="F342" s="206">
        <f t="shared" si="100"/>
        <v>0</v>
      </c>
      <c r="G342" s="236"/>
      <c r="H342" s="224"/>
      <c r="I342" s="223">
        <f t="shared" si="104"/>
        <v>0</v>
      </c>
      <c r="J342" s="236"/>
      <c r="K342" s="286"/>
      <c r="L342" s="223">
        <f t="shared" si="102"/>
        <v>0</v>
      </c>
      <c r="M342" s="28"/>
      <c r="N342" s="7"/>
      <c r="O342" s="21"/>
      <c r="P342" s="74"/>
      <c r="Q342" s="72"/>
    </row>
    <row r="343" spans="1:17" ht="12.75">
      <c r="A343" s="32" t="s">
        <v>213</v>
      </c>
      <c r="B343" s="91"/>
      <c r="C343" s="187"/>
      <c r="D343" s="118">
        <f>2977.89</f>
        <v>2977.89</v>
      </c>
      <c r="E343" s="107"/>
      <c r="F343" s="206">
        <f t="shared" si="100"/>
        <v>2977.89</v>
      </c>
      <c r="G343" s="236"/>
      <c r="H343" s="224"/>
      <c r="I343" s="223">
        <f t="shared" si="104"/>
        <v>2977.89</v>
      </c>
      <c r="J343" s="236">
        <f>10000</f>
        <v>10000</v>
      </c>
      <c r="K343" s="286"/>
      <c r="L343" s="223">
        <f t="shared" si="102"/>
        <v>12977.89</v>
      </c>
      <c r="M343" s="28"/>
      <c r="N343" s="7"/>
      <c r="O343" s="21"/>
      <c r="P343" s="74"/>
      <c r="Q343" s="72"/>
    </row>
    <row r="344" spans="1:17" ht="12.75">
      <c r="A344" s="32" t="s">
        <v>164</v>
      </c>
      <c r="B344" s="91"/>
      <c r="C344" s="187"/>
      <c r="D344" s="118">
        <f>6733.32+493.57</f>
        <v>7226.889999999999</v>
      </c>
      <c r="E344" s="107">
        <f>32.67</f>
        <v>32.67</v>
      </c>
      <c r="F344" s="206">
        <f t="shared" si="100"/>
        <v>7259.5599999999995</v>
      </c>
      <c r="G344" s="236">
        <f>206.29-348.45</f>
        <v>-142.16</v>
      </c>
      <c r="H344" s="224">
        <f>60.63+21.78</f>
        <v>82.41</v>
      </c>
      <c r="I344" s="223">
        <f t="shared" si="104"/>
        <v>7199.8099999999995</v>
      </c>
      <c r="J344" s="236"/>
      <c r="K344" s="286">
        <f>3034.07+36.3</f>
        <v>3070.3700000000003</v>
      </c>
      <c r="L344" s="223">
        <f t="shared" si="102"/>
        <v>10270.18</v>
      </c>
      <c r="M344" s="28"/>
      <c r="N344" s="7"/>
      <c r="O344" s="21"/>
      <c r="P344" s="74"/>
      <c r="Q344" s="72"/>
    </row>
    <row r="345" spans="1:17" ht="12.75">
      <c r="A345" s="32" t="s">
        <v>291</v>
      </c>
      <c r="B345" s="91"/>
      <c r="C345" s="187"/>
      <c r="D345" s="118">
        <f>4494.54</f>
        <v>4494.54</v>
      </c>
      <c r="E345" s="107"/>
      <c r="F345" s="206">
        <f t="shared" si="100"/>
        <v>4494.54</v>
      </c>
      <c r="G345" s="236"/>
      <c r="H345" s="224">
        <f>4600</f>
        <v>4600</v>
      </c>
      <c r="I345" s="223">
        <f t="shared" si="104"/>
        <v>9094.54</v>
      </c>
      <c r="J345" s="236">
        <f>964.55</f>
        <v>964.55</v>
      </c>
      <c r="K345" s="286"/>
      <c r="L345" s="223">
        <f t="shared" si="102"/>
        <v>10059.09</v>
      </c>
      <c r="M345" s="28"/>
      <c r="N345" s="7"/>
      <c r="O345" s="21"/>
      <c r="P345" s="74"/>
      <c r="Q345" s="72"/>
    </row>
    <row r="346" spans="1:17" ht="12.75">
      <c r="A346" s="32" t="s">
        <v>171</v>
      </c>
      <c r="B346" s="91"/>
      <c r="C346" s="187">
        <v>1380</v>
      </c>
      <c r="D346" s="118">
        <f>1749.69</f>
        <v>1749.69</v>
      </c>
      <c r="E346" s="107"/>
      <c r="F346" s="206">
        <f t="shared" si="100"/>
        <v>3129.69</v>
      </c>
      <c r="G346" s="236"/>
      <c r="H346" s="224"/>
      <c r="I346" s="223">
        <f t="shared" si="104"/>
        <v>3129.69</v>
      </c>
      <c r="J346" s="236"/>
      <c r="K346" s="286"/>
      <c r="L346" s="223">
        <f t="shared" si="102"/>
        <v>3129.69</v>
      </c>
      <c r="M346" s="28"/>
      <c r="N346" s="7"/>
      <c r="O346" s="21"/>
      <c r="P346" s="74"/>
      <c r="Q346" s="72"/>
    </row>
    <row r="347" spans="1:17" ht="12.75">
      <c r="A347" s="32" t="s">
        <v>170</v>
      </c>
      <c r="B347" s="91"/>
      <c r="C347" s="187">
        <v>16835</v>
      </c>
      <c r="D347" s="118">
        <f>-3035+6334.84</f>
        <v>3299.84</v>
      </c>
      <c r="E347" s="107"/>
      <c r="F347" s="206">
        <f t="shared" si="100"/>
        <v>20134.84</v>
      </c>
      <c r="G347" s="236"/>
      <c r="H347" s="224"/>
      <c r="I347" s="223">
        <f t="shared" si="104"/>
        <v>20134.84</v>
      </c>
      <c r="J347" s="236">
        <f>3000-13800</f>
        <v>-10800</v>
      </c>
      <c r="K347" s="286"/>
      <c r="L347" s="223">
        <f t="shared" si="102"/>
        <v>9334.84</v>
      </c>
      <c r="M347" s="28"/>
      <c r="N347" s="7"/>
      <c r="O347" s="21"/>
      <c r="P347" s="74"/>
      <c r="Q347" s="72"/>
    </row>
    <row r="348" spans="1:17" ht="12.75">
      <c r="A348" s="32" t="s">
        <v>290</v>
      </c>
      <c r="B348" s="91"/>
      <c r="C348" s="187">
        <v>1300.16</v>
      </c>
      <c r="D348" s="118">
        <f>-900.16-400</f>
        <v>-1300.1599999999999</v>
      </c>
      <c r="E348" s="107"/>
      <c r="F348" s="206">
        <f t="shared" si="100"/>
        <v>2.2737367544323206E-13</v>
      </c>
      <c r="G348" s="236"/>
      <c r="H348" s="224"/>
      <c r="I348" s="223">
        <f t="shared" si="104"/>
        <v>2.2737367544323206E-13</v>
      </c>
      <c r="J348" s="236"/>
      <c r="K348" s="286"/>
      <c r="L348" s="223">
        <f t="shared" si="102"/>
        <v>2.2737367544323206E-13</v>
      </c>
      <c r="M348" s="28"/>
      <c r="N348" s="7"/>
      <c r="O348" s="21"/>
      <c r="P348" s="74"/>
      <c r="Q348" s="72"/>
    </row>
    <row r="349" spans="1:17" ht="12.75" hidden="1">
      <c r="A349" s="32" t="s">
        <v>223</v>
      </c>
      <c r="B349" s="91"/>
      <c r="C349" s="187"/>
      <c r="D349" s="124"/>
      <c r="E349" s="107"/>
      <c r="F349" s="206">
        <f t="shared" si="100"/>
        <v>0</v>
      </c>
      <c r="G349" s="236"/>
      <c r="H349" s="224"/>
      <c r="I349" s="223"/>
      <c r="J349" s="236"/>
      <c r="K349" s="286"/>
      <c r="L349" s="223"/>
      <c r="M349" s="28"/>
      <c r="N349" s="7"/>
      <c r="O349" s="21"/>
      <c r="P349" s="74"/>
      <c r="Q349" s="72"/>
    </row>
    <row r="350" spans="1:17" ht="12.75">
      <c r="A350" s="38" t="s">
        <v>53</v>
      </c>
      <c r="B350" s="95"/>
      <c r="C350" s="113">
        <f aca="true" t="shared" si="105" ref="C350:Q350">SUM(C352:C369)</f>
        <v>482698.75</v>
      </c>
      <c r="D350" s="114">
        <f t="shared" si="105"/>
        <v>1453289.1799999997</v>
      </c>
      <c r="E350" s="114">
        <f t="shared" si="105"/>
        <v>29687.05</v>
      </c>
      <c r="F350" s="209">
        <f t="shared" si="105"/>
        <v>1965674.98</v>
      </c>
      <c r="G350" s="233">
        <f t="shared" si="105"/>
        <v>608353.35</v>
      </c>
      <c r="H350" s="251">
        <f t="shared" si="105"/>
        <v>4008.790000000001</v>
      </c>
      <c r="I350" s="229">
        <f t="shared" si="105"/>
        <v>2578037.1199999996</v>
      </c>
      <c r="J350" s="233">
        <f t="shared" si="105"/>
        <v>32788.69000000001</v>
      </c>
      <c r="K350" s="290">
        <f t="shared" si="105"/>
        <v>8459.41</v>
      </c>
      <c r="L350" s="229">
        <f t="shared" si="105"/>
        <v>2619285.2199999997</v>
      </c>
      <c r="M350" s="113">
        <f t="shared" si="105"/>
        <v>0</v>
      </c>
      <c r="N350" s="113">
        <f t="shared" si="105"/>
        <v>0</v>
      </c>
      <c r="O350" s="113">
        <f t="shared" si="105"/>
        <v>0</v>
      </c>
      <c r="P350" s="113">
        <f t="shared" si="105"/>
        <v>0</v>
      </c>
      <c r="Q350" s="164">
        <f t="shared" si="105"/>
        <v>0</v>
      </c>
    </row>
    <row r="351" spans="1:17" ht="12.75">
      <c r="A351" s="36" t="s">
        <v>26</v>
      </c>
      <c r="B351" s="91"/>
      <c r="C351" s="108"/>
      <c r="D351" s="107"/>
      <c r="E351" s="107"/>
      <c r="F351" s="206"/>
      <c r="G351" s="236"/>
      <c r="H351" s="224"/>
      <c r="I351" s="223"/>
      <c r="J351" s="236"/>
      <c r="K351" s="286"/>
      <c r="L351" s="223"/>
      <c r="M351" s="28"/>
      <c r="N351" s="7"/>
      <c r="O351" s="21"/>
      <c r="P351" s="74"/>
      <c r="Q351" s="72"/>
    </row>
    <row r="352" spans="1:17" ht="12.75" hidden="1">
      <c r="A352" s="36" t="s">
        <v>161</v>
      </c>
      <c r="B352" s="91"/>
      <c r="C352" s="108"/>
      <c r="D352" s="107"/>
      <c r="E352" s="107"/>
      <c r="F352" s="206">
        <f aca="true" t="shared" si="106" ref="F352:F383">C352+D352+E352</f>
        <v>0</v>
      </c>
      <c r="G352" s="236"/>
      <c r="H352" s="224"/>
      <c r="I352" s="223"/>
      <c r="J352" s="236"/>
      <c r="K352" s="286"/>
      <c r="L352" s="223"/>
      <c r="M352" s="28"/>
      <c r="N352" s="7"/>
      <c r="O352" s="21"/>
      <c r="P352" s="74"/>
      <c r="Q352" s="72"/>
    </row>
    <row r="353" spans="1:17" ht="12.75">
      <c r="A353" s="36" t="s">
        <v>160</v>
      </c>
      <c r="B353" s="155">
        <v>1081.1202</v>
      </c>
      <c r="C353" s="108">
        <v>6737</v>
      </c>
      <c r="D353" s="107">
        <f>557.05</f>
        <v>557.05</v>
      </c>
      <c r="E353" s="107"/>
      <c r="F353" s="206">
        <f t="shared" si="106"/>
        <v>7294.05</v>
      </c>
      <c r="G353" s="236"/>
      <c r="H353" s="224"/>
      <c r="I353" s="223">
        <f aca="true" t="shared" si="107" ref="I353:I368">F353+G353+H353</f>
        <v>7294.05</v>
      </c>
      <c r="J353" s="236"/>
      <c r="K353" s="286"/>
      <c r="L353" s="223">
        <f aca="true" t="shared" si="108" ref="L353:L367">I353+J353+K353</f>
        <v>7294.05</v>
      </c>
      <c r="M353" s="28"/>
      <c r="N353" s="7"/>
      <c r="O353" s="21"/>
      <c r="P353" s="74"/>
      <c r="Q353" s="72"/>
    </row>
    <row r="354" spans="1:17" ht="12.75">
      <c r="A354" s="36" t="s">
        <v>155</v>
      </c>
      <c r="B354" s="91"/>
      <c r="C354" s="108">
        <v>19868.59</v>
      </c>
      <c r="D354" s="107">
        <f>1957.58</f>
        <v>1957.58</v>
      </c>
      <c r="E354" s="107"/>
      <c r="F354" s="206">
        <f t="shared" si="106"/>
        <v>21826.17</v>
      </c>
      <c r="G354" s="236">
        <f>10000</f>
        <v>10000</v>
      </c>
      <c r="H354" s="224"/>
      <c r="I354" s="223">
        <f t="shared" si="107"/>
        <v>31826.17</v>
      </c>
      <c r="J354" s="236">
        <f>10000</f>
        <v>10000</v>
      </c>
      <c r="K354" s="286"/>
      <c r="L354" s="223">
        <f t="shared" si="108"/>
        <v>41826.17</v>
      </c>
      <c r="M354" s="28"/>
      <c r="N354" s="7"/>
      <c r="O354" s="21"/>
      <c r="P354" s="74"/>
      <c r="Q354" s="72"/>
    </row>
    <row r="355" spans="1:17" ht="12.75">
      <c r="A355" s="36" t="s">
        <v>358</v>
      </c>
      <c r="B355" s="91"/>
      <c r="C355" s="108">
        <v>5000</v>
      </c>
      <c r="D355" s="107">
        <f>5000</f>
        <v>5000</v>
      </c>
      <c r="E355" s="107"/>
      <c r="F355" s="206">
        <f t="shared" si="106"/>
        <v>10000</v>
      </c>
      <c r="G355" s="236"/>
      <c r="H355" s="224"/>
      <c r="I355" s="223">
        <f t="shared" si="107"/>
        <v>10000</v>
      </c>
      <c r="J355" s="236">
        <f>1000</f>
        <v>1000</v>
      </c>
      <c r="K355" s="286"/>
      <c r="L355" s="223">
        <f t="shared" si="108"/>
        <v>11000</v>
      </c>
      <c r="M355" s="28"/>
      <c r="N355" s="7"/>
      <c r="O355" s="21"/>
      <c r="P355" s="74"/>
      <c r="Q355" s="72"/>
    </row>
    <row r="356" spans="1:17" ht="12.75">
      <c r="A356" s="36" t="s">
        <v>345</v>
      </c>
      <c r="B356" s="91"/>
      <c r="C356" s="108"/>
      <c r="D356" s="107"/>
      <c r="E356" s="107"/>
      <c r="F356" s="206">
        <f t="shared" si="106"/>
        <v>0</v>
      </c>
      <c r="G356" s="236">
        <f>10000</f>
        <v>10000</v>
      </c>
      <c r="H356" s="224"/>
      <c r="I356" s="223">
        <f t="shared" si="107"/>
        <v>10000</v>
      </c>
      <c r="J356" s="236"/>
      <c r="K356" s="286"/>
      <c r="L356" s="223">
        <f t="shared" si="108"/>
        <v>10000</v>
      </c>
      <c r="M356" s="28"/>
      <c r="N356" s="7"/>
      <c r="O356" s="21"/>
      <c r="P356" s="74"/>
      <c r="Q356" s="72"/>
    </row>
    <row r="357" spans="1:17" ht="12.75">
      <c r="A357" s="36" t="s">
        <v>264</v>
      </c>
      <c r="B357" s="91"/>
      <c r="C357" s="108"/>
      <c r="D357" s="118">
        <f>788.1</f>
        <v>788.1</v>
      </c>
      <c r="E357" s="118"/>
      <c r="F357" s="206">
        <f t="shared" si="106"/>
        <v>788.1</v>
      </c>
      <c r="G357" s="236"/>
      <c r="H357" s="224"/>
      <c r="I357" s="223">
        <f t="shared" si="107"/>
        <v>788.1</v>
      </c>
      <c r="J357" s="236"/>
      <c r="K357" s="286"/>
      <c r="L357" s="223">
        <f t="shared" si="108"/>
        <v>788.1</v>
      </c>
      <c r="M357" s="28"/>
      <c r="N357" s="7"/>
      <c r="O357" s="21"/>
      <c r="P357" s="74"/>
      <c r="Q357" s="72"/>
    </row>
    <row r="358" spans="1:17" ht="12.75">
      <c r="A358" s="138" t="s">
        <v>214</v>
      </c>
      <c r="B358" s="91"/>
      <c r="C358" s="108"/>
      <c r="D358" s="124">
        <f>30393.39+60000</f>
        <v>90393.39</v>
      </c>
      <c r="E358" s="124"/>
      <c r="F358" s="206">
        <f t="shared" si="106"/>
        <v>90393.39</v>
      </c>
      <c r="G358" s="236">
        <f>3900</f>
        <v>3900</v>
      </c>
      <c r="H358" s="224"/>
      <c r="I358" s="223">
        <f t="shared" si="107"/>
        <v>94293.39</v>
      </c>
      <c r="J358" s="236">
        <f>-10000</f>
        <v>-10000</v>
      </c>
      <c r="K358" s="286"/>
      <c r="L358" s="223">
        <f t="shared" si="108"/>
        <v>84293.39</v>
      </c>
      <c r="M358" s="28"/>
      <c r="N358" s="7"/>
      <c r="O358" s="21"/>
      <c r="P358" s="74"/>
      <c r="Q358" s="72"/>
    </row>
    <row r="359" spans="1:17" ht="12.75">
      <c r="A359" s="36" t="s">
        <v>265</v>
      </c>
      <c r="B359" s="140">
        <v>212163</v>
      </c>
      <c r="C359" s="108">
        <v>106030</v>
      </c>
      <c r="D359" s="118">
        <f>98685.29+97634.38+7574.7</f>
        <v>203894.37</v>
      </c>
      <c r="E359" s="118"/>
      <c r="F359" s="206">
        <f t="shared" si="106"/>
        <v>309924.37</v>
      </c>
      <c r="G359" s="236">
        <f>-150-1314.62</f>
        <v>-1464.62</v>
      </c>
      <c r="H359" s="224"/>
      <c r="I359" s="223">
        <f t="shared" si="107"/>
        <v>308459.75</v>
      </c>
      <c r="J359" s="236"/>
      <c r="K359" s="286"/>
      <c r="L359" s="223">
        <f t="shared" si="108"/>
        <v>308459.75</v>
      </c>
      <c r="M359" s="28"/>
      <c r="N359" s="7"/>
      <c r="O359" s="21"/>
      <c r="P359" s="74"/>
      <c r="Q359" s="72"/>
    </row>
    <row r="360" spans="1:17" ht="12.75" hidden="1">
      <c r="A360" s="36" t="s">
        <v>218</v>
      </c>
      <c r="B360" s="140">
        <v>22777</v>
      </c>
      <c r="C360" s="108"/>
      <c r="D360" s="118"/>
      <c r="E360" s="118"/>
      <c r="F360" s="206">
        <f t="shared" si="106"/>
        <v>0</v>
      </c>
      <c r="G360" s="236"/>
      <c r="H360" s="224"/>
      <c r="I360" s="223">
        <f t="shared" si="107"/>
        <v>0</v>
      </c>
      <c r="J360" s="236"/>
      <c r="K360" s="286"/>
      <c r="L360" s="223">
        <f t="shared" si="108"/>
        <v>0</v>
      </c>
      <c r="M360" s="28"/>
      <c r="N360" s="7"/>
      <c r="O360" s="21"/>
      <c r="P360" s="74"/>
      <c r="Q360" s="72"/>
    </row>
    <row r="361" spans="1:17" ht="12.75" hidden="1">
      <c r="A361" s="36" t="s">
        <v>253</v>
      </c>
      <c r="B361" s="140">
        <v>98858</v>
      </c>
      <c r="C361" s="108"/>
      <c r="D361" s="118"/>
      <c r="E361" s="118"/>
      <c r="F361" s="206">
        <f t="shared" si="106"/>
        <v>0</v>
      </c>
      <c r="G361" s="236"/>
      <c r="H361" s="224"/>
      <c r="I361" s="223">
        <f t="shared" si="107"/>
        <v>0</v>
      </c>
      <c r="J361" s="236"/>
      <c r="K361" s="286"/>
      <c r="L361" s="223">
        <f t="shared" si="108"/>
        <v>0</v>
      </c>
      <c r="M361" s="28"/>
      <c r="N361" s="7"/>
      <c r="O361" s="21"/>
      <c r="P361" s="74"/>
      <c r="Q361" s="72"/>
    </row>
    <row r="362" spans="1:17" ht="12.75">
      <c r="A362" s="36" t="s">
        <v>156</v>
      </c>
      <c r="B362" s="140">
        <v>212162</v>
      </c>
      <c r="C362" s="108"/>
      <c r="D362" s="118">
        <f>2133.22</f>
        <v>2133.22</v>
      </c>
      <c r="E362" s="118"/>
      <c r="F362" s="206">
        <f t="shared" si="106"/>
        <v>2133.22</v>
      </c>
      <c r="G362" s="236"/>
      <c r="H362" s="224"/>
      <c r="I362" s="223">
        <f t="shared" si="107"/>
        <v>2133.22</v>
      </c>
      <c r="J362" s="236"/>
      <c r="K362" s="286"/>
      <c r="L362" s="223">
        <f t="shared" si="108"/>
        <v>2133.22</v>
      </c>
      <c r="M362" s="28"/>
      <c r="N362" s="7"/>
      <c r="O362" s="21"/>
      <c r="P362" s="74"/>
      <c r="Q362" s="72"/>
    </row>
    <row r="363" spans="1:17" ht="12.75">
      <c r="A363" s="36" t="s">
        <v>281</v>
      </c>
      <c r="B363" s="140"/>
      <c r="C363" s="108"/>
      <c r="D363" s="118">
        <f>10557.37</f>
        <v>10557.37</v>
      </c>
      <c r="E363" s="118"/>
      <c r="F363" s="206">
        <f t="shared" si="106"/>
        <v>10557.37</v>
      </c>
      <c r="G363" s="236">
        <f>739.53</f>
        <v>739.53</v>
      </c>
      <c r="H363" s="224"/>
      <c r="I363" s="223">
        <f t="shared" si="107"/>
        <v>11296.900000000001</v>
      </c>
      <c r="J363" s="236">
        <f>3161.87</f>
        <v>3161.87</v>
      </c>
      <c r="K363" s="286"/>
      <c r="L363" s="223">
        <f t="shared" si="108"/>
        <v>14458.77</v>
      </c>
      <c r="M363" s="28"/>
      <c r="N363" s="7"/>
      <c r="O363" s="21"/>
      <c r="P363" s="74"/>
      <c r="Q363" s="72"/>
    </row>
    <row r="364" spans="1:17" ht="12.75">
      <c r="A364" s="36" t="s">
        <v>348</v>
      </c>
      <c r="B364" s="140"/>
      <c r="C364" s="108"/>
      <c r="D364" s="118"/>
      <c r="E364" s="118"/>
      <c r="F364" s="206"/>
      <c r="G364" s="236"/>
      <c r="H364" s="224"/>
      <c r="I364" s="223">
        <f t="shared" si="107"/>
        <v>0</v>
      </c>
      <c r="J364" s="236">
        <f>119.54</f>
        <v>119.54</v>
      </c>
      <c r="K364" s="286"/>
      <c r="L364" s="223">
        <f t="shared" si="108"/>
        <v>119.54</v>
      </c>
      <c r="M364" s="28"/>
      <c r="N364" s="7"/>
      <c r="O364" s="21"/>
      <c r="P364" s="74"/>
      <c r="Q364" s="72"/>
    </row>
    <row r="365" spans="1:17" ht="12.75" hidden="1">
      <c r="A365" s="36" t="s">
        <v>269</v>
      </c>
      <c r="B365" s="140"/>
      <c r="C365" s="108"/>
      <c r="D365" s="118"/>
      <c r="E365" s="118"/>
      <c r="F365" s="206">
        <f t="shared" si="106"/>
        <v>0</v>
      </c>
      <c r="G365" s="236"/>
      <c r="H365" s="224"/>
      <c r="I365" s="223">
        <f t="shared" si="107"/>
        <v>0</v>
      </c>
      <c r="J365" s="236"/>
      <c r="K365" s="286"/>
      <c r="L365" s="223">
        <f t="shared" si="108"/>
        <v>0</v>
      </c>
      <c r="M365" s="28"/>
      <c r="N365" s="7"/>
      <c r="O365" s="21"/>
      <c r="P365" s="74"/>
      <c r="Q365" s="72"/>
    </row>
    <row r="366" spans="1:17" ht="12.75">
      <c r="A366" s="36" t="s">
        <v>270</v>
      </c>
      <c r="B366" s="140">
        <v>91628</v>
      </c>
      <c r="C366" s="108"/>
      <c r="D366" s="118"/>
      <c r="E366" s="118"/>
      <c r="F366" s="206">
        <f t="shared" si="106"/>
        <v>0</v>
      </c>
      <c r="G366" s="236">
        <f>7665+177763</f>
        <v>185428</v>
      </c>
      <c r="H366" s="224"/>
      <c r="I366" s="223">
        <f t="shared" si="107"/>
        <v>185428</v>
      </c>
      <c r="J366" s="236"/>
      <c r="K366" s="286"/>
      <c r="L366" s="223">
        <f t="shared" si="108"/>
        <v>185428</v>
      </c>
      <c r="M366" s="28"/>
      <c r="N366" s="7"/>
      <c r="O366" s="21"/>
      <c r="P366" s="74"/>
      <c r="Q366" s="72"/>
    </row>
    <row r="367" spans="1:17" ht="12.75">
      <c r="A367" s="36" t="s">
        <v>292</v>
      </c>
      <c r="B367" s="140">
        <v>91628</v>
      </c>
      <c r="C367" s="108"/>
      <c r="D367" s="118"/>
      <c r="E367" s="118"/>
      <c r="F367" s="206">
        <f t="shared" si="106"/>
        <v>0</v>
      </c>
      <c r="G367" s="236">
        <f>29678.61+258127</f>
        <v>287805.61</v>
      </c>
      <c r="H367" s="224"/>
      <c r="I367" s="223">
        <f t="shared" si="107"/>
        <v>287805.61</v>
      </c>
      <c r="J367" s="236"/>
      <c r="K367" s="286"/>
      <c r="L367" s="223">
        <f t="shared" si="108"/>
        <v>287805.61</v>
      </c>
      <c r="M367" s="28"/>
      <c r="N367" s="7"/>
      <c r="O367" s="21"/>
      <c r="P367" s="74"/>
      <c r="Q367" s="72"/>
    </row>
    <row r="368" spans="1:17" ht="12.75" hidden="1">
      <c r="A368" s="36" t="s">
        <v>186</v>
      </c>
      <c r="B368" s="91"/>
      <c r="C368" s="108"/>
      <c r="D368" s="118"/>
      <c r="E368" s="118"/>
      <c r="F368" s="206">
        <f t="shared" si="106"/>
        <v>0</v>
      </c>
      <c r="G368" s="236"/>
      <c r="H368" s="224"/>
      <c r="I368" s="223">
        <f t="shared" si="107"/>
        <v>0</v>
      </c>
      <c r="J368" s="236"/>
      <c r="K368" s="286"/>
      <c r="L368" s="223"/>
      <c r="M368" s="28"/>
      <c r="N368" s="7"/>
      <c r="O368" s="21"/>
      <c r="P368" s="74"/>
      <c r="Q368" s="72"/>
    </row>
    <row r="369" spans="1:17" ht="12.75">
      <c r="A369" s="36" t="s">
        <v>157</v>
      </c>
      <c r="B369" s="91"/>
      <c r="C369" s="108">
        <f>SUM(C370:C383)</f>
        <v>345063.16000000003</v>
      </c>
      <c r="D369" s="107">
        <f>SUM(D370:D383)</f>
        <v>1138008.0999999999</v>
      </c>
      <c r="E369" s="107">
        <f aca="true" t="shared" si="109" ref="E369:Q369">SUM(E370:E383)</f>
        <v>29687.05</v>
      </c>
      <c r="F369" s="206">
        <f t="shared" si="109"/>
        <v>1512758.31</v>
      </c>
      <c r="G369" s="236">
        <f t="shared" si="109"/>
        <v>111944.82999999999</v>
      </c>
      <c r="H369" s="224">
        <f t="shared" si="109"/>
        <v>4008.790000000001</v>
      </c>
      <c r="I369" s="223">
        <f t="shared" si="109"/>
        <v>1628711.9299999997</v>
      </c>
      <c r="J369" s="236">
        <f t="shared" si="109"/>
        <v>28507.28000000001</v>
      </c>
      <c r="K369" s="286">
        <f t="shared" si="109"/>
        <v>8459.41</v>
      </c>
      <c r="L369" s="223">
        <f t="shared" si="109"/>
        <v>1665678.6199999999</v>
      </c>
      <c r="M369" s="132">
        <f t="shared" si="109"/>
        <v>0</v>
      </c>
      <c r="N369" s="132">
        <f t="shared" si="109"/>
        <v>0</v>
      </c>
      <c r="O369" s="132">
        <f t="shared" si="109"/>
        <v>0</v>
      </c>
      <c r="P369" s="132">
        <f t="shared" si="109"/>
        <v>0</v>
      </c>
      <c r="Q369" s="160">
        <f t="shared" si="109"/>
        <v>0</v>
      </c>
    </row>
    <row r="370" spans="1:17" ht="12.75">
      <c r="A370" s="32" t="s">
        <v>201</v>
      </c>
      <c r="B370" s="91"/>
      <c r="C370" s="187">
        <v>1500</v>
      </c>
      <c r="D370" s="118"/>
      <c r="E370" s="107"/>
      <c r="F370" s="206">
        <f>C370+D370+E370</f>
        <v>1500</v>
      </c>
      <c r="G370" s="236"/>
      <c r="H370" s="224"/>
      <c r="I370" s="223">
        <f aca="true" t="shared" si="110" ref="I370:I383">F370+G370+H370</f>
        <v>1500</v>
      </c>
      <c r="J370" s="236"/>
      <c r="K370" s="286"/>
      <c r="L370" s="223">
        <f aca="true" t="shared" si="111" ref="L370:L383">I370+J370+K370</f>
        <v>1500</v>
      </c>
      <c r="M370" s="28"/>
      <c r="N370" s="7"/>
      <c r="O370" s="21"/>
      <c r="P370" s="74"/>
      <c r="Q370" s="72"/>
    </row>
    <row r="371" spans="1:17" ht="12.75">
      <c r="A371" s="32" t="s">
        <v>165</v>
      </c>
      <c r="B371" s="91"/>
      <c r="C371" s="187">
        <f>8534</f>
        <v>8534</v>
      </c>
      <c r="D371" s="118">
        <f>122032.84-2533.61-8000+2040.02</f>
        <v>113539.25</v>
      </c>
      <c r="E371" s="107"/>
      <c r="F371" s="206">
        <f>C371+D371+E371</f>
        <v>122073.25</v>
      </c>
      <c r="G371" s="236">
        <f>-1500-2000</f>
        <v>-3500</v>
      </c>
      <c r="H371" s="224"/>
      <c r="I371" s="223">
        <f t="shared" si="110"/>
        <v>118573.25</v>
      </c>
      <c r="J371" s="236">
        <f>780.74+13272.67+1000</f>
        <v>15053.41</v>
      </c>
      <c r="K371" s="286"/>
      <c r="L371" s="223">
        <f t="shared" si="111"/>
        <v>133626.66</v>
      </c>
      <c r="M371" s="28"/>
      <c r="N371" s="7"/>
      <c r="O371" s="21"/>
      <c r="P371" s="74"/>
      <c r="Q371" s="72"/>
    </row>
    <row r="372" spans="1:17" ht="12.75">
      <c r="A372" s="32" t="s">
        <v>284</v>
      </c>
      <c r="B372" s="91"/>
      <c r="C372" s="187">
        <v>604</v>
      </c>
      <c r="D372" s="118">
        <f>4625</f>
        <v>4625</v>
      </c>
      <c r="E372" s="107"/>
      <c r="F372" s="206">
        <f>C372+D372+E372</f>
        <v>5229</v>
      </c>
      <c r="G372" s="236"/>
      <c r="H372" s="224"/>
      <c r="I372" s="223">
        <f t="shared" si="110"/>
        <v>5229</v>
      </c>
      <c r="J372" s="236"/>
      <c r="K372" s="286"/>
      <c r="L372" s="223">
        <f t="shared" si="111"/>
        <v>5229</v>
      </c>
      <c r="M372" s="28"/>
      <c r="N372" s="7"/>
      <c r="O372" s="21"/>
      <c r="P372" s="74"/>
      <c r="Q372" s="72"/>
    </row>
    <row r="373" spans="1:17" ht="12.75" hidden="1">
      <c r="A373" s="32" t="s">
        <v>323</v>
      </c>
      <c r="B373" s="91"/>
      <c r="C373" s="187"/>
      <c r="D373" s="118">
        <f>6000-6000</f>
        <v>0</v>
      </c>
      <c r="E373" s="107"/>
      <c r="F373" s="206">
        <f>C373+D373+E373</f>
        <v>0</v>
      </c>
      <c r="G373" s="236"/>
      <c r="H373" s="224"/>
      <c r="I373" s="223">
        <f t="shared" si="110"/>
        <v>0</v>
      </c>
      <c r="J373" s="236"/>
      <c r="K373" s="286"/>
      <c r="L373" s="223">
        <f t="shared" si="111"/>
        <v>0</v>
      </c>
      <c r="M373" s="28"/>
      <c r="N373" s="7"/>
      <c r="O373" s="21"/>
      <c r="P373" s="74"/>
      <c r="Q373" s="72"/>
    </row>
    <row r="374" spans="1:17" ht="12.75">
      <c r="A374" s="32" t="s">
        <v>249</v>
      </c>
      <c r="B374" s="91"/>
      <c r="C374" s="187">
        <v>19500</v>
      </c>
      <c r="D374" s="118">
        <f>-19500</f>
        <v>-19500</v>
      </c>
      <c r="E374" s="107"/>
      <c r="F374" s="206">
        <f t="shared" si="106"/>
        <v>0</v>
      </c>
      <c r="G374" s="236"/>
      <c r="H374" s="224"/>
      <c r="I374" s="223">
        <f t="shared" si="110"/>
        <v>0</v>
      </c>
      <c r="J374" s="236"/>
      <c r="K374" s="286"/>
      <c r="L374" s="223">
        <f t="shared" si="111"/>
        <v>0</v>
      </c>
      <c r="M374" s="28"/>
      <c r="N374" s="7"/>
      <c r="O374" s="21"/>
      <c r="P374" s="74"/>
      <c r="Q374" s="72"/>
    </row>
    <row r="375" spans="1:17" ht="12.75">
      <c r="A375" s="32" t="s">
        <v>213</v>
      </c>
      <c r="B375" s="91"/>
      <c r="C375" s="187">
        <v>157557</v>
      </c>
      <c r="D375" s="118">
        <f>251025.19+10000</f>
        <v>261025.19</v>
      </c>
      <c r="E375" s="107"/>
      <c r="F375" s="206">
        <f t="shared" si="106"/>
        <v>418582.19</v>
      </c>
      <c r="G375" s="236">
        <f>10000</f>
        <v>10000</v>
      </c>
      <c r="H375" s="224"/>
      <c r="I375" s="223">
        <f t="shared" si="110"/>
        <v>428582.19</v>
      </c>
      <c r="J375" s="236">
        <f>2000-10000+10000</f>
        <v>2000</v>
      </c>
      <c r="K375" s="286"/>
      <c r="L375" s="223">
        <f t="shared" si="111"/>
        <v>430582.19</v>
      </c>
      <c r="M375" s="28"/>
      <c r="N375" s="7"/>
      <c r="O375" s="21"/>
      <c r="P375" s="74"/>
      <c r="Q375" s="72"/>
    </row>
    <row r="376" spans="1:17" ht="12.75">
      <c r="A376" s="32" t="s">
        <v>164</v>
      </c>
      <c r="B376" s="91"/>
      <c r="C376" s="187">
        <v>2000</v>
      </c>
      <c r="D376" s="118">
        <f>13468.07+1500.93+45.98+89.14+520.53+299.15+664.17+5561.39+5332.24</f>
        <v>27481.6</v>
      </c>
      <c r="E376" s="107">
        <f>11123.26</f>
        <v>11123.26</v>
      </c>
      <c r="F376" s="206">
        <f t="shared" si="106"/>
        <v>40604.86</v>
      </c>
      <c r="G376" s="236">
        <f>4859.85+9475.15+9.68+1681.41+3023.35-1361.71</f>
        <v>17687.73</v>
      </c>
      <c r="H376" s="224">
        <f>38.92+8569.87</f>
        <v>8608.79</v>
      </c>
      <c r="I376" s="223">
        <f t="shared" si="110"/>
        <v>66901.38</v>
      </c>
      <c r="J376" s="236">
        <f>500.59+48.04+41.14+564.41+749.74+1742.27+1288.08+3100.16+977.33+2389.63+2872.22+3460.12+1675.85+530.54+3254.72+4796.58</f>
        <v>27991.42</v>
      </c>
      <c r="K376" s="286">
        <f>18969.93+11493.48</f>
        <v>30463.41</v>
      </c>
      <c r="L376" s="223">
        <f t="shared" si="111"/>
        <v>125356.21</v>
      </c>
      <c r="M376" s="28"/>
      <c r="N376" s="7"/>
      <c r="O376" s="21"/>
      <c r="P376" s="74"/>
      <c r="Q376" s="72"/>
    </row>
    <row r="377" spans="1:17" ht="12.75">
      <c r="A377" s="32" t="s">
        <v>167</v>
      </c>
      <c r="B377" s="91"/>
      <c r="C377" s="187">
        <v>5800</v>
      </c>
      <c r="D377" s="118">
        <f>97153.65</f>
        <v>97153.65</v>
      </c>
      <c r="E377" s="107"/>
      <c r="F377" s="206">
        <f t="shared" si="106"/>
        <v>102953.65</v>
      </c>
      <c r="G377" s="236">
        <f>1710.16+650</f>
        <v>2360.16</v>
      </c>
      <c r="H377" s="224">
        <f>-4600</f>
        <v>-4600</v>
      </c>
      <c r="I377" s="223">
        <f t="shared" si="110"/>
        <v>100713.81</v>
      </c>
      <c r="J377" s="236">
        <f>3727.9+1200</f>
        <v>4927.9</v>
      </c>
      <c r="K377" s="286"/>
      <c r="L377" s="223">
        <f t="shared" si="111"/>
        <v>105641.70999999999</v>
      </c>
      <c r="M377" s="28"/>
      <c r="N377" s="7"/>
      <c r="O377" s="21"/>
      <c r="P377" s="74"/>
      <c r="Q377" s="72"/>
    </row>
    <row r="378" spans="1:17" ht="12.75">
      <c r="A378" s="32" t="s">
        <v>171</v>
      </c>
      <c r="B378" s="91"/>
      <c r="C378" s="187">
        <v>3000</v>
      </c>
      <c r="D378" s="118">
        <f>7125.32+2216.61+1687.72+4327.31+372.53</f>
        <v>15729.49</v>
      </c>
      <c r="E378" s="107">
        <f>21009.77</f>
        <v>21009.77</v>
      </c>
      <c r="F378" s="206">
        <f t="shared" si="106"/>
        <v>39739.259999999995</v>
      </c>
      <c r="G378" s="236">
        <f>2144.21+165.71-3457.7-650</f>
        <v>-1797.7799999999997</v>
      </c>
      <c r="H378" s="224"/>
      <c r="I378" s="223">
        <f t="shared" si="110"/>
        <v>37941.479999999996</v>
      </c>
      <c r="J378" s="236">
        <f>2314.74+736.66</f>
        <v>3051.3999999999996</v>
      </c>
      <c r="K378" s="286"/>
      <c r="L378" s="223">
        <f t="shared" si="111"/>
        <v>40992.88</v>
      </c>
      <c r="M378" s="28"/>
      <c r="N378" s="7"/>
      <c r="O378" s="21"/>
      <c r="P378" s="74"/>
      <c r="Q378" s="72"/>
    </row>
    <row r="379" spans="1:17" ht="12.75">
      <c r="A379" s="32" t="s">
        <v>170</v>
      </c>
      <c r="B379" s="91"/>
      <c r="C379" s="187">
        <v>39500</v>
      </c>
      <c r="D379" s="107">
        <f>3855.98+200835.35+7.08+882.32+6438.34+912.12+2407.87+40000</f>
        <v>255339.06</v>
      </c>
      <c r="E379" s="107"/>
      <c r="F379" s="206">
        <f t="shared" si="106"/>
        <v>294839.06</v>
      </c>
      <c r="G379" s="236">
        <f>2276.42+297.17+1382.39+610.36+2752.23+6302.11+7035.71+6519.68+1289.33</f>
        <v>28465.4</v>
      </c>
      <c r="H379" s="224"/>
      <c r="I379" s="223">
        <f t="shared" si="110"/>
        <v>323304.46</v>
      </c>
      <c r="J379" s="236">
        <f>1998.53+3285.61+1792.29-4030.83-3000+764.74</f>
        <v>810.3400000000004</v>
      </c>
      <c r="K379" s="286"/>
      <c r="L379" s="223">
        <f t="shared" si="111"/>
        <v>324114.80000000005</v>
      </c>
      <c r="M379" s="28"/>
      <c r="N379" s="7"/>
      <c r="O379" s="21"/>
      <c r="P379" s="74"/>
      <c r="Q379" s="72"/>
    </row>
    <row r="380" spans="1:17" ht="12.75" hidden="1">
      <c r="A380" s="32" t="s">
        <v>290</v>
      </c>
      <c r="B380" s="91"/>
      <c r="C380" s="187"/>
      <c r="D380" s="107"/>
      <c r="E380" s="107"/>
      <c r="F380" s="206">
        <f t="shared" si="106"/>
        <v>0</v>
      </c>
      <c r="G380" s="236"/>
      <c r="H380" s="224"/>
      <c r="I380" s="223">
        <f t="shared" si="110"/>
        <v>0</v>
      </c>
      <c r="J380" s="236"/>
      <c r="K380" s="286"/>
      <c r="L380" s="223">
        <f t="shared" si="111"/>
        <v>0</v>
      </c>
      <c r="M380" s="28"/>
      <c r="N380" s="7"/>
      <c r="O380" s="21"/>
      <c r="P380" s="74"/>
      <c r="Q380" s="72"/>
    </row>
    <row r="381" spans="1:17" ht="12.75">
      <c r="A381" s="32" t="s">
        <v>257</v>
      </c>
      <c r="B381" s="91">
        <v>2088</v>
      </c>
      <c r="C381" s="187"/>
      <c r="D381" s="107">
        <f>150947.12+21889.3+15539.92</f>
        <v>188376.34</v>
      </c>
      <c r="E381" s="107"/>
      <c r="F381" s="206">
        <f t="shared" si="106"/>
        <v>188376.34</v>
      </c>
      <c r="G381" s="236">
        <f>7249.16</f>
        <v>7249.16</v>
      </c>
      <c r="H381" s="224"/>
      <c r="I381" s="223">
        <f t="shared" si="110"/>
        <v>195625.5</v>
      </c>
      <c r="J381" s="236"/>
      <c r="K381" s="286"/>
      <c r="L381" s="223">
        <f t="shared" si="111"/>
        <v>195625.5</v>
      </c>
      <c r="M381" s="28"/>
      <c r="N381" s="7"/>
      <c r="O381" s="21"/>
      <c r="P381" s="74"/>
      <c r="Q381" s="72"/>
    </row>
    <row r="382" spans="1:17" ht="12.75">
      <c r="A382" s="36" t="s">
        <v>223</v>
      </c>
      <c r="B382" s="91">
        <v>2077</v>
      </c>
      <c r="C382" s="187">
        <f>97068.16+10000</f>
        <v>107068.16</v>
      </c>
      <c r="D382" s="107">
        <f>121377.45+5000-302.5-2202.72-1474.08-45.98-57.31-487.76-172.52-664.17-1624.63-4327.31-2761.29-3333.97+25500+19600-364.33-57</f>
        <v>153601.88000000003</v>
      </c>
      <c r="E382" s="107"/>
      <c r="F382" s="206">
        <f t="shared" si="106"/>
        <v>260670.04000000004</v>
      </c>
      <c r="G382" s="236">
        <f>-2143.38-6183.38-9.68-1008.85-165.71-1814.01-800-700+3457.7</f>
        <v>-9367.310000000001</v>
      </c>
      <c r="H382" s="224"/>
      <c r="I382" s="223">
        <f t="shared" si="110"/>
        <v>251302.73000000004</v>
      </c>
      <c r="J382" s="236">
        <f>-300.35-28.82-24.68-92-322.83-449.85-1045.36-772.85-2294.41-1461.34-586.4-1433.78-1723.33-1863.46-1005.51-318.32-1952.83-2519.99-736.66-1200-1000</f>
        <v>-21132.77</v>
      </c>
      <c r="K382" s="286"/>
      <c r="L382" s="223">
        <f t="shared" si="111"/>
        <v>230169.96000000005</v>
      </c>
      <c r="M382" s="28"/>
      <c r="N382" s="7"/>
      <c r="O382" s="21"/>
      <c r="P382" s="74"/>
      <c r="Q382" s="72"/>
    </row>
    <row r="383" spans="1:18" ht="12.75">
      <c r="A383" s="43" t="s">
        <v>258</v>
      </c>
      <c r="B383" s="94">
        <v>2099</v>
      </c>
      <c r="C383" s="186"/>
      <c r="D383" s="115">
        <f>116031.47+1530+16.41+13.64-13.89-26.85-31.83-7.08-32.77-126.63-63.09-5000-882.32-2800.1-493.57+11732.78-1998.27+10557.37-19600-10500-15000-8.2-912.12-2407.87+659.56-40000</f>
        <v>40636.63999999997</v>
      </c>
      <c r="E383" s="115">
        <f>-11155.93-21009.77+11155.93+21009.77-2445.98</f>
        <v>-2445.98</v>
      </c>
      <c r="F383" s="211">
        <f t="shared" si="106"/>
        <v>38190.65999999997</v>
      </c>
      <c r="G383" s="235">
        <f>1556.23+4257.22+2057.75-5066.14-0.83-3291.77-2276.42-297.17-1382.39-672.56+381.38-610.36+21.2+30925.71+2767.29+5056.24-1209.34+1891.4-2752.23+1805.25+5222.21+5406.13-1289.33-1000-652+20000</f>
        <v>60847.46999999999</v>
      </c>
      <c r="H383" s="253">
        <f>-99.55-8591.65+99.55+8591.65</f>
        <v>0</v>
      </c>
      <c r="I383" s="231">
        <f t="shared" si="110"/>
        <v>99038.12999999995</v>
      </c>
      <c r="J383" s="235">
        <f>4000+67.75+1127.35-200.24-19.22-16.46-4692.45-521.32-241.58-299.89-696.91-1998.53-515.23-3285.61-20.33-1638.82-390.93-1792.29-955.85-1148.89+5475.79+100.15+7152.84+1960.27+1875.78+814.93+20299.6-1596.66-670.34-212.22-1301.89-2276.59+4030.83-31600+3161.87+2595.41-764.74</f>
        <v>-4194.419999999999</v>
      </c>
      <c r="K383" s="289">
        <f>-22004-11529.78+11529.78</f>
        <v>-22004</v>
      </c>
      <c r="L383" s="231">
        <f t="shared" si="111"/>
        <v>72839.70999999995</v>
      </c>
      <c r="M383" s="28"/>
      <c r="N383" s="7"/>
      <c r="O383" s="21"/>
      <c r="P383" s="74"/>
      <c r="Q383" s="72"/>
      <c r="R383" s="60"/>
    </row>
    <row r="384" spans="1:17" ht="12.75">
      <c r="A384" s="29" t="s">
        <v>89</v>
      </c>
      <c r="B384" s="95"/>
      <c r="C384" s="105">
        <f aca="true" t="shared" si="112" ref="C384:Q384">C385+C411</f>
        <v>334783.56</v>
      </c>
      <c r="D384" s="106">
        <f t="shared" si="112"/>
        <v>351191.82</v>
      </c>
      <c r="E384" s="106">
        <f t="shared" si="112"/>
        <v>0</v>
      </c>
      <c r="F384" s="205">
        <f t="shared" si="112"/>
        <v>685975.3800000001</v>
      </c>
      <c r="G384" s="232">
        <f t="shared" si="112"/>
        <v>861576.0499999999</v>
      </c>
      <c r="H384" s="248">
        <f t="shared" si="112"/>
        <v>0</v>
      </c>
      <c r="I384" s="222">
        <f t="shared" si="112"/>
        <v>1547551.43</v>
      </c>
      <c r="J384" s="232">
        <f>J385+J411</f>
        <v>51326.88</v>
      </c>
      <c r="K384" s="285">
        <f>K385+K411</f>
        <v>0</v>
      </c>
      <c r="L384" s="222">
        <f>L385+L411</f>
        <v>1598878.31</v>
      </c>
      <c r="M384" s="105">
        <f t="shared" si="112"/>
        <v>0</v>
      </c>
      <c r="N384" s="105">
        <f t="shared" si="112"/>
        <v>0</v>
      </c>
      <c r="O384" s="105">
        <f t="shared" si="112"/>
        <v>428415.07</v>
      </c>
      <c r="P384" s="105">
        <f t="shared" si="112"/>
        <v>0</v>
      </c>
      <c r="Q384" s="159">
        <f t="shared" si="112"/>
        <v>428415.07</v>
      </c>
    </row>
    <row r="385" spans="1:17" ht="12.75">
      <c r="A385" s="38" t="s">
        <v>49</v>
      </c>
      <c r="B385" s="95"/>
      <c r="C385" s="113">
        <f aca="true" t="shared" si="113" ref="C385:Q385">SUM(C387:C410)</f>
        <v>334783.56</v>
      </c>
      <c r="D385" s="114">
        <f t="shared" si="113"/>
        <v>351191.82</v>
      </c>
      <c r="E385" s="114">
        <f t="shared" si="113"/>
        <v>0</v>
      </c>
      <c r="F385" s="209">
        <f t="shared" si="113"/>
        <v>685975.3800000001</v>
      </c>
      <c r="G385" s="233">
        <f t="shared" si="113"/>
        <v>861576.0499999999</v>
      </c>
      <c r="H385" s="251">
        <f t="shared" si="113"/>
        <v>0</v>
      </c>
      <c r="I385" s="229">
        <f t="shared" si="113"/>
        <v>1547551.43</v>
      </c>
      <c r="J385" s="233">
        <f>SUM(J387:J410)</f>
        <v>51326.88</v>
      </c>
      <c r="K385" s="290">
        <f>SUM(K387:K410)</f>
        <v>0</v>
      </c>
      <c r="L385" s="229">
        <f>SUM(L387:L410)</f>
        <v>1598878.31</v>
      </c>
      <c r="M385" s="113">
        <f t="shared" si="113"/>
        <v>0</v>
      </c>
      <c r="N385" s="113">
        <f t="shared" si="113"/>
        <v>0</v>
      </c>
      <c r="O385" s="113">
        <f t="shared" si="113"/>
        <v>428415.07</v>
      </c>
      <c r="P385" s="113">
        <f t="shared" si="113"/>
        <v>0</v>
      </c>
      <c r="Q385" s="164">
        <f t="shared" si="113"/>
        <v>428415.07</v>
      </c>
    </row>
    <row r="386" spans="1:17" ht="12.75">
      <c r="A386" s="34" t="s">
        <v>26</v>
      </c>
      <c r="B386" s="91"/>
      <c r="C386" s="108"/>
      <c r="D386" s="107"/>
      <c r="E386" s="107"/>
      <c r="F386" s="206"/>
      <c r="G386" s="236"/>
      <c r="H386" s="224"/>
      <c r="I386" s="223"/>
      <c r="J386" s="236"/>
      <c r="K386" s="286"/>
      <c r="L386" s="223"/>
      <c r="M386" s="20"/>
      <c r="N386" s="7"/>
      <c r="O386" s="21"/>
      <c r="P386" s="74"/>
      <c r="Q386" s="72"/>
    </row>
    <row r="387" spans="1:17" ht="12.75">
      <c r="A387" s="179" t="s">
        <v>90</v>
      </c>
      <c r="B387" s="97"/>
      <c r="C387" s="108">
        <v>253700</v>
      </c>
      <c r="D387" s="107">
        <f>38016+27.2</f>
        <v>38043.2</v>
      </c>
      <c r="E387" s="107"/>
      <c r="F387" s="206">
        <f aca="true" t="shared" si="114" ref="F387:F410">C387+D387+E387</f>
        <v>291743.2</v>
      </c>
      <c r="G387" s="236">
        <f>30000</f>
        <v>30000</v>
      </c>
      <c r="H387" s="224"/>
      <c r="I387" s="223">
        <f>F387+G387+H387</f>
        <v>321743.2</v>
      </c>
      <c r="J387" s="236">
        <f>3357</f>
        <v>3357</v>
      </c>
      <c r="K387" s="286"/>
      <c r="L387" s="223">
        <f>I387+J387+K387</f>
        <v>325100.2</v>
      </c>
      <c r="M387" s="20"/>
      <c r="N387" s="7"/>
      <c r="O387" s="21">
        <f>L387+M387+N387</f>
        <v>325100.2</v>
      </c>
      <c r="P387" s="74"/>
      <c r="Q387" s="72">
        <f>O387+P387</f>
        <v>325100.2</v>
      </c>
    </row>
    <row r="388" spans="1:17" ht="12.75" hidden="1">
      <c r="A388" s="92" t="s">
        <v>191</v>
      </c>
      <c r="B388" s="97"/>
      <c r="C388" s="108"/>
      <c r="D388" s="107"/>
      <c r="E388" s="107"/>
      <c r="F388" s="206">
        <f t="shared" si="114"/>
        <v>0</v>
      </c>
      <c r="G388" s="236"/>
      <c r="H388" s="224"/>
      <c r="I388" s="223">
        <f aca="true" t="shared" si="115" ref="I388:I410">F388+G388+H388</f>
        <v>0</v>
      </c>
      <c r="J388" s="236"/>
      <c r="K388" s="286"/>
      <c r="L388" s="223">
        <f aca="true" t="shared" si="116" ref="L388:L403">I388+J388+K388</f>
        <v>0</v>
      </c>
      <c r="M388" s="20"/>
      <c r="N388" s="7"/>
      <c r="O388" s="21"/>
      <c r="P388" s="74"/>
      <c r="Q388" s="72"/>
    </row>
    <row r="389" spans="1:17" ht="12.75" hidden="1">
      <c r="A389" s="32" t="s">
        <v>134</v>
      </c>
      <c r="B389" s="91"/>
      <c r="C389" s="108"/>
      <c r="D389" s="107"/>
      <c r="E389" s="107"/>
      <c r="F389" s="206">
        <f t="shared" si="114"/>
        <v>0</v>
      </c>
      <c r="G389" s="236"/>
      <c r="H389" s="224"/>
      <c r="I389" s="223">
        <f t="shared" si="115"/>
        <v>0</v>
      </c>
      <c r="J389" s="236"/>
      <c r="K389" s="286"/>
      <c r="L389" s="223">
        <f t="shared" si="116"/>
        <v>0</v>
      </c>
      <c r="M389" s="20"/>
      <c r="N389" s="7"/>
      <c r="O389" s="21">
        <f>L389+M389+N389</f>
        <v>0</v>
      </c>
      <c r="P389" s="74"/>
      <c r="Q389" s="72">
        <f>O389+P389</f>
        <v>0</v>
      </c>
    </row>
    <row r="390" spans="1:17" ht="12.75">
      <c r="A390" s="32" t="s">
        <v>150</v>
      </c>
      <c r="B390" s="91"/>
      <c r="C390" s="108">
        <v>70000</v>
      </c>
      <c r="D390" s="107"/>
      <c r="E390" s="107"/>
      <c r="F390" s="206">
        <f t="shared" si="114"/>
        <v>70000</v>
      </c>
      <c r="G390" s="236"/>
      <c r="H390" s="224"/>
      <c r="I390" s="223">
        <f t="shared" si="115"/>
        <v>70000</v>
      </c>
      <c r="J390" s="236">
        <f>300.77+40.27</f>
        <v>341.03999999999996</v>
      </c>
      <c r="K390" s="286"/>
      <c r="L390" s="223">
        <f t="shared" si="116"/>
        <v>70341.04</v>
      </c>
      <c r="M390" s="20"/>
      <c r="N390" s="7"/>
      <c r="O390" s="21"/>
      <c r="P390" s="74"/>
      <c r="Q390" s="72"/>
    </row>
    <row r="391" spans="1:17" ht="12.75">
      <c r="A391" s="32" t="s">
        <v>51</v>
      </c>
      <c r="B391" s="91"/>
      <c r="C391" s="108">
        <v>10593.56</v>
      </c>
      <c r="D391" s="107"/>
      <c r="E391" s="107"/>
      <c r="F391" s="206">
        <f t="shared" si="114"/>
        <v>10593.56</v>
      </c>
      <c r="G391" s="236">
        <f>134</f>
        <v>134</v>
      </c>
      <c r="H391" s="224"/>
      <c r="I391" s="223">
        <f t="shared" si="115"/>
        <v>10727.56</v>
      </c>
      <c r="J391" s="236"/>
      <c r="K391" s="286"/>
      <c r="L391" s="223">
        <f t="shared" si="116"/>
        <v>10727.56</v>
      </c>
      <c r="M391" s="20"/>
      <c r="N391" s="7"/>
      <c r="O391" s="21">
        <f>L391+M391+N391</f>
        <v>10727.56</v>
      </c>
      <c r="P391" s="74"/>
      <c r="Q391" s="72">
        <f>O391+P391</f>
        <v>10727.56</v>
      </c>
    </row>
    <row r="392" spans="1:17" ht="12.75" hidden="1">
      <c r="A392" s="32" t="s">
        <v>64</v>
      </c>
      <c r="B392" s="91"/>
      <c r="C392" s="108"/>
      <c r="D392" s="107"/>
      <c r="E392" s="107"/>
      <c r="F392" s="206">
        <f t="shared" si="114"/>
        <v>0</v>
      </c>
      <c r="G392" s="236"/>
      <c r="H392" s="224"/>
      <c r="I392" s="223">
        <f t="shared" si="115"/>
        <v>0</v>
      </c>
      <c r="J392" s="236"/>
      <c r="K392" s="286"/>
      <c r="L392" s="223">
        <f t="shared" si="116"/>
        <v>0</v>
      </c>
      <c r="M392" s="20"/>
      <c r="N392" s="7"/>
      <c r="O392" s="21">
        <f>L392+M392+N392</f>
        <v>0</v>
      </c>
      <c r="P392" s="74"/>
      <c r="Q392" s="72">
        <f>O392+P392</f>
        <v>0</v>
      </c>
    </row>
    <row r="393" spans="1:17" ht="12.75" hidden="1">
      <c r="A393" s="32" t="s">
        <v>245</v>
      </c>
      <c r="B393" s="91">
        <v>13013</v>
      </c>
      <c r="C393" s="108"/>
      <c r="D393" s="107"/>
      <c r="E393" s="107"/>
      <c r="F393" s="206">
        <f t="shared" si="114"/>
        <v>0</v>
      </c>
      <c r="G393" s="236"/>
      <c r="H393" s="224"/>
      <c r="I393" s="223">
        <f t="shared" si="115"/>
        <v>0</v>
      </c>
      <c r="J393" s="236"/>
      <c r="K393" s="286"/>
      <c r="L393" s="223">
        <f t="shared" si="116"/>
        <v>0</v>
      </c>
      <c r="M393" s="20"/>
      <c r="N393" s="7"/>
      <c r="O393" s="21"/>
      <c r="P393" s="74"/>
      <c r="Q393" s="72"/>
    </row>
    <row r="394" spans="1:17" ht="12.75">
      <c r="A394" s="92" t="s">
        <v>315</v>
      </c>
      <c r="B394" s="91">
        <v>2178</v>
      </c>
      <c r="C394" s="108"/>
      <c r="D394" s="107">
        <f>908.07</f>
        <v>908.07</v>
      </c>
      <c r="E394" s="107"/>
      <c r="F394" s="206">
        <f t="shared" si="114"/>
        <v>908.07</v>
      </c>
      <c r="G394" s="236"/>
      <c r="H394" s="224"/>
      <c r="I394" s="223">
        <f t="shared" si="115"/>
        <v>908.07</v>
      </c>
      <c r="J394" s="236"/>
      <c r="K394" s="286"/>
      <c r="L394" s="223">
        <f t="shared" si="116"/>
        <v>908.07</v>
      </c>
      <c r="M394" s="20"/>
      <c r="N394" s="7"/>
      <c r="O394" s="21"/>
      <c r="P394" s="74"/>
      <c r="Q394" s="72"/>
    </row>
    <row r="395" spans="1:17" ht="13.5" thickBot="1">
      <c r="A395" s="315" t="s">
        <v>342</v>
      </c>
      <c r="B395" s="130">
        <v>2178</v>
      </c>
      <c r="C395" s="188"/>
      <c r="D395" s="131"/>
      <c r="E395" s="131"/>
      <c r="F395" s="212">
        <f t="shared" si="114"/>
        <v>0</v>
      </c>
      <c r="G395" s="310">
        <f>1391.46</f>
        <v>1391.46</v>
      </c>
      <c r="H395" s="311"/>
      <c r="I395" s="312">
        <f t="shared" si="115"/>
        <v>1391.46</v>
      </c>
      <c r="J395" s="310"/>
      <c r="K395" s="313"/>
      <c r="L395" s="312">
        <f t="shared" si="116"/>
        <v>1391.46</v>
      </c>
      <c r="M395" s="20"/>
      <c r="N395" s="7"/>
      <c r="O395" s="21"/>
      <c r="P395" s="74"/>
      <c r="Q395" s="72"/>
    </row>
    <row r="396" spans="1:17" ht="12.75">
      <c r="A396" s="32" t="s">
        <v>316</v>
      </c>
      <c r="B396" s="91">
        <v>2073</v>
      </c>
      <c r="C396" s="108"/>
      <c r="D396" s="107">
        <f>1390.57</f>
        <v>1390.57</v>
      </c>
      <c r="E396" s="107"/>
      <c r="F396" s="206">
        <f t="shared" si="114"/>
        <v>1390.57</v>
      </c>
      <c r="G396" s="236"/>
      <c r="H396" s="224"/>
      <c r="I396" s="223">
        <f t="shared" si="115"/>
        <v>1390.57</v>
      </c>
      <c r="J396" s="236"/>
      <c r="K396" s="286"/>
      <c r="L396" s="223">
        <f t="shared" si="116"/>
        <v>1390.57</v>
      </c>
      <c r="M396" s="20"/>
      <c r="N396" s="7"/>
      <c r="O396" s="21"/>
      <c r="P396" s="74"/>
      <c r="Q396" s="72"/>
    </row>
    <row r="397" spans="1:17" ht="12.75" hidden="1">
      <c r="A397" s="32" t="s">
        <v>301</v>
      </c>
      <c r="B397" s="91"/>
      <c r="C397" s="108"/>
      <c r="D397" s="107">
        <f>29773.34</f>
        <v>29773.34</v>
      </c>
      <c r="E397" s="107"/>
      <c r="F397" s="206">
        <f t="shared" si="114"/>
        <v>29773.34</v>
      </c>
      <c r="G397" s="236">
        <f>-29773.34</f>
        <v>-29773.34</v>
      </c>
      <c r="H397" s="224"/>
      <c r="I397" s="223">
        <f t="shared" si="115"/>
        <v>0</v>
      </c>
      <c r="J397" s="236"/>
      <c r="K397" s="286"/>
      <c r="L397" s="223">
        <f t="shared" si="116"/>
        <v>0</v>
      </c>
      <c r="M397" s="20"/>
      <c r="N397" s="7"/>
      <c r="O397" s="21"/>
      <c r="P397" s="74"/>
      <c r="Q397" s="72"/>
    </row>
    <row r="398" spans="1:17" ht="12.75">
      <c r="A398" s="32" t="s">
        <v>317</v>
      </c>
      <c r="B398" s="91">
        <v>1230</v>
      </c>
      <c r="C398" s="108"/>
      <c r="D398" s="107">
        <f>11294.79</f>
        <v>11294.79</v>
      </c>
      <c r="E398" s="107"/>
      <c r="F398" s="206">
        <f t="shared" si="114"/>
        <v>11294.79</v>
      </c>
      <c r="G398" s="236"/>
      <c r="H398" s="224"/>
      <c r="I398" s="223">
        <f t="shared" si="115"/>
        <v>11294.79</v>
      </c>
      <c r="J398" s="236"/>
      <c r="K398" s="286"/>
      <c r="L398" s="223">
        <f t="shared" si="116"/>
        <v>11294.79</v>
      </c>
      <c r="M398" s="20"/>
      <c r="N398" s="7"/>
      <c r="O398" s="21"/>
      <c r="P398" s="74"/>
      <c r="Q398" s="72"/>
    </row>
    <row r="399" spans="1:17" ht="12.75">
      <c r="A399" s="32" t="s">
        <v>340</v>
      </c>
      <c r="B399" s="91">
        <v>1230</v>
      </c>
      <c r="C399" s="108"/>
      <c r="D399" s="107"/>
      <c r="E399" s="107"/>
      <c r="F399" s="206">
        <f t="shared" si="114"/>
        <v>0</v>
      </c>
      <c r="G399" s="236">
        <f>17341.72</f>
        <v>17341.72</v>
      </c>
      <c r="H399" s="224"/>
      <c r="I399" s="223">
        <f t="shared" si="115"/>
        <v>17341.72</v>
      </c>
      <c r="J399" s="236"/>
      <c r="K399" s="286"/>
      <c r="L399" s="223">
        <f t="shared" si="116"/>
        <v>17341.72</v>
      </c>
      <c r="M399" s="20"/>
      <c r="N399" s="7"/>
      <c r="O399" s="21"/>
      <c r="P399" s="74"/>
      <c r="Q399" s="72"/>
    </row>
    <row r="400" spans="1:17" ht="12.75">
      <c r="A400" s="32" t="s">
        <v>318</v>
      </c>
      <c r="B400" s="91">
        <v>2080</v>
      </c>
      <c r="C400" s="108"/>
      <c r="D400" s="107">
        <f>4929.64</f>
        <v>4929.64</v>
      </c>
      <c r="E400" s="107"/>
      <c r="F400" s="206">
        <f t="shared" si="114"/>
        <v>4929.64</v>
      </c>
      <c r="G400" s="236"/>
      <c r="H400" s="224"/>
      <c r="I400" s="223">
        <f t="shared" si="115"/>
        <v>4929.64</v>
      </c>
      <c r="J400" s="236"/>
      <c r="K400" s="286"/>
      <c r="L400" s="223">
        <f t="shared" si="116"/>
        <v>4929.64</v>
      </c>
      <c r="M400" s="20"/>
      <c r="N400" s="7"/>
      <c r="O400" s="21"/>
      <c r="P400" s="74"/>
      <c r="Q400" s="72"/>
    </row>
    <row r="401" spans="1:17" ht="12.75">
      <c r="A401" s="32" t="s">
        <v>325</v>
      </c>
      <c r="B401" s="91">
        <v>2080</v>
      </c>
      <c r="C401" s="108"/>
      <c r="D401" s="107">
        <f>1449.15</f>
        <v>1449.15</v>
      </c>
      <c r="E401" s="107"/>
      <c r="F401" s="206">
        <f t="shared" si="114"/>
        <v>1449.15</v>
      </c>
      <c r="G401" s="236"/>
      <c r="H401" s="224"/>
      <c r="I401" s="223">
        <f t="shared" si="115"/>
        <v>1449.15</v>
      </c>
      <c r="J401" s="236"/>
      <c r="K401" s="286"/>
      <c r="L401" s="223">
        <f t="shared" si="116"/>
        <v>1449.15</v>
      </c>
      <c r="M401" s="20"/>
      <c r="N401" s="7"/>
      <c r="O401" s="21"/>
      <c r="P401" s="74"/>
      <c r="Q401" s="72"/>
    </row>
    <row r="402" spans="1:17" ht="12.75">
      <c r="A402" s="32" t="s">
        <v>319</v>
      </c>
      <c r="B402" s="91">
        <v>1233</v>
      </c>
      <c r="C402" s="108"/>
      <c r="D402" s="107">
        <f>7214.55</f>
        <v>7214.55</v>
      </c>
      <c r="E402" s="107"/>
      <c r="F402" s="206">
        <f t="shared" si="114"/>
        <v>7214.55</v>
      </c>
      <c r="G402" s="236"/>
      <c r="H402" s="224"/>
      <c r="I402" s="223">
        <f t="shared" si="115"/>
        <v>7214.55</v>
      </c>
      <c r="J402" s="236"/>
      <c r="K402" s="286"/>
      <c r="L402" s="223">
        <f t="shared" si="116"/>
        <v>7214.55</v>
      </c>
      <c r="M402" s="20"/>
      <c r="N402" s="7"/>
      <c r="O402" s="21"/>
      <c r="P402" s="74"/>
      <c r="Q402" s="72"/>
    </row>
    <row r="403" spans="1:17" ht="12.75">
      <c r="A403" s="41" t="s">
        <v>187</v>
      </c>
      <c r="B403" s="91">
        <v>13305</v>
      </c>
      <c r="C403" s="108"/>
      <c r="D403" s="107">
        <f>206235.5</f>
        <v>206235.5</v>
      </c>
      <c r="E403" s="107"/>
      <c r="F403" s="206">
        <f t="shared" si="114"/>
        <v>206235.5</v>
      </c>
      <c r="G403" s="236">
        <f>103117.75+744849</f>
        <v>847966.75</v>
      </c>
      <c r="H403" s="224"/>
      <c r="I403" s="223">
        <f t="shared" si="115"/>
        <v>1054202.25</v>
      </c>
      <c r="J403" s="236"/>
      <c r="K403" s="286"/>
      <c r="L403" s="223">
        <f t="shared" si="116"/>
        <v>1054202.25</v>
      </c>
      <c r="M403" s="20"/>
      <c r="N403" s="7"/>
      <c r="O403" s="21"/>
      <c r="P403" s="74"/>
      <c r="Q403" s="72"/>
    </row>
    <row r="404" spans="1:17" ht="12.75">
      <c r="A404" s="32" t="s">
        <v>91</v>
      </c>
      <c r="B404" s="91">
        <v>13307</v>
      </c>
      <c r="C404" s="108"/>
      <c r="D404" s="107">
        <f>3000</f>
        <v>3000</v>
      </c>
      <c r="E404" s="107"/>
      <c r="F404" s="206">
        <f t="shared" si="114"/>
        <v>3000</v>
      </c>
      <c r="G404" s="236">
        <f>7000</f>
        <v>7000</v>
      </c>
      <c r="H404" s="224"/>
      <c r="I404" s="223">
        <f t="shared" si="115"/>
        <v>10000</v>
      </c>
      <c r="J404" s="236">
        <f>2000</f>
        <v>2000</v>
      </c>
      <c r="K404" s="286"/>
      <c r="L404" s="223">
        <f>I404+J404+K404</f>
        <v>12000</v>
      </c>
      <c r="M404" s="20"/>
      <c r="N404" s="7"/>
      <c r="O404" s="21">
        <f>L404+M404+N404</f>
        <v>12000</v>
      </c>
      <c r="P404" s="74"/>
      <c r="Q404" s="72">
        <f>O404+P404</f>
        <v>12000</v>
      </c>
    </row>
    <row r="405" spans="1:17" ht="12.75" hidden="1">
      <c r="A405" s="32" t="s">
        <v>133</v>
      </c>
      <c r="B405" s="91">
        <v>14032</v>
      </c>
      <c r="C405" s="108"/>
      <c r="D405" s="107"/>
      <c r="E405" s="107"/>
      <c r="F405" s="206">
        <f t="shared" si="114"/>
        <v>0</v>
      </c>
      <c r="G405" s="236"/>
      <c r="H405" s="224"/>
      <c r="I405" s="223">
        <f t="shared" si="115"/>
        <v>0</v>
      </c>
      <c r="J405" s="236"/>
      <c r="K405" s="286"/>
      <c r="L405" s="223">
        <f>I405+J405+K405</f>
        <v>0</v>
      </c>
      <c r="M405" s="20"/>
      <c r="N405" s="7"/>
      <c r="O405" s="21">
        <f>L405+M405+N405</f>
        <v>0</v>
      </c>
      <c r="P405" s="74"/>
      <c r="Q405" s="72">
        <f>O405+P405</f>
        <v>0</v>
      </c>
    </row>
    <row r="406" spans="1:17" ht="12.75" hidden="1">
      <c r="A406" s="92" t="s">
        <v>320</v>
      </c>
      <c r="B406" s="91">
        <v>13351</v>
      </c>
      <c r="C406" s="108"/>
      <c r="D406" s="107"/>
      <c r="E406" s="107"/>
      <c r="F406" s="206">
        <f t="shared" si="114"/>
        <v>0</v>
      </c>
      <c r="G406" s="236"/>
      <c r="H406" s="224"/>
      <c r="I406" s="223">
        <f t="shared" si="115"/>
        <v>0</v>
      </c>
      <c r="J406" s="236"/>
      <c r="K406" s="286"/>
      <c r="L406" s="223"/>
      <c r="M406" s="20"/>
      <c r="N406" s="7"/>
      <c r="O406" s="21"/>
      <c r="P406" s="74"/>
      <c r="Q406" s="72"/>
    </row>
    <row r="407" spans="1:17" ht="12.75" hidden="1">
      <c r="A407" s="53" t="s">
        <v>293</v>
      </c>
      <c r="B407" s="91">
        <v>13351</v>
      </c>
      <c r="C407" s="108"/>
      <c r="D407" s="107"/>
      <c r="E407" s="107"/>
      <c r="F407" s="206">
        <f t="shared" si="114"/>
        <v>0</v>
      </c>
      <c r="G407" s="236"/>
      <c r="H407" s="224"/>
      <c r="I407" s="223">
        <f t="shared" si="115"/>
        <v>0</v>
      </c>
      <c r="J407" s="236"/>
      <c r="K407" s="286"/>
      <c r="L407" s="223"/>
      <c r="M407" s="20"/>
      <c r="N407" s="7"/>
      <c r="O407" s="21"/>
      <c r="P407" s="74"/>
      <c r="Q407" s="72"/>
    </row>
    <row r="408" spans="1:17" ht="12.75">
      <c r="A408" s="92" t="s">
        <v>140</v>
      </c>
      <c r="B408" s="91">
        <v>4359</v>
      </c>
      <c r="C408" s="108"/>
      <c r="D408" s="107"/>
      <c r="E408" s="107"/>
      <c r="F408" s="206">
        <f t="shared" si="114"/>
        <v>0</v>
      </c>
      <c r="G408" s="236">
        <f>603+492</f>
        <v>1095</v>
      </c>
      <c r="H408" s="224"/>
      <c r="I408" s="223">
        <f t="shared" si="115"/>
        <v>1095</v>
      </c>
      <c r="J408" s="236"/>
      <c r="K408" s="286"/>
      <c r="L408" s="223">
        <f>I408+J408+K408</f>
        <v>1095</v>
      </c>
      <c r="M408" s="20"/>
      <c r="N408" s="7"/>
      <c r="O408" s="21">
        <f>L408+M408+N408</f>
        <v>1095</v>
      </c>
      <c r="P408" s="74"/>
      <c r="Q408" s="72">
        <f>O408+P408</f>
        <v>1095</v>
      </c>
    </row>
    <row r="409" spans="1:17" ht="12.75" hidden="1">
      <c r="A409" s="92" t="s">
        <v>279</v>
      </c>
      <c r="B409" s="91"/>
      <c r="C409" s="108"/>
      <c r="D409" s="107"/>
      <c r="E409" s="107"/>
      <c r="F409" s="206">
        <f t="shared" si="114"/>
        <v>0</v>
      </c>
      <c r="G409" s="236"/>
      <c r="H409" s="224"/>
      <c r="I409" s="223">
        <f t="shared" si="115"/>
        <v>0</v>
      </c>
      <c r="J409" s="236"/>
      <c r="K409" s="286"/>
      <c r="L409" s="223"/>
      <c r="M409" s="20"/>
      <c r="N409" s="7"/>
      <c r="O409" s="21"/>
      <c r="P409" s="74"/>
      <c r="Q409" s="72"/>
    </row>
    <row r="410" spans="1:17" ht="12.75">
      <c r="A410" s="35" t="s">
        <v>75</v>
      </c>
      <c r="B410" s="94"/>
      <c r="C410" s="186">
        <v>490</v>
      </c>
      <c r="D410" s="115">
        <f>3035+1003.99+352.05+2429.62+674.71+8957.64+5000+10500+15000</f>
        <v>46953.009999999995</v>
      </c>
      <c r="E410" s="115"/>
      <c r="F410" s="211">
        <f t="shared" si="114"/>
        <v>47443.009999999995</v>
      </c>
      <c r="G410" s="235">
        <f>5846.49+52.35+200.96+122.58+42.8+33.11+122.17-20000</f>
        <v>-13579.54</v>
      </c>
      <c r="H410" s="253"/>
      <c r="I410" s="231">
        <f t="shared" si="115"/>
        <v>33863.469999999994</v>
      </c>
      <c r="J410" s="235">
        <f>57.48+171.36+13800+31600</f>
        <v>45628.84</v>
      </c>
      <c r="K410" s="289"/>
      <c r="L410" s="231">
        <f>I410+J410+K410</f>
        <v>79492.31</v>
      </c>
      <c r="M410" s="20"/>
      <c r="N410" s="7"/>
      <c r="O410" s="21">
        <f>L410+M410+N410</f>
        <v>79492.31</v>
      </c>
      <c r="P410" s="74"/>
      <c r="Q410" s="72">
        <f>O410+P410</f>
        <v>79492.31</v>
      </c>
    </row>
    <row r="411" spans="1:17" ht="12.75" hidden="1">
      <c r="A411" s="38" t="s">
        <v>53</v>
      </c>
      <c r="B411" s="95"/>
      <c r="C411" s="113">
        <f>SUM(C413:C415)</f>
        <v>0</v>
      </c>
      <c r="D411" s="114">
        <f aca="true" t="shared" si="117" ref="D411:Q411">SUM(D413:D415)</f>
        <v>0</v>
      </c>
      <c r="E411" s="114">
        <f t="shared" si="117"/>
        <v>0</v>
      </c>
      <c r="F411" s="209">
        <f t="shared" si="117"/>
        <v>0</v>
      </c>
      <c r="G411" s="233">
        <f t="shared" si="117"/>
        <v>0</v>
      </c>
      <c r="H411" s="251">
        <f t="shared" si="117"/>
        <v>0</v>
      </c>
      <c r="I411" s="229">
        <f t="shared" si="117"/>
        <v>0</v>
      </c>
      <c r="J411" s="233">
        <f t="shared" si="117"/>
        <v>0</v>
      </c>
      <c r="K411" s="290">
        <f t="shared" si="117"/>
        <v>0</v>
      </c>
      <c r="L411" s="229">
        <f t="shared" si="117"/>
        <v>0</v>
      </c>
      <c r="M411" s="113">
        <f t="shared" si="117"/>
        <v>0</v>
      </c>
      <c r="N411" s="113">
        <f t="shared" si="117"/>
        <v>0</v>
      </c>
      <c r="O411" s="113">
        <f t="shared" si="117"/>
        <v>0</v>
      </c>
      <c r="P411" s="113">
        <f t="shared" si="117"/>
        <v>0</v>
      </c>
      <c r="Q411" s="164">
        <f t="shared" si="117"/>
        <v>0</v>
      </c>
    </row>
    <row r="412" spans="1:17" ht="12.75" hidden="1">
      <c r="A412" s="34" t="s">
        <v>26</v>
      </c>
      <c r="B412" s="91"/>
      <c r="C412" s="108"/>
      <c r="D412" s="107"/>
      <c r="E412" s="107"/>
      <c r="F412" s="206"/>
      <c r="G412" s="236"/>
      <c r="H412" s="224"/>
      <c r="I412" s="223"/>
      <c r="J412" s="236"/>
      <c r="K412" s="286"/>
      <c r="L412" s="223"/>
      <c r="M412" s="20"/>
      <c r="N412" s="7"/>
      <c r="O412" s="21"/>
      <c r="P412" s="74"/>
      <c r="Q412" s="72"/>
    </row>
    <row r="413" spans="1:17" ht="12.75" hidden="1">
      <c r="A413" s="32" t="s">
        <v>83</v>
      </c>
      <c r="B413" s="91"/>
      <c r="C413" s="108"/>
      <c r="D413" s="107"/>
      <c r="E413" s="107"/>
      <c r="F413" s="206">
        <f>C413+D413+E413</f>
        <v>0</v>
      </c>
      <c r="G413" s="236"/>
      <c r="H413" s="224"/>
      <c r="I413" s="223">
        <f>F413+G413+H413</f>
        <v>0</v>
      </c>
      <c r="J413" s="236"/>
      <c r="K413" s="286"/>
      <c r="L413" s="223">
        <f>I413+J413+K413</f>
        <v>0</v>
      </c>
      <c r="M413" s="20"/>
      <c r="N413" s="7"/>
      <c r="O413" s="21">
        <f>L413+M413+N413</f>
        <v>0</v>
      </c>
      <c r="P413" s="74"/>
      <c r="Q413" s="72">
        <f>O413+P413</f>
        <v>0</v>
      </c>
    </row>
    <row r="414" spans="1:17" ht="12.75" hidden="1">
      <c r="A414" s="32" t="s">
        <v>54</v>
      </c>
      <c r="B414" s="91"/>
      <c r="C414" s="108"/>
      <c r="D414" s="107"/>
      <c r="E414" s="107"/>
      <c r="F414" s="206">
        <f>C414+D414+E414</f>
        <v>0</v>
      </c>
      <c r="G414" s="236"/>
      <c r="H414" s="224"/>
      <c r="I414" s="223"/>
      <c r="J414" s="236"/>
      <c r="K414" s="286"/>
      <c r="L414" s="223">
        <f>I414+J414+K414</f>
        <v>0</v>
      </c>
      <c r="M414" s="20"/>
      <c r="N414" s="7"/>
      <c r="O414" s="21">
        <f>L414+M414+N414</f>
        <v>0</v>
      </c>
      <c r="P414" s="74"/>
      <c r="Q414" s="72">
        <f>O414+P414</f>
        <v>0</v>
      </c>
    </row>
    <row r="415" spans="1:17" ht="13.5" hidden="1" thickBot="1">
      <c r="A415" s="156" t="s">
        <v>75</v>
      </c>
      <c r="B415" s="130"/>
      <c r="C415" s="188"/>
      <c r="D415" s="131"/>
      <c r="E415" s="131"/>
      <c r="F415" s="212">
        <f>C415+D415+E415</f>
        <v>0</v>
      </c>
      <c r="G415" s="236"/>
      <c r="H415" s="224"/>
      <c r="I415" s="223">
        <f>F415+G415+H415</f>
        <v>0</v>
      </c>
      <c r="J415" s="236"/>
      <c r="K415" s="286"/>
      <c r="L415" s="223">
        <f>I415+J415+K415</f>
        <v>0</v>
      </c>
      <c r="M415" s="20"/>
      <c r="N415" s="7"/>
      <c r="O415" s="21">
        <f>L415+M415+N415</f>
        <v>0</v>
      </c>
      <c r="P415" s="74"/>
      <c r="Q415" s="72">
        <f>O415+P415</f>
        <v>0</v>
      </c>
    </row>
    <row r="416" spans="1:17" ht="12.75">
      <c r="A416" s="33" t="s">
        <v>289</v>
      </c>
      <c r="B416" s="95"/>
      <c r="C416" s="105">
        <f aca="true" t="shared" si="118" ref="C416:Q416">C417+C428</f>
        <v>7532.35</v>
      </c>
      <c r="D416" s="106">
        <f t="shared" si="118"/>
        <v>2706.3</v>
      </c>
      <c r="E416" s="106">
        <f t="shared" si="118"/>
        <v>4945.98</v>
      </c>
      <c r="F416" s="205">
        <f t="shared" si="118"/>
        <v>15184.630000000001</v>
      </c>
      <c r="G416" s="232">
        <f t="shared" si="118"/>
        <v>3351.96</v>
      </c>
      <c r="H416" s="248">
        <f t="shared" si="118"/>
        <v>0</v>
      </c>
      <c r="I416" s="222">
        <f t="shared" si="118"/>
        <v>18536.59</v>
      </c>
      <c r="J416" s="232">
        <f>J417+J428</f>
        <v>1011.46</v>
      </c>
      <c r="K416" s="285">
        <f>K417+K428</f>
        <v>0</v>
      </c>
      <c r="L416" s="222">
        <f>L417+L428</f>
        <v>19548.05</v>
      </c>
      <c r="M416" s="105">
        <f t="shared" si="118"/>
        <v>0</v>
      </c>
      <c r="N416" s="105">
        <f t="shared" si="118"/>
        <v>0</v>
      </c>
      <c r="O416" s="105">
        <f t="shared" si="118"/>
        <v>15109.7</v>
      </c>
      <c r="P416" s="105">
        <f t="shared" si="118"/>
        <v>0</v>
      </c>
      <c r="Q416" s="159">
        <f t="shared" si="118"/>
        <v>15109.7</v>
      </c>
    </row>
    <row r="417" spans="1:17" ht="12.75">
      <c r="A417" s="38" t="s">
        <v>49</v>
      </c>
      <c r="B417" s="95"/>
      <c r="C417" s="113">
        <f aca="true" t="shared" si="119" ref="C417:Q417">SUM(C419:C427)</f>
        <v>7532.35</v>
      </c>
      <c r="D417" s="114">
        <f t="shared" si="119"/>
        <v>2706.3</v>
      </c>
      <c r="E417" s="114">
        <f t="shared" si="119"/>
        <v>4945.98</v>
      </c>
      <c r="F417" s="209">
        <f t="shared" si="119"/>
        <v>15184.630000000001</v>
      </c>
      <c r="G417" s="233">
        <f t="shared" si="119"/>
        <v>3351.96</v>
      </c>
      <c r="H417" s="251">
        <f t="shared" si="119"/>
        <v>0</v>
      </c>
      <c r="I417" s="229">
        <f t="shared" si="119"/>
        <v>18536.59</v>
      </c>
      <c r="J417" s="233">
        <f>SUM(J419:J427)</f>
        <v>1011.46</v>
      </c>
      <c r="K417" s="290">
        <f>SUM(K419:K427)</f>
        <v>0</v>
      </c>
      <c r="L417" s="229">
        <f>SUM(L419:L427)</f>
        <v>19548.05</v>
      </c>
      <c r="M417" s="113">
        <f t="shared" si="119"/>
        <v>0</v>
      </c>
      <c r="N417" s="113">
        <f t="shared" si="119"/>
        <v>0</v>
      </c>
      <c r="O417" s="113">
        <f t="shared" si="119"/>
        <v>15109.7</v>
      </c>
      <c r="P417" s="113">
        <f t="shared" si="119"/>
        <v>0</v>
      </c>
      <c r="Q417" s="164">
        <f t="shared" si="119"/>
        <v>15109.7</v>
      </c>
    </row>
    <row r="418" spans="1:17" ht="12.75">
      <c r="A418" s="34" t="s">
        <v>26</v>
      </c>
      <c r="B418" s="91"/>
      <c r="C418" s="108"/>
      <c r="D418" s="107"/>
      <c r="E418" s="107"/>
      <c r="F418" s="205"/>
      <c r="G418" s="236"/>
      <c r="H418" s="224"/>
      <c r="I418" s="222"/>
      <c r="J418" s="236"/>
      <c r="K418" s="286"/>
      <c r="L418" s="222"/>
      <c r="M418" s="20"/>
      <c r="N418" s="7"/>
      <c r="O418" s="19"/>
      <c r="P418" s="74"/>
      <c r="Q418" s="72"/>
    </row>
    <row r="419" spans="1:17" ht="12.75">
      <c r="A419" s="32" t="s">
        <v>51</v>
      </c>
      <c r="B419" s="91"/>
      <c r="C419" s="108">
        <v>7532.35</v>
      </c>
      <c r="D419" s="107">
        <f>2306.3</f>
        <v>2306.3</v>
      </c>
      <c r="E419" s="107"/>
      <c r="F419" s="206">
        <f aca="true" t="shared" si="120" ref="F419:F427">C419+D419+E419</f>
        <v>9838.650000000001</v>
      </c>
      <c r="G419" s="236">
        <f>35.57+2000</f>
        <v>2035.57</v>
      </c>
      <c r="H419" s="224"/>
      <c r="I419" s="223">
        <f aca="true" t="shared" si="121" ref="I419:I427">F419+G419+H419</f>
        <v>11874.220000000001</v>
      </c>
      <c r="J419" s="236">
        <f>389.5</f>
        <v>389.5</v>
      </c>
      <c r="K419" s="286"/>
      <c r="L419" s="223">
        <f>I419+J419+K419</f>
        <v>12263.720000000001</v>
      </c>
      <c r="M419" s="20"/>
      <c r="N419" s="7"/>
      <c r="O419" s="21">
        <f>L419+M419+N419</f>
        <v>12263.720000000001</v>
      </c>
      <c r="P419" s="74"/>
      <c r="Q419" s="72">
        <f>O419+P419</f>
        <v>12263.720000000001</v>
      </c>
    </row>
    <row r="420" spans="1:17" ht="12.75">
      <c r="A420" s="86" t="s">
        <v>327</v>
      </c>
      <c r="B420" s="91"/>
      <c r="C420" s="108"/>
      <c r="D420" s="107"/>
      <c r="E420" s="107">
        <f>2500</f>
        <v>2500</v>
      </c>
      <c r="F420" s="206">
        <f t="shared" si="120"/>
        <v>2500</v>
      </c>
      <c r="G420" s="236"/>
      <c r="H420" s="224"/>
      <c r="I420" s="223">
        <f t="shared" si="121"/>
        <v>2500</v>
      </c>
      <c r="J420" s="236"/>
      <c r="K420" s="286"/>
      <c r="L420" s="223">
        <f aca="true" t="shared" si="122" ref="L420:L426">I420+J420+K420</f>
        <v>2500</v>
      </c>
      <c r="M420" s="20"/>
      <c r="N420" s="7"/>
      <c r="O420" s="21"/>
      <c r="P420" s="74"/>
      <c r="Q420" s="72"/>
    </row>
    <row r="421" spans="1:17" ht="12.75">
      <c r="A421" s="32" t="s">
        <v>75</v>
      </c>
      <c r="B421" s="91"/>
      <c r="C421" s="108"/>
      <c r="D421" s="124">
        <f>400</f>
        <v>400</v>
      </c>
      <c r="E421" s="107">
        <f>2445.98</f>
        <v>2445.98</v>
      </c>
      <c r="F421" s="206">
        <f t="shared" si="120"/>
        <v>2845.98</v>
      </c>
      <c r="G421" s="236"/>
      <c r="H421" s="224"/>
      <c r="I421" s="223">
        <f t="shared" si="121"/>
        <v>2845.98</v>
      </c>
      <c r="J421" s="236"/>
      <c r="K421" s="286"/>
      <c r="L421" s="223">
        <f t="shared" si="122"/>
        <v>2845.98</v>
      </c>
      <c r="M421" s="20"/>
      <c r="N421" s="7"/>
      <c r="O421" s="21">
        <f>L421+M421+N421</f>
        <v>2845.98</v>
      </c>
      <c r="P421" s="74"/>
      <c r="Q421" s="72">
        <f>O421+P421</f>
        <v>2845.98</v>
      </c>
    </row>
    <row r="422" spans="1:17" ht="12.75" hidden="1">
      <c r="A422" s="32" t="s">
        <v>64</v>
      </c>
      <c r="B422" s="91"/>
      <c r="C422" s="108"/>
      <c r="D422" s="107"/>
      <c r="E422" s="107"/>
      <c r="F422" s="206">
        <f t="shared" si="120"/>
        <v>0</v>
      </c>
      <c r="G422" s="236"/>
      <c r="H422" s="224"/>
      <c r="I422" s="223">
        <f t="shared" si="121"/>
        <v>0</v>
      </c>
      <c r="J422" s="269"/>
      <c r="K422" s="286"/>
      <c r="L422" s="223">
        <f t="shared" si="122"/>
        <v>0</v>
      </c>
      <c r="M422" s="20"/>
      <c r="N422" s="7"/>
      <c r="O422" s="21">
        <f>L422+M422+N422</f>
        <v>0</v>
      </c>
      <c r="P422" s="74"/>
      <c r="Q422" s="72">
        <f>O422+P422</f>
        <v>0</v>
      </c>
    </row>
    <row r="423" spans="1:17" ht="12.75" hidden="1">
      <c r="A423" s="32" t="s">
        <v>146</v>
      </c>
      <c r="B423" s="91"/>
      <c r="C423" s="108"/>
      <c r="D423" s="107"/>
      <c r="E423" s="107"/>
      <c r="F423" s="206">
        <f t="shared" si="120"/>
        <v>0</v>
      </c>
      <c r="G423" s="236"/>
      <c r="H423" s="224"/>
      <c r="I423" s="223">
        <f t="shared" si="121"/>
        <v>0</v>
      </c>
      <c r="J423" s="269"/>
      <c r="K423" s="286"/>
      <c r="L423" s="223">
        <f t="shared" si="122"/>
        <v>0</v>
      </c>
      <c r="M423" s="20"/>
      <c r="N423" s="7"/>
      <c r="O423" s="21">
        <f>L423+M423+N423</f>
        <v>0</v>
      </c>
      <c r="P423" s="74"/>
      <c r="Q423" s="72">
        <f>O423+P423</f>
        <v>0</v>
      </c>
    </row>
    <row r="424" spans="1:17" ht="12.75">
      <c r="A424" s="41" t="s">
        <v>347</v>
      </c>
      <c r="B424" s="91" t="s">
        <v>359</v>
      </c>
      <c r="C424" s="108"/>
      <c r="D424" s="107"/>
      <c r="E424" s="107"/>
      <c r="F424" s="206">
        <f t="shared" si="120"/>
        <v>0</v>
      </c>
      <c r="G424" s="236"/>
      <c r="H424" s="224"/>
      <c r="I424" s="223">
        <f t="shared" si="121"/>
        <v>0</v>
      </c>
      <c r="J424" s="269">
        <f>621.96</f>
        <v>621.96</v>
      </c>
      <c r="K424" s="286"/>
      <c r="L424" s="223">
        <f t="shared" si="122"/>
        <v>621.96</v>
      </c>
      <c r="M424" s="20"/>
      <c r="N424" s="7"/>
      <c r="O424" s="21"/>
      <c r="P424" s="74"/>
      <c r="Q424" s="72"/>
    </row>
    <row r="425" spans="1:17" ht="12.75" hidden="1">
      <c r="A425" s="32" t="s">
        <v>236</v>
      </c>
      <c r="B425" s="91">
        <v>98035</v>
      </c>
      <c r="C425" s="108"/>
      <c r="D425" s="107"/>
      <c r="E425" s="107"/>
      <c r="F425" s="206">
        <f t="shared" si="120"/>
        <v>0</v>
      </c>
      <c r="G425" s="236"/>
      <c r="H425" s="224"/>
      <c r="I425" s="223">
        <f t="shared" si="121"/>
        <v>0</v>
      </c>
      <c r="J425" s="269"/>
      <c r="K425" s="286"/>
      <c r="L425" s="223">
        <f t="shared" si="122"/>
        <v>0</v>
      </c>
      <c r="M425" s="20"/>
      <c r="N425" s="7"/>
      <c r="O425" s="21"/>
      <c r="P425" s="74"/>
      <c r="Q425" s="72"/>
    </row>
    <row r="426" spans="1:17" ht="12.75">
      <c r="A426" s="35" t="s">
        <v>337</v>
      </c>
      <c r="B426" s="279" t="s">
        <v>216</v>
      </c>
      <c r="C426" s="186"/>
      <c r="D426" s="115"/>
      <c r="E426" s="115"/>
      <c r="F426" s="211">
        <f t="shared" si="120"/>
        <v>0</v>
      </c>
      <c r="G426" s="235">
        <f>1316.39</f>
        <v>1316.39</v>
      </c>
      <c r="H426" s="253"/>
      <c r="I426" s="231">
        <f t="shared" si="121"/>
        <v>1316.39</v>
      </c>
      <c r="J426" s="306"/>
      <c r="K426" s="289"/>
      <c r="L426" s="231">
        <f t="shared" si="122"/>
        <v>1316.39</v>
      </c>
      <c r="M426" s="20"/>
      <c r="N426" s="7"/>
      <c r="O426" s="21"/>
      <c r="P426" s="74"/>
      <c r="Q426" s="72"/>
    </row>
    <row r="427" spans="1:17" ht="12.75" hidden="1">
      <c r="A427" s="32" t="s">
        <v>215</v>
      </c>
      <c r="B427" s="91">
        <v>33064</v>
      </c>
      <c r="C427" s="108"/>
      <c r="D427" s="107"/>
      <c r="E427" s="107"/>
      <c r="F427" s="206">
        <f t="shared" si="120"/>
        <v>0</v>
      </c>
      <c r="G427" s="236"/>
      <c r="H427" s="224"/>
      <c r="I427" s="223">
        <f t="shared" si="121"/>
        <v>0</v>
      </c>
      <c r="J427" s="269"/>
      <c r="K427" s="286"/>
      <c r="L427" s="223"/>
      <c r="M427" s="20"/>
      <c r="N427" s="7"/>
      <c r="O427" s="21"/>
      <c r="P427" s="74"/>
      <c r="Q427" s="72"/>
    </row>
    <row r="428" spans="1:17" ht="12.75" hidden="1">
      <c r="A428" s="38" t="s">
        <v>53</v>
      </c>
      <c r="B428" s="95"/>
      <c r="C428" s="113">
        <f>SUM(C430:C436)</f>
        <v>0</v>
      </c>
      <c r="D428" s="114">
        <f aca="true" t="shared" si="123" ref="D428:Q428">SUM(D430:D436)</f>
        <v>0</v>
      </c>
      <c r="E428" s="114">
        <f t="shared" si="123"/>
        <v>0</v>
      </c>
      <c r="F428" s="209">
        <f t="shared" si="123"/>
        <v>0</v>
      </c>
      <c r="G428" s="233">
        <f t="shared" si="123"/>
        <v>0</v>
      </c>
      <c r="H428" s="251">
        <f t="shared" si="123"/>
        <v>0</v>
      </c>
      <c r="I428" s="229">
        <f t="shared" si="123"/>
        <v>0</v>
      </c>
      <c r="J428" s="233">
        <f t="shared" si="123"/>
        <v>0</v>
      </c>
      <c r="K428" s="290">
        <f t="shared" si="123"/>
        <v>0</v>
      </c>
      <c r="L428" s="229">
        <f t="shared" si="123"/>
        <v>0</v>
      </c>
      <c r="M428" s="113">
        <f t="shared" si="123"/>
        <v>0</v>
      </c>
      <c r="N428" s="113">
        <f t="shared" si="123"/>
        <v>0</v>
      </c>
      <c r="O428" s="113">
        <f t="shared" si="123"/>
        <v>0</v>
      </c>
      <c r="P428" s="113">
        <f t="shared" si="123"/>
        <v>0</v>
      </c>
      <c r="Q428" s="164">
        <f t="shared" si="123"/>
        <v>0</v>
      </c>
    </row>
    <row r="429" spans="1:17" ht="12.75" hidden="1">
      <c r="A429" s="34" t="s">
        <v>26</v>
      </c>
      <c r="B429" s="91"/>
      <c r="C429" s="108"/>
      <c r="D429" s="107"/>
      <c r="E429" s="107"/>
      <c r="F429" s="206"/>
      <c r="G429" s="236"/>
      <c r="H429" s="224"/>
      <c r="I429" s="223"/>
      <c r="J429" s="236"/>
      <c r="K429" s="286"/>
      <c r="L429" s="223"/>
      <c r="M429" s="20"/>
      <c r="N429" s="7"/>
      <c r="O429" s="21"/>
      <c r="P429" s="74"/>
      <c r="Q429" s="72"/>
    </row>
    <row r="430" spans="1:17" ht="12.75" hidden="1">
      <c r="A430" s="36" t="s">
        <v>67</v>
      </c>
      <c r="B430" s="91"/>
      <c r="C430" s="108"/>
      <c r="D430" s="107"/>
      <c r="E430" s="107"/>
      <c r="F430" s="206">
        <f aca="true" t="shared" si="124" ref="F430:F436">C430+D430+E430</f>
        <v>0</v>
      </c>
      <c r="G430" s="236"/>
      <c r="H430" s="224"/>
      <c r="I430" s="223">
        <f aca="true" t="shared" si="125" ref="I430:I436">F430+G430+H430</f>
        <v>0</v>
      </c>
      <c r="J430" s="236"/>
      <c r="K430" s="286"/>
      <c r="L430" s="223">
        <f>I430+J430+K430</f>
        <v>0</v>
      </c>
      <c r="M430" s="20"/>
      <c r="N430" s="7"/>
      <c r="O430" s="21">
        <f>L430+M430+N430</f>
        <v>0</v>
      </c>
      <c r="P430" s="74"/>
      <c r="Q430" s="72">
        <f>O430+P430</f>
        <v>0</v>
      </c>
    </row>
    <row r="431" spans="1:17" ht="12.75" hidden="1">
      <c r="A431" s="36" t="s">
        <v>176</v>
      </c>
      <c r="B431" s="91"/>
      <c r="C431" s="108"/>
      <c r="D431" s="107"/>
      <c r="E431" s="107"/>
      <c r="F431" s="206">
        <f t="shared" si="124"/>
        <v>0</v>
      </c>
      <c r="G431" s="236"/>
      <c r="H431" s="224"/>
      <c r="I431" s="223">
        <f t="shared" si="125"/>
        <v>0</v>
      </c>
      <c r="J431" s="236"/>
      <c r="K431" s="286"/>
      <c r="L431" s="223"/>
      <c r="M431" s="20"/>
      <c r="N431" s="7"/>
      <c r="O431" s="21"/>
      <c r="P431" s="74"/>
      <c r="Q431" s="72"/>
    </row>
    <row r="432" spans="1:17" ht="12.75" hidden="1">
      <c r="A432" s="36" t="s">
        <v>177</v>
      </c>
      <c r="B432" s="91"/>
      <c r="C432" s="108"/>
      <c r="D432" s="107"/>
      <c r="E432" s="107"/>
      <c r="F432" s="206">
        <f t="shared" si="124"/>
        <v>0</v>
      </c>
      <c r="G432" s="236"/>
      <c r="H432" s="224"/>
      <c r="I432" s="223">
        <f t="shared" si="125"/>
        <v>0</v>
      </c>
      <c r="J432" s="236"/>
      <c r="K432" s="286"/>
      <c r="L432" s="223"/>
      <c r="M432" s="20"/>
      <c r="N432" s="7"/>
      <c r="O432" s="21"/>
      <c r="P432" s="74"/>
      <c r="Q432" s="72"/>
    </row>
    <row r="433" spans="1:17" ht="12.75" hidden="1">
      <c r="A433" s="36" t="s">
        <v>168</v>
      </c>
      <c r="B433" s="91"/>
      <c r="C433" s="108"/>
      <c r="D433" s="107"/>
      <c r="E433" s="107"/>
      <c r="F433" s="206">
        <f t="shared" si="124"/>
        <v>0</v>
      </c>
      <c r="G433" s="236"/>
      <c r="H433" s="224"/>
      <c r="I433" s="223">
        <f t="shared" si="125"/>
        <v>0</v>
      </c>
      <c r="J433" s="236"/>
      <c r="K433" s="286"/>
      <c r="L433" s="223"/>
      <c r="M433" s="20"/>
      <c r="N433" s="7"/>
      <c r="O433" s="21"/>
      <c r="P433" s="74"/>
      <c r="Q433" s="72"/>
    </row>
    <row r="434" spans="1:17" ht="12.75" hidden="1">
      <c r="A434" s="32" t="s">
        <v>54</v>
      </c>
      <c r="B434" s="91"/>
      <c r="C434" s="108"/>
      <c r="D434" s="107"/>
      <c r="E434" s="107"/>
      <c r="F434" s="206">
        <f t="shared" si="124"/>
        <v>0</v>
      </c>
      <c r="G434" s="236"/>
      <c r="H434" s="224"/>
      <c r="I434" s="223">
        <f t="shared" si="125"/>
        <v>0</v>
      </c>
      <c r="J434" s="236"/>
      <c r="K434" s="286"/>
      <c r="L434" s="223">
        <f>I434+J434+K434</f>
        <v>0</v>
      </c>
      <c r="M434" s="20"/>
      <c r="N434" s="7"/>
      <c r="O434" s="21">
        <f>L434+M434+N434</f>
        <v>0</v>
      </c>
      <c r="P434" s="74"/>
      <c r="Q434" s="72">
        <f>O434+P434</f>
        <v>0</v>
      </c>
    </row>
    <row r="435" spans="1:17" ht="12.75" hidden="1">
      <c r="A435" s="32" t="s">
        <v>75</v>
      </c>
      <c r="B435" s="91"/>
      <c r="C435" s="108"/>
      <c r="D435" s="107"/>
      <c r="E435" s="107"/>
      <c r="F435" s="185">
        <f t="shared" si="124"/>
        <v>0</v>
      </c>
      <c r="G435" s="236"/>
      <c r="H435" s="224"/>
      <c r="I435" s="223">
        <f t="shared" si="125"/>
        <v>0</v>
      </c>
      <c r="J435" s="236"/>
      <c r="K435" s="286"/>
      <c r="L435" s="223">
        <f>I435+J435+K435</f>
        <v>0</v>
      </c>
      <c r="M435" s="20"/>
      <c r="N435" s="7"/>
      <c r="O435" s="21">
        <f>L435+M435+N435</f>
        <v>0</v>
      </c>
      <c r="P435" s="74"/>
      <c r="Q435" s="72">
        <f>O435+P435</f>
        <v>0</v>
      </c>
    </row>
    <row r="436" spans="1:17" ht="12.75" hidden="1">
      <c r="A436" s="42" t="s">
        <v>169</v>
      </c>
      <c r="B436" s="94"/>
      <c r="C436" s="186"/>
      <c r="D436" s="115"/>
      <c r="E436" s="115"/>
      <c r="F436" s="211">
        <f t="shared" si="124"/>
        <v>0</v>
      </c>
      <c r="G436" s="235"/>
      <c r="H436" s="253"/>
      <c r="I436" s="231">
        <f t="shared" si="125"/>
        <v>0</v>
      </c>
      <c r="J436" s="235"/>
      <c r="K436" s="289"/>
      <c r="L436" s="231">
        <f>I436+J436+K436</f>
        <v>0</v>
      </c>
      <c r="M436" s="24"/>
      <c r="N436" s="9"/>
      <c r="O436" s="25">
        <f>L436+M436+N436</f>
        <v>0</v>
      </c>
      <c r="P436" s="77"/>
      <c r="Q436" s="78">
        <f>O436+P436</f>
        <v>0</v>
      </c>
    </row>
    <row r="437" spans="1:17" ht="12.75">
      <c r="A437" s="29" t="s">
        <v>92</v>
      </c>
      <c r="B437" s="95"/>
      <c r="C437" s="105">
        <f>C438+C441</f>
        <v>3238.8</v>
      </c>
      <c r="D437" s="106">
        <f aca="true" t="shared" si="126" ref="D437:Q437">D438+D441</f>
        <v>0</v>
      </c>
      <c r="E437" s="106">
        <f t="shared" si="126"/>
        <v>0</v>
      </c>
      <c r="F437" s="205">
        <f t="shared" si="126"/>
        <v>3238.8</v>
      </c>
      <c r="G437" s="232">
        <f t="shared" si="126"/>
        <v>0</v>
      </c>
      <c r="H437" s="248">
        <f t="shared" si="126"/>
        <v>0</v>
      </c>
      <c r="I437" s="222">
        <f t="shared" si="126"/>
        <v>3238.8</v>
      </c>
      <c r="J437" s="232">
        <f>J438+J441</f>
        <v>38.65</v>
      </c>
      <c r="K437" s="285">
        <f>K438+K441</f>
        <v>0</v>
      </c>
      <c r="L437" s="222">
        <f>L438+L441</f>
        <v>3277.4500000000003</v>
      </c>
      <c r="M437" s="105">
        <f t="shared" si="126"/>
        <v>0</v>
      </c>
      <c r="N437" s="105">
        <f t="shared" si="126"/>
        <v>0</v>
      </c>
      <c r="O437" s="105">
        <f t="shared" si="126"/>
        <v>3277.4500000000003</v>
      </c>
      <c r="P437" s="105">
        <f t="shared" si="126"/>
        <v>0</v>
      </c>
      <c r="Q437" s="159">
        <f t="shared" si="126"/>
        <v>3277.4500000000003</v>
      </c>
    </row>
    <row r="438" spans="1:17" ht="12.75">
      <c r="A438" s="38" t="s">
        <v>49</v>
      </c>
      <c r="B438" s="95"/>
      <c r="C438" s="113">
        <f>SUM(C440:C440)</f>
        <v>3238.8</v>
      </c>
      <c r="D438" s="114">
        <f aca="true" t="shared" si="127" ref="D438:Q438">SUM(D440:D440)</f>
        <v>0</v>
      </c>
      <c r="E438" s="114">
        <f t="shared" si="127"/>
        <v>0</v>
      </c>
      <c r="F438" s="209">
        <f t="shared" si="127"/>
        <v>3238.8</v>
      </c>
      <c r="G438" s="233">
        <f t="shared" si="127"/>
        <v>0</v>
      </c>
      <c r="H438" s="251">
        <f t="shared" si="127"/>
        <v>0</v>
      </c>
      <c r="I438" s="229">
        <f t="shared" si="127"/>
        <v>3238.8</v>
      </c>
      <c r="J438" s="233">
        <f>SUM(J440:J440)</f>
        <v>38.65</v>
      </c>
      <c r="K438" s="290">
        <f>SUM(K440:K440)</f>
        <v>0</v>
      </c>
      <c r="L438" s="229">
        <f>SUM(L440:L440)</f>
        <v>3277.4500000000003</v>
      </c>
      <c r="M438" s="113">
        <f t="shared" si="127"/>
        <v>0</v>
      </c>
      <c r="N438" s="113">
        <f t="shared" si="127"/>
        <v>0</v>
      </c>
      <c r="O438" s="113">
        <f t="shared" si="127"/>
        <v>3277.4500000000003</v>
      </c>
      <c r="P438" s="113">
        <f t="shared" si="127"/>
        <v>0</v>
      </c>
      <c r="Q438" s="164">
        <f t="shared" si="127"/>
        <v>3277.4500000000003</v>
      </c>
    </row>
    <row r="439" spans="1:17" ht="12.75">
      <c r="A439" s="34" t="s">
        <v>26</v>
      </c>
      <c r="B439" s="91"/>
      <c r="C439" s="108"/>
      <c r="D439" s="107"/>
      <c r="E439" s="107"/>
      <c r="F439" s="205"/>
      <c r="G439" s="236"/>
      <c r="H439" s="224"/>
      <c r="I439" s="222"/>
      <c r="J439" s="236"/>
      <c r="K439" s="286"/>
      <c r="L439" s="222"/>
      <c r="M439" s="20"/>
      <c r="N439" s="7"/>
      <c r="O439" s="19"/>
      <c r="P439" s="74"/>
      <c r="Q439" s="72"/>
    </row>
    <row r="440" spans="1:17" ht="12.75">
      <c r="A440" s="35" t="s">
        <v>51</v>
      </c>
      <c r="B440" s="94"/>
      <c r="C440" s="201">
        <v>3238.8</v>
      </c>
      <c r="D440" s="115"/>
      <c r="E440" s="115"/>
      <c r="F440" s="211">
        <f>C440+D440+E440</f>
        <v>3238.8</v>
      </c>
      <c r="G440" s="235"/>
      <c r="H440" s="253"/>
      <c r="I440" s="231">
        <f>F440+G440+H440</f>
        <v>3238.8</v>
      </c>
      <c r="J440" s="235">
        <f>38.65</f>
        <v>38.65</v>
      </c>
      <c r="K440" s="289"/>
      <c r="L440" s="231">
        <f>I440+J440+K440</f>
        <v>3277.4500000000003</v>
      </c>
      <c r="M440" s="20"/>
      <c r="N440" s="7"/>
      <c r="O440" s="21">
        <f>L440+M440+N440</f>
        <v>3277.4500000000003</v>
      </c>
      <c r="P440" s="74"/>
      <c r="Q440" s="72">
        <f>O440+P440</f>
        <v>3277.4500000000003</v>
      </c>
    </row>
    <row r="441" spans="1:17" ht="12.75" hidden="1">
      <c r="A441" s="38" t="s">
        <v>53</v>
      </c>
      <c r="B441" s="95"/>
      <c r="C441" s="113">
        <f aca="true" t="shared" si="128" ref="C441:Q441">SUM(C443:C443)</f>
        <v>0</v>
      </c>
      <c r="D441" s="114">
        <f t="shared" si="128"/>
        <v>0</v>
      </c>
      <c r="E441" s="114">
        <f t="shared" si="128"/>
        <v>0</v>
      </c>
      <c r="F441" s="209">
        <f t="shared" si="128"/>
        <v>0</v>
      </c>
      <c r="G441" s="233">
        <f t="shared" si="128"/>
        <v>0</v>
      </c>
      <c r="H441" s="251">
        <f t="shared" si="128"/>
        <v>0</v>
      </c>
      <c r="I441" s="229">
        <f t="shared" si="128"/>
        <v>0</v>
      </c>
      <c r="J441" s="233">
        <f t="shared" si="128"/>
        <v>0</v>
      </c>
      <c r="K441" s="290">
        <f t="shared" si="128"/>
        <v>0</v>
      </c>
      <c r="L441" s="229">
        <f t="shared" si="128"/>
        <v>0</v>
      </c>
      <c r="M441" s="113">
        <f t="shared" si="128"/>
        <v>0</v>
      </c>
      <c r="N441" s="113">
        <f t="shared" si="128"/>
        <v>0</v>
      </c>
      <c r="O441" s="113">
        <f t="shared" si="128"/>
        <v>0</v>
      </c>
      <c r="P441" s="113">
        <f t="shared" si="128"/>
        <v>0</v>
      </c>
      <c r="Q441" s="164">
        <f t="shared" si="128"/>
        <v>0</v>
      </c>
    </row>
    <row r="442" spans="1:17" ht="12.75" hidden="1">
      <c r="A442" s="34" t="s">
        <v>26</v>
      </c>
      <c r="B442" s="91"/>
      <c r="C442" s="108"/>
      <c r="D442" s="107"/>
      <c r="E442" s="107"/>
      <c r="F442" s="206"/>
      <c r="G442" s="236"/>
      <c r="H442" s="224"/>
      <c r="I442" s="223"/>
      <c r="J442" s="236"/>
      <c r="K442" s="286"/>
      <c r="L442" s="223"/>
      <c r="M442" s="20"/>
      <c r="N442" s="7"/>
      <c r="O442" s="21"/>
      <c r="P442" s="74"/>
      <c r="Q442" s="72"/>
    </row>
    <row r="443" spans="1:17" ht="12.75" hidden="1">
      <c r="A443" s="35" t="s">
        <v>54</v>
      </c>
      <c r="B443" s="94"/>
      <c r="C443" s="186"/>
      <c r="D443" s="115"/>
      <c r="E443" s="115"/>
      <c r="F443" s="211">
        <f>C443+D443+E443</f>
        <v>0</v>
      </c>
      <c r="G443" s="235"/>
      <c r="H443" s="253"/>
      <c r="I443" s="231">
        <f>F443+G443+H443</f>
        <v>0</v>
      </c>
      <c r="J443" s="235"/>
      <c r="K443" s="289"/>
      <c r="L443" s="231">
        <f>I443+J443+K443</f>
        <v>0</v>
      </c>
      <c r="M443" s="24"/>
      <c r="N443" s="9"/>
      <c r="O443" s="25">
        <f>L443+M443+N443</f>
        <v>0</v>
      </c>
      <c r="P443" s="77"/>
      <c r="Q443" s="78">
        <f>O443+P443</f>
        <v>0</v>
      </c>
    </row>
    <row r="444" spans="1:17" ht="12.75">
      <c r="A444" s="29" t="s">
        <v>93</v>
      </c>
      <c r="B444" s="95"/>
      <c r="C444" s="105">
        <f aca="true" t="shared" si="129" ref="C444:Q444">C445</f>
        <v>86090.05</v>
      </c>
      <c r="D444" s="106">
        <f t="shared" si="129"/>
        <v>45916.51</v>
      </c>
      <c r="E444" s="106">
        <f t="shared" si="129"/>
        <v>-27500</v>
      </c>
      <c r="F444" s="205">
        <f t="shared" si="129"/>
        <v>104506.56000000001</v>
      </c>
      <c r="G444" s="232">
        <f t="shared" si="129"/>
        <v>7568.209999999999</v>
      </c>
      <c r="H444" s="248">
        <f t="shared" si="129"/>
        <v>54418.48</v>
      </c>
      <c r="I444" s="222">
        <f t="shared" si="129"/>
        <v>166493.25</v>
      </c>
      <c r="J444" s="232">
        <f t="shared" si="129"/>
        <v>12536.340000000002</v>
      </c>
      <c r="K444" s="285">
        <f t="shared" si="129"/>
        <v>0</v>
      </c>
      <c r="L444" s="222">
        <f t="shared" si="129"/>
        <v>179029.59000000003</v>
      </c>
      <c r="M444" s="105">
        <f t="shared" si="129"/>
        <v>0</v>
      </c>
      <c r="N444" s="105">
        <f t="shared" si="129"/>
        <v>0</v>
      </c>
      <c r="O444" s="105">
        <f t="shared" si="129"/>
        <v>179029.59000000003</v>
      </c>
      <c r="P444" s="105">
        <f t="shared" si="129"/>
        <v>0</v>
      </c>
      <c r="Q444" s="159">
        <f t="shared" si="129"/>
        <v>179029.59000000003</v>
      </c>
    </row>
    <row r="445" spans="1:17" ht="12.75">
      <c r="A445" s="38" t="s">
        <v>49</v>
      </c>
      <c r="B445" s="95"/>
      <c r="C445" s="113">
        <f>SUM(C447:C450)</f>
        <v>86090.05</v>
      </c>
      <c r="D445" s="114">
        <f aca="true" t="shared" si="130" ref="D445:Q445">SUM(D447:D450)</f>
        <v>45916.51</v>
      </c>
      <c r="E445" s="114">
        <f t="shared" si="130"/>
        <v>-27500</v>
      </c>
      <c r="F445" s="209">
        <f t="shared" si="130"/>
        <v>104506.56000000001</v>
      </c>
      <c r="G445" s="233">
        <f t="shared" si="130"/>
        <v>7568.209999999999</v>
      </c>
      <c r="H445" s="251">
        <f t="shared" si="130"/>
        <v>54418.48</v>
      </c>
      <c r="I445" s="229">
        <f t="shared" si="130"/>
        <v>166493.25</v>
      </c>
      <c r="J445" s="233">
        <f>SUM(J447:J450)</f>
        <v>12536.340000000002</v>
      </c>
      <c r="K445" s="290">
        <f>SUM(K447:K450)</f>
        <v>0</v>
      </c>
      <c r="L445" s="229">
        <f>SUM(L447:L450)</f>
        <v>179029.59000000003</v>
      </c>
      <c r="M445" s="113">
        <f t="shared" si="130"/>
        <v>0</v>
      </c>
      <c r="N445" s="113">
        <f t="shared" si="130"/>
        <v>0</v>
      </c>
      <c r="O445" s="113">
        <f t="shared" si="130"/>
        <v>179029.59000000003</v>
      </c>
      <c r="P445" s="113">
        <f t="shared" si="130"/>
        <v>0</v>
      </c>
      <c r="Q445" s="164">
        <f t="shared" si="130"/>
        <v>179029.59000000003</v>
      </c>
    </row>
    <row r="446" spans="1:17" ht="12.75">
      <c r="A446" s="34" t="s">
        <v>26</v>
      </c>
      <c r="B446" s="91"/>
      <c r="C446" s="105"/>
      <c r="D446" s="106"/>
      <c r="E446" s="106"/>
      <c r="F446" s="205"/>
      <c r="G446" s="232"/>
      <c r="H446" s="248"/>
      <c r="I446" s="222"/>
      <c r="J446" s="232"/>
      <c r="K446" s="285"/>
      <c r="L446" s="222"/>
      <c r="M446" s="18"/>
      <c r="N446" s="6"/>
      <c r="O446" s="19"/>
      <c r="P446" s="74"/>
      <c r="Q446" s="72"/>
    </row>
    <row r="447" spans="1:17" ht="12.75">
      <c r="A447" s="92" t="s">
        <v>178</v>
      </c>
      <c r="B447" s="91"/>
      <c r="C447" s="108">
        <v>50590.05</v>
      </c>
      <c r="D447" s="107">
        <f>1463.86+602.55</f>
        <v>2066.41</v>
      </c>
      <c r="E447" s="118">
        <f>-25000-2500</f>
        <v>-27500</v>
      </c>
      <c r="F447" s="206">
        <f>C447+D447+E447</f>
        <v>25156.460000000006</v>
      </c>
      <c r="G447" s="236">
        <f>20349.31+1916.76-20000+2000+1435.13+1083.24-906.59-134</f>
        <v>5743.849999999999</v>
      </c>
      <c r="H447" s="224">
        <f>54418.48</f>
        <v>54418.48</v>
      </c>
      <c r="I447" s="223">
        <f>F447+G447+H447</f>
        <v>85318.79000000001</v>
      </c>
      <c r="J447" s="269">
        <f>10625.02+764.95-38.65+712.19</f>
        <v>12063.510000000002</v>
      </c>
      <c r="K447" s="286"/>
      <c r="L447" s="223">
        <f>I447+J447+K447</f>
        <v>97382.30000000002</v>
      </c>
      <c r="M447" s="20"/>
      <c r="N447" s="7"/>
      <c r="O447" s="21">
        <f>L447+M447+N447</f>
        <v>97382.30000000002</v>
      </c>
      <c r="P447" s="74"/>
      <c r="Q447" s="72">
        <f>O447+P447</f>
        <v>97382.30000000002</v>
      </c>
    </row>
    <row r="448" spans="1:17" ht="12.75">
      <c r="A448" s="92" t="s">
        <v>94</v>
      </c>
      <c r="B448" s="91"/>
      <c r="C448" s="108"/>
      <c r="D448" s="118">
        <f>32523.22</f>
        <v>32523.22</v>
      </c>
      <c r="E448" s="107"/>
      <c r="F448" s="206">
        <f>C448+D448+E448</f>
        <v>32523.22</v>
      </c>
      <c r="G448" s="236"/>
      <c r="H448" s="224"/>
      <c r="I448" s="223">
        <f>F448+G448+H448</f>
        <v>32523.22</v>
      </c>
      <c r="J448" s="236"/>
      <c r="K448" s="286"/>
      <c r="L448" s="223">
        <f>I448+J448+K448</f>
        <v>32523.22</v>
      </c>
      <c r="M448" s="20"/>
      <c r="N448" s="7"/>
      <c r="O448" s="21">
        <f>L448+M448+N448</f>
        <v>32523.22</v>
      </c>
      <c r="P448" s="74"/>
      <c r="Q448" s="72">
        <f>O448+P448</f>
        <v>32523.22</v>
      </c>
    </row>
    <row r="449" spans="1:17" ht="12.75">
      <c r="A449" s="92" t="s">
        <v>95</v>
      </c>
      <c r="B449" s="91"/>
      <c r="C449" s="108"/>
      <c r="D449" s="107">
        <f>11326.88</f>
        <v>11326.88</v>
      </c>
      <c r="E449" s="107"/>
      <c r="F449" s="206">
        <f>C449+D449+E449</f>
        <v>11326.88</v>
      </c>
      <c r="G449" s="236">
        <f>1824.36</f>
        <v>1824.36</v>
      </c>
      <c r="H449" s="224"/>
      <c r="I449" s="223">
        <f>F449+G449+H449</f>
        <v>13151.24</v>
      </c>
      <c r="J449" s="236">
        <f>472.83</f>
        <v>472.83</v>
      </c>
      <c r="K449" s="286"/>
      <c r="L449" s="223">
        <f>I449+J449+K449</f>
        <v>13624.07</v>
      </c>
      <c r="M449" s="20"/>
      <c r="N449" s="7"/>
      <c r="O449" s="21">
        <f>L449+M449+N449</f>
        <v>13624.07</v>
      </c>
      <c r="P449" s="74"/>
      <c r="Q449" s="72">
        <f>O449+P449</f>
        <v>13624.07</v>
      </c>
    </row>
    <row r="450" spans="1:17" ht="12.75">
      <c r="A450" s="35" t="s">
        <v>51</v>
      </c>
      <c r="B450" s="94"/>
      <c r="C450" s="186">
        <v>35500</v>
      </c>
      <c r="D450" s="115"/>
      <c r="E450" s="115"/>
      <c r="F450" s="211">
        <f>C450+D450+E450</f>
        <v>35500</v>
      </c>
      <c r="G450" s="235"/>
      <c r="H450" s="253"/>
      <c r="I450" s="231">
        <f>F450+G450+H450</f>
        <v>35500</v>
      </c>
      <c r="J450" s="235"/>
      <c r="K450" s="289"/>
      <c r="L450" s="231">
        <f>I450+J450+K450</f>
        <v>35500</v>
      </c>
      <c r="M450" s="24"/>
      <c r="N450" s="9"/>
      <c r="O450" s="25">
        <f>L450+M450+N450</f>
        <v>35500</v>
      </c>
      <c r="P450" s="77"/>
      <c r="Q450" s="78">
        <f>O450+P450</f>
        <v>35500</v>
      </c>
    </row>
    <row r="451" spans="1:17" ht="12.75">
      <c r="A451" s="29" t="s">
        <v>154</v>
      </c>
      <c r="B451" s="95"/>
      <c r="C451" s="105">
        <f aca="true" t="shared" si="131" ref="C451:Q451">C452+C465</f>
        <v>90002</v>
      </c>
      <c r="D451" s="106">
        <f t="shared" si="131"/>
        <v>91222.9</v>
      </c>
      <c r="E451" s="106">
        <f t="shared" si="131"/>
        <v>30195.6</v>
      </c>
      <c r="F451" s="205">
        <f t="shared" si="131"/>
        <v>211420.5</v>
      </c>
      <c r="G451" s="232">
        <f t="shared" si="131"/>
        <v>22831.56</v>
      </c>
      <c r="H451" s="248">
        <f t="shared" si="131"/>
        <v>26510.17</v>
      </c>
      <c r="I451" s="222">
        <f t="shared" si="131"/>
        <v>260762.23</v>
      </c>
      <c r="J451" s="232">
        <f>J452+J465</f>
        <v>29992.12</v>
      </c>
      <c r="K451" s="285">
        <f>K452+K465</f>
        <v>30380</v>
      </c>
      <c r="L451" s="222">
        <f>L452+L465</f>
        <v>321134.35</v>
      </c>
      <c r="M451" s="105">
        <f t="shared" si="131"/>
        <v>0</v>
      </c>
      <c r="N451" s="105">
        <f t="shared" si="131"/>
        <v>0</v>
      </c>
      <c r="O451" s="105">
        <f t="shared" si="131"/>
        <v>0</v>
      </c>
      <c r="P451" s="105">
        <f t="shared" si="131"/>
        <v>0</v>
      </c>
      <c r="Q451" s="159">
        <f t="shared" si="131"/>
        <v>0</v>
      </c>
    </row>
    <row r="452" spans="1:17" ht="12.75">
      <c r="A452" s="38" t="s">
        <v>49</v>
      </c>
      <c r="B452" s="95"/>
      <c r="C452" s="113">
        <f>SUM(C454:C464)</f>
        <v>58152</v>
      </c>
      <c r="D452" s="114">
        <f>SUM(D454:D464)</f>
        <v>28207.97</v>
      </c>
      <c r="E452" s="114">
        <f>SUM(E453:E464)</f>
        <v>14094.5</v>
      </c>
      <c r="F452" s="209">
        <f>SUM(F454:F464)</f>
        <v>100454.47</v>
      </c>
      <c r="G452" s="233">
        <f aca="true" t="shared" si="132" ref="G452:Q452">SUM(G453:G464)</f>
        <v>-3860.19</v>
      </c>
      <c r="H452" s="251">
        <f t="shared" si="132"/>
        <v>8020.17</v>
      </c>
      <c r="I452" s="229">
        <f t="shared" si="132"/>
        <v>104614.45000000001</v>
      </c>
      <c r="J452" s="233">
        <f>SUM(J453:J464)</f>
        <v>4994.12</v>
      </c>
      <c r="K452" s="290">
        <f>SUM(K453:K464)</f>
        <v>6940</v>
      </c>
      <c r="L452" s="229">
        <f>SUM(L453:L464)</f>
        <v>116548.57</v>
      </c>
      <c r="M452" s="113">
        <f t="shared" si="132"/>
        <v>0</v>
      </c>
      <c r="N452" s="113">
        <f t="shared" si="132"/>
        <v>0</v>
      </c>
      <c r="O452" s="113">
        <f t="shared" si="132"/>
        <v>0</v>
      </c>
      <c r="P452" s="113">
        <f t="shared" si="132"/>
        <v>0</v>
      </c>
      <c r="Q452" s="164">
        <f t="shared" si="132"/>
        <v>0</v>
      </c>
    </row>
    <row r="453" spans="1:17" ht="12.75">
      <c r="A453" s="34" t="s">
        <v>26</v>
      </c>
      <c r="B453" s="91"/>
      <c r="C453" s="108"/>
      <c r="D453" s="107"/>
      <c r="E453" s="107"/>
      <c r="F453" s="206"/>
      <c r="G453" s="236"/>
      <c r="H453" s="224"/>
      <c r="I453" s="223"/>
      <c r="J453" s="236"/>
      <c r="K453" s="286"/>
      <c r="L453" s="223"/>
      <c r="M453" s="20"/>
      <c r="N453" s="7"/>
      <c r="O453" s="21"/>
      <c r="P453" s="74"/>
      <c r="Q453" s="72"/>
    </row>
    <row r="454" spans="1:17" ht="12.75">
      <c r="A454" s="32" t="s">
        <v>232</v>
      </c>
      <c r="B454" s="91">
        <v>1202</v>
      </c>
      <c r="C454" s="108">
        <v>2950</v>
      </c>
      <c r="D454" s="107">
        <f>218.55+1000</f>
        <v>1218.55</v>
      </c>
      <c r="E454" s="107">
        <f>-743.5</f>
        <v>-743.5</v>
      </c>
      <c r="F454" s="206">
        <f aca="true" t="shared" si="133" ref="F454:F464">C454+D454+E454</f>
        <v>3425.05</v>
      </c>
      <c r="G454" s="236"/>
      <c r="H454" s="224"/>
      <c r="I454" s="223">
        <f>F454+G454+H454</f>
        <v>3425.05</v>
      </c>
      <c r="J454" s="236"/>
      <c r="K454" s="286"/>
      <c r="L454" s="223">
        <f>I454+J454+K454</f>
        <v>3425.05</v>
      </c>
      <c r="M454" s="20"/>
      <c r="N454" s="7"/>
      <c r="O454" s="21"/>
      <c r="P454" s="74"/>
      <c r="Q454" s="72"/>
    </row>
    <row r="455" spans="1:17" ht="12.75">
      <c r="A455" s="32" t="s">
        <v>172</v>
      </c>
      <c r="B455" s="91">
        <v>1207</v>
      </c>
      <c r="C455" s="108">
        <v>11550</v>
      </c>
      <c r="D455" s="107">
        <f>40.84-1550</f>
        <v>-1509.16</v>
      </c>
      <c r="E455" s="107">
        <f>4.7</f>
        <v>4.7</v>
      </c>
      <c r="F455" s="206">
        <f t="shared" si="133"/>
        <v>10045.54</v>
      </c>
      <c r="G455" s="236"/>
      <c r="H455" s="224"/>
      <c r="I455" s="223">
        <f aca="true" t="shared" si="134" ref="I455:I464">F455+G455+H455</f>
        <v>10045.54</v>
      </c>
      <c r="J455" s="236"/>
      <c r="K455" s="286"/>
      <c r="L455" s="223">
        <f aca="true" t="shared" si="135" ref="L455:L464">I455+J455+K455</f>
        <v>10045.54</v>
      </c>
      <c r="M455" s="20"/>
      <c r="N455" s="7"/>
      <c r="O455" s="21"/>
      <c r="P455" s="74"/>
      <c r="Q455" s="72"/>
    </row>
    <row r="456" spans="1:17" ht="12.75">
      <c r="A456" s="36" t="s">
        <v>296</v>
      </c>
      <c r="B456" s="91">
        <v>1209</v>
      </c>
      <c r="C456" s="108">
        <v>1730</v>
      </c>
      <c r="D456" s="107">
        <f>288.46+53</f>
        <v>341.46</v>
      </c>
      <c r="E456" s="107"/>
      <c r="F456" s="206">
        <f t="shared" si="133"/>
        <v>2071.46</v>
      </c>
      <c r="G456" s="236">
        <f>44</f>
        <v>44</v>
      </c>
      <c r="H456" s="224"/>
      <c r="I456" s="223">
        <f t="shared" si="134"/>
        <v>2115.46</v>
      </c>
      <c r="J456" s="236"/>
      <c r="K456" s="286"/>
      <c r="L456" s="223">
        <f t="shared" si="135"/>
        <v>2115.46</v>
      </c>
      <c r="M456" s="20"/>
      <c r="N456" s="7"/>
      <c r="O456" s="21"/>
      <c r="P456" s="74"/>
      <c r="Q456" s="72"/>
    </row>
    <row r="457" spans="1:17" ht="12.75">
      <c r="A457" s="32" t="s">
        <v>173</v>
      </c>
      <c r="B457" s="91">
        <v>1211</v>
      </c>
      <c r="C457" s="108">
        <v>2320</v>
      </c>
      <c r="D457" s="118">
        <f>225.63</f>
        <v>225.63</v>
      </c>
      <c r="E457" s="118"/>
      <c r="F457" s="206">
        <f t="shared" si="133"/>
        <v>2545.63</v>
      </c>
      <c r="G457" s="236"/>
      <c r="H457" s="224"/>
      <c r="I457" s="223">
        <f t="shared" si="134"/>
        <v>2545.63</v>
      </c>
      <c r="J457" s="236">
        <f>54.12</f>
        <v>54.12</v>
      </c>
      <c r="K457" s="286"/>
      <c r="L457" s="223">
        <f t="shared" si="135"/>
        <v>2599.75</v>
      </c>
      <c r="M457" s="20"/>
      <c r="N457" s="7"/>
      <c r="O457" s="21"/>
      <c r="P457" s="74"/>
      <c r="Q457" s="72"/>
    </row>
    <row r="458" spans="1:17" ht="12.75">
      <c r="A458" s="32" t="s">
        <v>219</v>
      </c>
      <c r="B458" s="91">
        <v>1214</v>
      </c>
      <c r="C458" s="108">
        <v>1400</v>
      </c>
      <c r="D458" s="118">
        <f>221.34+300</f>
        <v>521.34</v>
      </c>
      <c r="E458" s="107"/>
      <c r="F458" s="206">
        <f t="shared" si="133"/>
        <v>1921.3400000000001</v>
      </c>
      <c r="G458" s="236"/>
      <c r="H458" s="224"/>
      <c r="I458" s="223">
        <f t="shared" si="134"/>
        <v>1921.3400000000001</v>
      </c>
      <c r="J458" s="236"/>
      <c r="K458" s="286"/>
      <c r="L458" s="223">
        <f t="shared" si="135"/>
        <v>1921.3400000000001</v>
      </c>
      <c r="M458" s="20"/>
      <c r="N458" s="7"/>
      <c r="O458" s="21"/>
      <c r="P458" s="74"/>
      <c r="Q458" s="72"/>
    </row>
    <row r="459" spans="1:17" ht="12.75">
      <c r="A459" s="32" t="s">
        <v>220</v>
      </c>
      <c r="B459" s="91">
        <v>1213</v>
      </c>
      <c r="C459" s="108">
        <v>750</v>
      </c>
      <c r="D459" s="118">
        <f>35.68+250+1.66</f>
        <v>287.34000000000003</v>
      </c>
      <c r="E459" s="107"/>
      <c r="F459" s="206">
        <f t="shared" si="133"/>
        <v>1037.3400000000001</v>
      </c>
      <c r="G459" s="236"/>
      <c r="H459" s="224"/>
      <c r="I459" s="223">
        <f t="shared" si="134"/>
        <v>1037.3400000000001</v>
      </c>
      <c r="J459" s="236"/>
      <c r="K459" s="286"/>
      <c r="L459" s="223">
        <f t="shared" si="135"/>
        <v>1037.3400000000001</v>
      </c>
      <c r="M459" s="20"/>
      <c r="N459" s="7"/>
      <c r="O459" s="21"/>
      <c r="P459" s="74"/>
      <c r="Q459" s="72"/>
    </row>
    <row r="460" spans="1:17" ht="12.75">
      <c r="A460" s="32" t="s">
        <v>250</v>
      </c>
      <c r="B460" s="91">
        <v>1216</v>
      </c>
      <c r="C460" s="108">
        <v>19300</v>
      </c>
      <c r="D460" s="107">
        <f>1785.64+340+18.23</f>
        <v>2143.8700000000003</v>
      </c>
      <c r="E460" s="107">
        <f>-536</f>
        <v>-536</v>
      </c>
      <c r="F460" s="206">
        <f t="shared" si="133"/>
        <v>20907.87</v>
      </c>
      <c r="G460" s="236">
        <f>0.05</f>
        <v>0.05</v>
      </c>
      <c r="H460" s="224"/>
      <c r="I460" s="223">
        <f t="shared" si="134"/>
        <v>20907.92</v>
      </c>
      <c r="J460" s="236">
        <f>68</f>
        <v>68</v>
      </c>
      <c r="K460" s="286"/>
      <c r="L460" s="223">
        <f t="shared" si="135"/>
        <v>20975.92</v>
      </c>
      <c r="M460" s="20"/>
      <c r="N460" s="7"/>
      <c r="O460" s="21"/>
      <c r="P460" s="74"/>
      <c r="Q460" s="72"/>
    </row>
    <row r="461" spans="1:17" ht="12.75">
      <c r="A461" s="32" t="s">
        <v>174</v>
      </c>
      <c r="B461" s="91">
        <v>1239</v>
      </c>
      <c r="C461" s="108">
        <v>6600</v>
      </c>
      <c r="D461" s="107">
        <f>700+7204.72</f>
        <v>7904.72</v>
      </c>
      <c r="E461" s="107"/>
      <c r="F461" s="206">
        <f t="shared" si="133"/>
        <v>14504.720000000001</v>
      </c>
      <c r="G461" s="236">
        <f>-1083.24</f>
        <v>-1083.24</v>
      </c>
      <c r="H461" s="224"/>
      <c r="I461" s="223">
        <f t="shared" si="134"/>
        <v>13421.480000000001</v>
      </c>
      <c r="J461" s="236">
        <f>872+4000</f>
        <v>4872</v>
      </c>
      <c r="K461" s="286"/>
      <c r="L461" s="223">
        <f t="shared" si="135"/>
        <v>18293.480000000003</v>
      </c>
      <c r="M461" s="20"/>
      <c r="N461" s="7"/>
      <c r="O461" s="21"/>
      <c r="P461" s="74"/>
      <c r="Q461" s="72"/>
    </row>
    <row r="462" spans="1:17" ht="12.75">
      <c r="A462" s="32" t="s">
        <v>192</v>
      </c>
      <c r="B462" s="91">
        <v>1300</v>
      </c>
      <c r="C462" s="108">
        <v>6750</v>
      </c>
      <c r="D462" s="107">
        <f>5570+8267.14-1943-300</f>
        <v>11594.14</v>
      </c>
      <c r="E462" s="107">
        <f>-250+3230+10750+1644</f>
        <v>15374</v>
      </c>
      <c r="F462" s="206">
        <f t="shared" si="133"/>
        <v>33718.14</v>
      </c>
      <c r="G462" s="236"/>
      <c r="H462" s="224">
        <f>1000+2444+4742.84-840+300+1333.33</f>
        <v>8980.17</v>
      </c>
      <c r="I462" s="223">
        <f t="shared" si="134"/>
        <v>42698.31</v>
      </c>
      <c r="J462" s="236"/>
      <c r="K462" s="286">
        <f>90+1500+5350</f>
        <v>6940</v>
      </c>
      <c r="L462" s="223">
        <f t="shared" si="135"/>
        <v>49638.31</v>
      </c>
      <c r="M462" s="20"/>
      <c r="N462" s="7"/>
      <c r="O462" s="21"/>
      <c r="P462" s="74"/>
      <c r="Q462" s="72"/>
    </row>
    <row r="463" spans="1:17" ht="12.75">
      <c r="A463" s="32" t="s">
        <v>175</v>
      </c>
      <c r="B463" s="91">
        <v>1110</v>
      </c>
      <c r="C463" s="108">
        <v>4800</v>
      </c>
      <c r="D463" s="107">
        <f>313.31+5000</f>
        <v>5313.31</v>
      </c>
      <c r="E463" s="107"/>
      <c r="F463" s="206">
        <f t="shared" si="133"/>
        <v>10113.310000000001</v>
      </c>
      <c r="G463" s="236">
        <f>-2821</f>
        <v>-2821</v>
      </c>
      <c r="H463" s="224">
        <f>-960</f>
        <v>-960</v>
      </c>
      <c r="I463" s="223">
        <f t="shared" si="134"/>
        <v>6332.310000000001</v>
      </c>
      <c r="J463" s="236"/>
      <c r="K463" s="286"/>
      <c r="L463" s="223">
        <f t="shared" si="135"/>
        <v>6332.310000000001</v>
      </c>
      <c r="M463" s="20"/>
      <c r="N463" s="7"/>
      <c r="O463" s="21"/>
      <c r="P463" s="74"/>
      <c r="Q463" s="72"/>
    </row>
    <row r="464" spans="1:17" ht="12.75">
      <c r="A464" s="32" t="s">
        <v>287</v>
      </c>
      <c r="B464" s="91"/>
      <c r="C464" s="108">
        <v>2</v>
      </c>
      <c r="D464" s="107">
        <f>166.77</f>
        <v>166.77</v>
      </c>
      <c r="E464" s="107">
        <f>-4.7</f>
        <v>-4.7</v>
      </c>
      <c r="F464" s="206">
        <f t="shared" si="133"/>
        <v>164.07000000000002</v>
      </c>
      <c r="G464" s="236"/>
      <c r="H464" s="224"/>
      <c r="I464" s="223">
        <f t="shared" si="134"/>
        <v>164.07000000000002</v>
      </c>
      <c r="J464" s="236"/>
      <c r="K464" s="286"/>
      <c r="L464" s="223">
        <f t="shared" si="135"/>
        <v>164.07000000000002</v>
      </c>
      <c r="M464" s="20"/>
      <c r="N464" s="7"/>
      <c r="O464" s="21"/>
      <c r="P464" s="74"/>
      <c r="Q464" s="72"/>
    </row>
    <row r="465" spans="1:17" ht="12.75">
      <c r="A465" s="38" t="s">
        <v>53</v>
      </c>
      <c r="B465" s="95"/>
      <c r="C465" s="113">
        <f>SUM(C467:C474)</f>
        <v>31850</v>
      </c>
      <c r="D465" s="114">
        <f aca="true" t="shared" si="136" ref="D465:Q465">SUM(D467:D474)</f>
        <v>63014.93</v>
      </c>
      <c r="E465" s="114">
        <f t="shared" si="136"/>
        <v>16101.1</v>
      </c>
      <c r="F465" s="209">
        <f t="shared" si="136"/>
        <v>110966.03</v>
      </c>
      <c r="G465" s="233">
        <f t="shared" si="136"/>
        <v>26691.75</v>
      </c>
      <c r="H465" s="251">
        <f t="shared" si="136"/>
        <v>18490</v>
      </c>
      <c r="I465" s="229">
        <f t="shared" si="136"/>
        <v>156147.78</v>
      </c>
      <c r="J465" s="233">
        <f t="shared" si="136"/>
        <v>24998</v>
      </c>
      <c r="K465" s="290">
        <f t="shared" si="136"/>
        <v>23440</v>
      </c>
      <c r="L465" s="229">
        <f t="shared" si="136"/>
        <v>204585.78</v>
      </c>
      <c r="M465" s="113">
        <f t="shared" si="136"/>
        <v>0</v>
      </c>
      <c r="N465" s="113">
        <f t="shared" si="136"/>
        <v>0</v>
      </c>
      <c r="O465" s="113">
        <f t="shared" si="136"/>
        <v>0</v>
      </c>
      <c r="P465" s="113">
        <f t="shared" si="136"/>
        <v>0</v>
      </c>
      <c r="Q465" s="164">
        <f t="shared" si="136"/>
        <v>0</v>
      </c>
    </row>
    <row r="466" spans="1:17" ht="12.75">
      <c r="A466" s="34" t="s">
        <v>26</v>
      </c>
      <c r="B466" s="91"/>
      <c r="C466" s="108"/>
      <c r="D466" s="107"/>
      <c r="E466" s="107"/>
      <c r="F466" s="206"/>
      <c r="G466" s="236"/>
      <c r="H466" s="224"/>
      <c r="I466" s="223"/>
      <c r="J466" s="236"/>
      <c r="K466" s="286"/>
      <c r="L466" s="223"/>
      <c r="M466" s="20"/>
      <c r="N466" s="7"/>
      <c r="O466" s="21"/>
      <c r="P466" s="74"/>
      <c r="Q466" s="72"/>
    </row>
    <row r="467" spans="1:17" ht="12.75">
      <c r="A467" s="36" t="s">
        <v>259</v>
      </c>
      <c r="B467" s="91">
        <v>1207</v>
      </c>
      <c r="C467" s="108"/>
      <c r="D467" s="107">
        <f>1200+200+1550+2030</f>
        <v>4980</v>
      </c>
      <c r="E467" s="107"/>
      <c r="F467" s="206">
        <f aca="true" t="shared" si="137" ref="F467:F474">C467+D467+E467</f>
        <v>4980</v>
      </c>
      <c r="G467" s="236"/>
      <c r="H467" s="224"/>
      <c r="I467" s="223">
        <f aca="true" t="shared" si="138" ref="I467:I474">F467+G467+H467</f>
        <v>4980</v>
      </c>
      <c r="J467" s="236">
        <f>870-690</f>
        <v>180</v>
      </c>
      <c r="K467" s="286"/>
      <c r="L467" s="223">
        <f aca="true" t="shared" si="139" ref="L467:L474">I467+J467+K467</f>
        <v>5160</v>
      </c>
      <c r="M467" s="20"/>
      <c r="N467" s="7"/>
      <c r="O467" s="21"/>
      <c r="P467" s="74"/>
      <c r="Q467" s="72"/>
    </row>
    <row r="468" spans="1:17" ht="12.75" hidden="1">
      <c r="A468" s="32" t="s">
        <v>324</v>
      </c>
      <c r="B468" s="91">
        <v>1214</v>
      </c>
      <c r="C468" s="108"/>
      <c r="D468" s="107"/>
      <c r="E468" s="107"/>
      <c r="F468" s="206">
        <f t="shared" si="137"/>
        <v>0</v>
      </c>
      <c r="G468" s="236"/>
      <c r="H468" s="224"/>
      <c r="I468" s="223">
        <f t="shared" si="138"/>
        <v>0</v>
      </c>
      <c r="J468" s="236"/>
      <c r="K468" s="286"/>
      <c r="L468" s="223">
        <f t="shared" si="139"/>
        <v>0</v>
      </c>
      <c r="M468" s="20"/>
      <c r="N468" s="7"/>
      <c r="O468" s="21"/>
      <c r="P468" s="74"/>
      <c r="Q468" s="72"/>
    </row>
    <row r="469" spans="1:17" ht="12.75">
      <c r="A469" s="36" t="s">
        <v>297</v>
      </c>
      <c r="B469" s="91">
        <v>1209</v>
      </c>
      <c r="C469" s="108"/>
      <c r="D469" s="107">
        <f>547</f>
        <v>547</v>
      </c>
      <c r="E469" s="107"/>
      <c r="F469" s="206">
        <f t="shared" si="137"/>
        <v>547</v>
      </c>
      <c r="G469" s="236"/>
      <c r="H469" s="224"/>
      <c r="I469" s="223">
        <f t="shared" si="138"/>
        <v>547</v>
      </c>
      <c r="J469" s="236"/>
      <c r="K469" s="286"/>
      <c r="L469" s="223">
        <f t="shared" si="139"/>
        <v>547</v>
      </c>
      <c r="M469" s="20"/>
      <c r="N469" s="7"/>
      <c r="O469" s="21"/>
      <c r="P469" s="74"/>
      <c r="Q469" s="72"/>
    </row>
    <row r="470" spans="1:17" ht="12.75">
      <c r="A470" s="32" t="s">
        <v>260</v>
      </c>
      <c r="B470" s="91">
        <v>1202</v>
      </c>
      <c r="C470" s="108"/>
      <c r="D470" s="107"/>
      <c r="E470" s="107">
        <f>743.5</f>
        <v>743.5</v>
      </c>
      <c r="F470" s="206">
        <f t="shared" si="137"/>
        <v>743.5</v>
      </c>
      <c r="G470" s="236"/>
      <c r="H470" s="224"/>
      <c r="I470" s="223">
        <f t="shared" si="138"/>
        <v>743.5</v>
      </c>
      <c r="J470" s="236"/>
      <c r="K470" s="286"/>
      <c r="L470" s="223">
        <f t="shared" si="139"/>
        <v>743.5</v>
      </c>
      <c r="M470" s="20"/>
      <c r="N470" s="7"/>
      <c r="O470" s="21"/>
      <c r="P470" s="74"/>
      <c r="Q470" s="72"/>
    </row>
    <row r="471" spans="1:17" ht="12.75">
      <c r="A471" s="32" t="s">
        <v>275</v>
      </c>
      <c r="B471" s="91">
        <v>1216</v>
      </c>
      <c r="C471" s="108"/>
      <c r="D471" s="107"/>
      <c r="E471" s="107">
        <f>536</f>
        <v>536</v>
      </c>
      <c r="F471" s="206">
        <f t="shared" si="137"/>
        <v>536</v>
      </c>
      <c r="G471" s="236"/>
      <c r="H471" s="224"/>
      <c r="I471" s="223">
        <f t="shared" si="138"/>
        <v>536</v>
      </c>
      <c r="J471" s="236"/>
      <c r="K471" s="286"/>
      <c r="L471" s="223">
        <f t="shared" si="139"/>
        <v>536</v>
      </c>
      <c r="M471" s="20"/>
      <c r="N471" s="7"/>
      <c r="O471" s="21"/>
      <c r="P471" s="74"/>
      <c r="Q471" s="72"/>
    </row>
    <row r="472" spans="1:17" ht="12.75">
      <c r="A472" s="32" t="s">
        <v>280</v>
      </c>
      <c r="B472" s="91">
        <v>1239</v>
      </c>
      <c r="C472" s="108">
        <v>19850</v>
      </c>
      <c r="D472" s="107">
        <f>1000+3000+5000+13500+2000</f>
        <v>24500</v>
      </c>
      <c r="E472" s="107"/>
      <c r="F472" s="206">
        <f t="shared" si="137"/>
        <v>44350</v>
      </c>
      <c r="G472" s="236">
        <f>0.75</f>
        <v>0.75</v>
      </c>
      <c r="H472" s="224"/>
      <c r="I472" s="223">
        <f t="shared" si="138"/>
        <v>44350.75</v>
      </c>
      <c r="J472" s="236">
        <f>-872</f>
        <v>-872</v>
      </c>
      <c r="K472" s="286"/>
      <c r="L472" s="223">
        <f t="shared" si="139"/>
        <v>43478.75</v>
      </c>
      <c r="M472" s="20"/>
      <c r="N472" s="7"/>
      <c r="O472" s="21"/>
      <c r="P472" s="74"/>
      <c r="Q472" s="72"/>
    </row>
    <row r="473" spans="1:17" ht="12.75">
      <c r="A473" s="36" t="s">
        <v>261</v>
      </c>
      <c r="B473" s="91">
        <v>1300</v>
      </c>
      <c r="C473" s="108"/>
      <c r="D473" s="107">
        <f>13134.93+5800-5747+1600+1200+5000+2000</f>
        <v>22987.93</v>
      </c>
      <c r="E473" s="107">
        <f>250+1571.6+12500+500</f>
        <v>14821.6</v>
      </c>
      <c r="F473" s="206">
        <f t="shared" si="137"/>
        <v>37809.53</v>
      </c>
      <c r="G473" s="236">
        <f>25000-2000</f>
        <v>23000</v>
      </c>
      <c r="H473" s="224">
        <f>10350+840+840+4000+1500</f>
        <v>17530</v>
      </c>
      <c r="I473" s="223">
        <f t="shared" si="138"/>
        <v>78339.53</v>
      </c>
      <c r="J473" s="236">
        <f>25000+690</f>
        <v>25690</v>
      </c>
      <c r="K473" s="286">
        <f>13910+7200+2330</f>
        <v>23440</v>
      </c>
      <c r="L473" s="223">
        <f t="shared" si="139"/>
        <v>127469.53</v>
      </c>
      <c r="M473" s="20"/>
      <c r="N473" s="7"/>
      <c r="O473" s="21"/>
      <c r="P473" s="74"/>
      <c r="Q473" s="72"/>
    </row>
    <row r="474" spans="1:17" ht="12.75">
      <c r="A474" s="35" t="s">
        <v>274</v>
      </c>
      <c r="B474" s="94">
        <v>1110</v>
      </c>
      <c r="C474" s="189">
        <v>12000</v>
      </c>
      <c r="D474" s="115">
        <f>10000</f>
        <v>10000</v>
      </c>
      <c r="E474" s="115"/>
      <c r="F474" s="211">
        <f t="shared" si="137"/>
        <v>22000</v>
      </c>
      <c r="G474" s="235">
        <f>2821+870</f>
        <v>3691</v>
      </c>
      <c r="H474" s="253">
        <f>960</f>
        <v>960</v>
      </c>
      <c r="I474" s="231">
        <f t="shared" si="138"/>
        <v>26651</v>
      </c>
      <c r="J474" s="235"/>
      <c r="K474" s="289"/>
      <c r="L474" s="231">
        <f t="shared" si="139"/>
        <v>26651</v>
      </c>
      <c r="M474" s="20"/>
      <c r="N474" s="7"/>
      <c r="O474" s="21"/>
      <c r="P474" s="74"/>
      <c r="Q474" s="72"/>
    </row>
    <row r="475" spans="1:17" ht="12.75">
      <c r="A475" s="29" t="s">
        <v>132</v>
      </c>
      <c r="B475" s="95"/>
      <c r="C475" s="105">
        <f aca="true" t="shared" si="140" ref="C475:Q475">C476</f>
        <v>1</v>
      </c>
      <c r="D475" s="106">
        <f t="shared" si="140"/>
        <v>2380.11</v>
      </c>
      <c r="E475" s="106">
        <f t="shared" si="140"/>
        <v>0</v>
      </c>
      <c r="F475" s="205">
        <f t="shared" si="140"/>
        <v>2381.11</v>
      </c>
      <c r="G475" s="232">
        <f t="shared" si="140"/>
        <v>0</v>
      </c>
      <c r="H475" s="248">
        <f t="shared" si="140"/>
        <v>0</v>
      </c>
      <c r="I475" s="222">
        <f t="shared" si="140"/>
        <v>2381.11</v>
      </c>
      <c r="J475" s="232">
        <f t="shared" si="140"/>
        <v>0</v>
      </c>
      <c r="K475" s="285">
        <f t="shared" si="140"/>
        <v>0</v>
      </c>
      <c r="L475" s="222">
        <f t="shared" si="140"/>
        <v>2381.11</v>
      </c>
      <c r="M475" s="105">
        <f t="shared" si="140"/>
        <v>0</v>
      </c>
      <c r="N475" s="105">
        <f t="shared" si="140"/>
        <v>0</v>
      </c>
      <c r="O475" s="105">
        <f t="shared" si="140"/>
        <v>2381.11</v>
      </c>
      <c r="P475" s="105">
        <f t="shared" si="140"/>
        <v>0</v>
      </c>
      <c r="Q475" s="159">
        <f t="shared" si="140"/>
        <v>2381.11</v>
      </c>
    </row>
    <row r="476" spans="1:17" ht="12.75">
      <c r="A476" s="38" t="s">
        <v>49</v>
      </c>
      <c r="B476" s="95"/>
      <c r="C476" s="113">
        <f>C478</f>
        <v>1</v>
      </c>
      <c r="D476" s="114">
        <f aca="true" t="shared" si="141" ref="D476:Q476">D478</f>
        <v>2380.11</v>
      </c>
      <c r="E476" s="114">
        <f t="shared" si="141"/>
        <v>0</v>
      </c>
      <c r="F476" s="209">
        <f t="shared" si="141"/>
        <v>2381.11</v>
      </c>
      <c r="G476" s="233">
        <f t="shared" si="141"/>
        <v>0</v>
      </c>
      <c r="H476" s="251">
        <f t="shared" si="141"/>
        <v>0</v>
      </c>
      <c r="I476" s="229">
        <f t="shared" si="141"/>
        <v>2381.11</v>
      </c>
      <c r="J476" s="233">
        <f>J478</f>
        <v>0</v>
      </c>
      <c r="K476" s="290">
        <f>K478</f>
        <v>0</v>
      </c>
      <c r="L476" s="229">
        <f>L478</f>
        <v>2381.11</v>
      </c>
      <c r="M476" s="113">
        <f t="shared" si="141"/>
        <v>0</v>
      </c>
      <c r="N476" s="113">
        <f t="shared" si="141"/>
        <v>0</v>
      </c>
      <c r="O476" s="113">
        <f t="shared" si="141"/>
        <v>2381.11</v>
      </c>
      <c r="P476" s="113">
        <f t="shared" si="141"/>
        <v>0</v>
      </c>
      <c r="Q476" s="164">
        <f t="shared" si="141"/>
        <v>2381.11</v>
      </c>
    </row>
    <row r="477" spans="1:17" ht="12.75">
      <c r="A477" s="34" t="s">
        <v>26</v>
      </c>
      <c r="B477" s="91"/>
      <c r="C477" s="108"/>
      <c r="D477" s="107"/>
      <c r="E477" s="107"/>
      <c r="F477" s="206"/>
      <c r="G477" s="236"/>
      <c r="H477" s="224"/>
      <c r="I477" s="223"/>
      <c r="J477" s="236"/>
      <c r="K477" s="286"/>
      <c r="L477" s="223"/>
      <c r="M477" s="20"/>
      <c r="N477" s="7"/>
      <c r="O477" s="21"/>
      <c r="P477" s="74"/>
      <c r="Q477" s="72"/>
    </row>
    <row r="478" spans="1:17" ht="12.75">
      <c r="A478" s="177" t="s">
        <v>51</v>
      </c>
      <c r="B478" s="178"/>
      <c r="C478" s="186">
        <v>1</v>
      </c>
      <c r="D478" s="115">
        <f>2380.11</f>
        <v>2380.11</v>
      </c>
      <c r="E478" s="190"/>
      <c r="F478" s="211">
        <f>C478+D478+E478</f>
        <v>2381.11</v>
      </c>
      <c r="G478" s="235"/>
      <c r="H478" s="253"/>
      <c r="I478" s="231">
        <f>F478+G478+H478</f>
        <v>2381.11</v>
      </c>
      <c r="J478" s="235"/>
      <c r="K478" s="289"/>
      <c r="L478" s="231">
        <f>I478+J478+K478</f>
        <v>2381.11</v>
      </c>
      <c r="M478" s="24"/>
      <c r="N478" s="9"/>
      <c r="O478" s="25">
        <f>L478+M478+N478</f>
        <v>2381.11</v>
      </c>
      <c r="P478" s="77"/>
      <c r="Q478" s="78">
        <f>O478+P478</f>
        <v>2381.11</v>
      </c>
    </row>
    <row r="479" spans="1:17" ht="12.75">
      <c r="A479" s="29" t="s">
        <v>96</v>
      </c>
      <c r="B479" s="95"/>
      <c r="C479" s="105">
        <f>C481+C482</f>
        <v>806901</v>
      </c>
      <c r="D479" s="106">
        <f aca="true" t="shared" si="142" ref="D479:Q479">D481+D482</f>
        <v>533933.73</v>
      </c>
      <c r="E479" s="106">
        <f t="shared" si="142"/>
        <v>0</v>
      </c>
      <c r="F479" s="205">
        <f t="shared" si="142"/>
        <v>1340834.73</v>
      </c>
      <c r="G479" s="232">
        <f t="shared" si="142"/>
        <v>89083</v>
      </c>
      <c r="H479" s="248">
        <f t="shared" si="142"/>
        <v>0</v>
      </c>
      <c r="I479" s="222">
        <f t="shared" si="142"/>
        <v>1429917.73</v>
      </c>
      <c r="J479" s="232">
        <f>J481+J482</f>
        <v>164109.80000000002</v>
      </c>
      <c r="K479" s="285">
        <f>K481+K482</f>
        <v>0</v>
      </c>
      <c r="L479" s="222">
        <f>L481+L482</f>
        <v>1594027.53</v>
      </c>
      <c r="M479" s="105" t="e">
        <f t="shared" si="142"/>
        <v>#REF!</v>
      </c>
      <c r="N479" s="105" t="e">
        <f t="shared" si="142"/>
        <v>#REF!</v>
      </c>
      <c r="O479" s="105" t="e">
        <f t="shared" si="142"/>
        <v>#REF!</v>
      </c>
      <c r="P479" s="105" t="e">
        <f t="shared" si="142"/>
        <v>#REF!</v>
      </c>
      <c r="Q479" s="159" t="e">
        <f t="shared" si="142"/>
        <v>#REF!</v>
      </c>
    </row>
    <row r="480" spans="1:17" ht="12.75">
      <c r="A480" s="31" t="s">
        <v>26</v>
      </c>
      <c r="B480" s="91"/>
      <c r="C480" s="105"/>
      <c r="D480" s="106"/>
      <c r="E480" s="106"/>
      <c r="F480" s="205"/>
      <c r="G480" s="232"/>
      <c r="H480" s="248"/>
      <c r="I480" s="222"/>
      <c r="J480" s="232"/>
      <c r="K480" s="285"/>
      <c r="L480" s="222"/>
      <c r="M480" s="105"/>
      <c r="N480" s="105"/>
      <c r="O480" s="105"/>
      <c r="P480" s="105"/>
      <c r="Q480" s="159"/>
    </row>
    <row r="481" spans="1:17" ht="12.75">
      <c r="A481" s="29" t="s">
        <v>49</v>
      </c>
      <c r="B481" s="95"/>
      <c r="C481" s="109">
        <f aca="true" t="shared" si="143" ref="C481:I481">C485+C492+C494+C506+C508+C513+C524+C509+C499+C526+C501+C530</f>
        <v>58330</v>
      </c>
      <c r="D481" s="110">
        <f t="shared" si="143"/>
        <v>72518.21</v>
      </c>
      <c r="E481" s="110">
        <f t="shared" si="143"/>
        <v>0</v>
      </c>
      <c r="F481" s="207">
        <f t="shared" si="143"/>
        <v>130848.21</v>
      </c>
      <c r="G481" s="266">
        <f t="shared" si="143"/>
        <v>2900</v>
      </c>
      <c r="H481" s="250">
        <f t="shared" si="143"/>
        <v>0</v>
      </c>
      <c r="I481" s="225">
        <f t="shared" si="143"/>
        <v>133748.21</v>
      </c>
      <c r="J481" s="266">
        <f>J485+J492+J494+J506+J508+J513+J524+J509+J499+J526+J501+J530</f>
        <v>19587.5</v>
      </c>
      <c r="K481" s="288">
        <f>K485+K492+K494+K506+K508+K513+K524+K509+K499+K526+K501+K530</f>
        <v>0</v>
      </c>
      <c r="L481" s="225">
        <f>L485+L492+L494+L506+L508+L513+L524+L509+L499+L526+L501+L530</f>
        <v>153335.71</v>
      </c>
      <c r="M481" s="109">
        <f>M492+M494+M506+M508+M513+M524+M509+M499+M526+M501+M530</f>
        <v>0</v>
      </c>
      <c r="N481" s="109">
        <f>N492+N494+N506+N508+N513+N524+N509+N499+N526+N501+N530</f>
        <v>0</v>
      </c>
      <c r="O481" s="109">
        <f>O492+O494+O506+O508+O513+O524+O509+O499+O526+O501+O530</f>
        <v>148303.94</v>
      </c>
      <c r="P481" s="109">
        <f>P492+P494+P506+P508+P513+P524+P509+P499+P526+P501+P530</f>
        <v>0</v>
      </c>
      <c r="Q481" s="162">
        <f>Q492+Q494+Q506+Q508+Q513+Q524+Q509+Q499+Q526+Q501+Q530</f>
        <v>148303.94</v>
      </c>
    </row>
    <row r="482" spans="1:17" ht="12.75">
      <c r="A482" s="29" t="s">
        <v>53</v>
      </c>
      <c r="B482" s="95"/>
      <c r="C482" s="109">
        <f aca="true" t="shared" si="144" ref="C482:I482">+C486+C487+C489+C490+C491+C495+C496+C498+C500+C502+C504+C505+C507+C510+C512+C514+C515+C517+C518+C520+C521+C523+C525+C527+C529</f>
        <v>748571</v>
      </c>
      <c r="D482" s="110">
        <f t="shared" si="144"/>
        <v>461415.52</v>
      </c>
      <c r="E482" s="110">
        <f t="shared" si="144"/>
        <v>0</v>
      </c>
      <c r="F482" s="207">
        <f t="shared" si="144"/>
        <v>1209986.52</v>
      </c>
      <c r="G482" s="266">
        <f t="shared" si="144"/>
        <v>86183</v>
      </c>
      <c r="H482" s="250">
        <f t="shared" si="144"/>
        <v>0</v>
      </c>
      <c r="I482" s="225">
        <f t="shared" si="144"/>
        <v>1296169.52</v>
      </c>
      <c r="J482" s="266">
        <f>+J486+J487+J489+J490+J491+J495+J496+J498+J500+J502+J504+J505+J507+J510+J512+J514+J515+J517+J518+J520+J521+J523+J525+J527+J529</f>
        <v>144522.30000000002</v>
      </c>
      <c r="K482" s="288">
        <f>+K486+K487+K489+K490+K491+K495+K496+K498+K500+K502+K504+K505+K507+K510+K512+K514+K515+K517+K518+K520+K521+K523+K525+K527+K529</f>
        <v>0</v>
      </c>
      <c r="L482" s="225">
        <f>+L486+L487+L489+L490+L491+L495+L496+L498+L500+L502+L504+L505+L507+L510+L512+L514+L515+L517+L518+L520+L521+L523+L525+L527+L529</f>
        <v>1440691.82</v>
      </c>
      <c r="M482" s="109" t="e">
        <f>#REF!+#REF!+#REF!+#REF!+#REF!+M489+M490+M491+M495+M496+M498+M500+M502+M504+M505+M507+M510+M512+M514+M515+M523+M525+M527+M529</f>
        <v>#REF!</v>
      </c>
      <c r="N482" s="109" t="e">
        <f>#REF!+#REF!+#REF!+#REF!+#REF!+N489+N490+N491+N495+N496+N498+N500+N502+N504+N505+N507+N510+N512+N514+N515+N523+N525+N527+N529</f>
        <v>#REF!</v>
      </c>
      <c r="O482" s="109" t="e">
        <f>#REF!+#REF!+#REF!+#REF!+#REF!+O489+O490+O491+O495+O496+O498+O500+O502+O504+O505+O507+O510+O512+O514+O515+O523+O525+O527+O529</f>
        <v>#REF!</v>
      </c>
      <c r="P482" s="109" t="e">
        <f>#REF!+#REF!+#REF!+#REF!+#REF!+P489+P490+P491+P495+P496+P498+P500+P502+P504+P505+P507+P510+P512+P514+P515+P523+P525+P527+P529</f>
        <v>#REF!</v>
      </c>
      <c r="Q482" s="162" t="e">
        <f>#REF!+#REF!+#REF!+#REF!+#REF!+Q489+Q490+Q491+Q495+Q496+Q498+Q500+Q502+Q504+Q505+Q507+Q510+Q512+Q514+Q515+Q523+Q525+Q527+Q529</f>
        <v>#REF!</v>
      </c>
    </row>
    <row r="483" spans="1:17" ht="12.75">
      <c r="A483" s="30" t="s">
        <v>97</v>
      </c>
      <c r="B483" s="91"/>
      <c r="C483" s="105"/>
      <c r="D483" s="106"/>
      <c r="E483" s="106"/>
      <c r="F483" s="205"/>
      <c r="G483" s="232"/>
      <c r="H483" s="248"/>
      <c r="I483" s="222"/>
      <c r="J483" s="232"/>
      <c r="K483" s="285"/>
      <c r="L483" s="222"/>
      <c r="M483" s="18"/>
      <c r="N483" s="6"/>
      <c r="O483" s="19"/>
      <c r="P483" s="74"/>
      <c r="Q483" s="72"/>
    </row>
    <row r="484" spans="1:17" ht="12.75">
      <c r="A484" s="92" t="s">
        <v>299</v>
      </c>
      <c r="B484" s="91"/>
      <c r="C484" s="108">
        <f aca="true" t="shared" si="145" ref="C484:L484">C485+C486+C487</f>
        <v>0</v>
      </c>
      <c r="D484" s="107">
        <f t="shared" si="145"/>
        <v>21671.66</v>
      </c>
      <c r="E484" s="107">
        <f t="shared" si="145"/>
        <v>0</v>
      </c>
      <c r="F484" s="206">
        <f t="shared" si="145"/>
        <v>21671.66</v>
      </c>
      <c r="G484" s="236">
        <f t="shared" si="145"/>
        <v>14500</v>
      </c>
      <c r="H484" s="224">
        <f t="shared" si="145"/>
        <v>0</v>
      </c>
      <c r="I484" s="223">
        <f t="shared" si="145"/>
        <v>36171.66</v>
      </c>
      <c r="J484" s="236">
        <f t="shared" si="145"/>
        <v>0</v>
      </c>
      <c r="K484" s="286">
        <f t="shared" si="145"/>
        <v>0</v>
      </c>
      <c r="L484" s="223">
        <f t="shared" si="145"/>
        <v>36171.66</v>
      </c>
      <c r="M484" s="18"/>
      <c r="N484" s="174"/>
      <c r="O484" s="126"/>
      <c r="P484" s="74"/>
      <c r="Q484" s="72"/>
    </row>
    <row r="485" spans="1:17" ht="12.75" hidden="1">
      <c r="A485" s="31" t="s">
        <v>104</v>
      </c>
      <c r="B485" s="91"/>
      <c r="C485" s="105"/>
      <c r="D485" s="106"/>
      <c r="E485" s="106"/>
      <c r="F485" s="206">
        <f>C485+D485+E485</f>
        <v>0</v>
      </c>
      <c r="G485" s="232"/>
      <c r="H485" s="248"/>
      <c r="I485" s="222"/>
      <c r="J485" s="232"/>
      <c r="K485" s="285"/>
      <c r="L485" s="222"/>
      <c r="M485" s="18"/>
      <c r="N485" s="174"/>
      <c r="O485" s="126"/>
      <c r="P485" s="74"/>
      <c r="Q485" s="72"/>
    </row>
    <row r="486" spans="1:17" ht="12.75">
      <c r="A486" s="31" t="s">
        <v>99</v>
      </c>
      <c r="B486" s="91"/>
      <c r="C486" s="105"/>
      <c r="D486" s="107">
        <f>18835+600+41</f>
        <v>19476</v>
      </c>
      <c r="E486" s="106"/>
      <c r="F486" s="206">
        <f>C486+D486+E486</f>
        <v>19476</v>
      </c>
      <c r="G486" s="236">
        <f>14500</f>
        <v>14500</v>
      </c>
      <c r="H486" s="248"/>
      <c r="I486" s="223">
        <f>F486+G486+H486</f>
        <v>33976</v>
      </c>
      <c r="J486" s="232"/>
      <c r="K486" s="285"/>
      <c r="L486" s="223">
        <f>I486+J486+K486</f>
        <v>33976</v>
      </c>
      <c r="M486" s="18"/>
      <c r="N486" s="174"/>
      <c r="O486" s="126"/>
      <c r="P486" s="74"/>
      <c r="Q486" s="72"/>
    </row>
    <row r="487" spans="1:17" ht="13.5" thickBot="1">
      <c r="A487" s="315" t="s">
        <v>328</v>
      </c>
      <c r="B487" s="130"/>
      <c r="C487" s="316"/>
      <c r="D487" s="131">
        <f>2236.66-41</f>
        <v>2195.66</v>
      </c>
      <c r="E487" s="317"/>
      <c r="F487" s="212">
        <f>C487+D487+E487</f>
        <v>2195.66</v>
      </c>
      <c r="G487" s="318"/>
      <c r="H487" s="319"/>
      <c r="I487" s="312">
        <f>F487+G487+H487</f>
        <v>2195.66</v>
      </c>
      <c r="J487" s="318"/>
      <c r="K487" s="320"/>
      <c r="L487" s="312">
        <f>I487+J487+K487</f>
        <v>2195.66</v>
      </c>
      <c r="M487" s="18"/>
      <c r="N487" s="174"/>
      <c r="O487" s="126"/>
      <c r="P487" s="74"/>
      <c r="Q487" s="72"/>
    </row>
    <row r="488" spans="1:17" ht="12.75">
      <c r="A488" s="31" t="s">
        <v>101</v>
      </c>
      <c r="B488" s="91">
        <v>10</v>
      </c>
      <c r="C488" s="108">
        <f>SUM(C489:C492)</f>
        <v>160000</v>
      </c>
      <c r="D488" s="107">
        <f aca="true" t="shared" si="146" ref="D488:Q488">SUM(D489:D492)</f>
        <v>8403.39</v>
      </c>
      <c r="E488" s="107">
        <f t="shared" si="146"/>
        <v>0</v>
      </c>
      <c r="F488" s="206">
        <f t="shared" si="146"/>
        <v>168403.38999999998</v>
      </c>
      <c r="G488" s="236">
        <f t="shared" si="146"/>
        <v>40000</v>
      </c>
      <c r="H488" s="224">
        <f t="shared" si="146"/>
        <v>0</v>
      </c>
      <c r="I488" s="223">
        <f t="shared" si="146"/>
        <v>208403.38999999998</v>
      </c>
      <c r="J488" s="236">
        <f t="shared" si="146"/>
        <v>120000</v>
      </c>
      <c r="K488" s="286">
        <f t="shared" si="146"/>
        <v>0</v>
      </c>
      <c r="L488" s="223">
        <f t="shared" si="146"/>
        <v>328403.39</v>
      </c>
      <c r="M488" s="108">
        <f t="shared" si="146"/>
        <v>0</v>
      </c>
      <c r="N488" s="108">
        <f t="shared" si="146"/>
        <v>0</v>
      </c>
      <c r="O488" s="108">
        <f t="shared" si="146"/>
        <v>328403.39</v>
      </c>
      <c r="P488" s="108">
        <f t="shared" si="146"/>
        <v>0</v>
      </c>
      <c r="Q488" s="160">
        <f t="shared" si="146"/>
        <v>328403.39</v>
      </c>
    </row>
    <row r="489" spans="1:17" ht="12.75" hidden="1">
      <c r="A489" s="31" t="s">
        <v>102</v>
      </c>
      <c r="B489" s="91"/>
      <c r="C489" s="108"/>
      <c r="D489" s="107"/>
      <c r="E489" s="107"/>
      <c r="F489" s="206">
        <f aca="true" t="shared" si="147" ref="F489:F533">C489+D489+E489</f>
        <v>0</v>
      </c>
      <c r="G489" s="236"/>
      <c r="H489" s="224"/>
      <c r="I489" s="223">
        <f>F489+G489+H489</f>
        <v>0</v>
      </c>
      <c r="J489" s="236"/>
      <c r="K489" s="286"/>
      <c r="L489" s="223">
        <f>I489+J489+K489</f>
        <v>0</v>
      </c>
      <c r="M489" s="20"/>
      <c r="N489" s="7"/>
      <c r="O489" s="21">
        <f>L489+M489+N489</f>
        <v>0</v>
      </c>
      <c r="P489" s="74"/>
      <c r="Q489" s="72">
        <f>O489+P489</f>
        <v>0</v>
      </c>
    </row>
    <row r="490" spans="1:17" ht="12.75">
      <c r="A490" s="92" t="s">
        <v>99</v>
      </c>
      <c r="B490" s="91"/>
      <c r="C490" s="108">
        <v>140000</v>
      </c>
      <c r="D490" s="118">
        <f>3939.3</f>
        <v>3939.3</v>
      </c>
      <c r="E490" s="118"/>
      <c r="F490" s="206">
        <f t="shared" si="147"/>
        <v>143939.3</v>
      </c>
      <c r="G490" s="236">
        <f>40000</f>
        <v>40000</v>
      </c>
      <c r="H490" s="224"/>
      <c r="I490" s="223">
        <f>F490+G490+H490</f>
        <v>183939.3</v>
      </c>
      <c r="J490" s="236">
        <f>100000+20000</f>
        <v>120000</v>
      </c>
      <c r="K490" s="286"/>
      <c r="L490" s="223">
        <f>I490+J490+K490</f>
        <v>303939.3</v>
      </c>
      <c r="M490" s="20"/>
      <c r="N490" s="7"/>
      <c r="O490" s="21">
        <f>L490+M490+N490</f>
        <v>303939.3</v>
      </c>
      <c r="P490" s="74"/>
      <c r="Q490" s="72">
        <f>O490+P490</f>
        <v>303939.3</v>
      </c>
    </row>
    <row r="491" spans="1:17" ht="12.75">
      <c r="A491" s="92" t="s">
        <v>328</v>
      </c>
      <c r="B491" s="91"/>
      <c r="C491" s="108"/>
      <c r="D491" s="107">
        <f>389.8+365.89</f>
        <v>755.69</v>
      </c>
      <c r="E491" s="107"/>
      <c r="F491" s="206">
        <f t="shared" si="147"/>
        <v>755.69</v>
      </c>
      <c r="G491" s="236"/>
      <c r="H491" s="224"/>
      <c r="I491" s="223">
        <f>F491+G491+H491</f>
        <v>755.69</v>
      </c>
      <c r="J491" s="236"/>
      <c r="K491" s="286"/>
      <c r="L491" s="223">
        <f>I491+J491+K491</f>
        <v>755.69</v>
      </c>
      <c r="M491" s="20"/>
      <c r="N491" s="7"/>
      <c r="O491" s="21">
        <f>L491+M491+N491</f>
        <v>755.69</v>
      </c>
      <c r="P491" s="74"/>
      <c r="Q491" s="72">
        <f>O491+P491</f>
        <v>755.69</v>
      </c>
    </row>
    <row r="492" spans="1:17" ht="12.75">
      <c r="A492" s="32" t="s">
        <v>113</v>
      </c>
      <c r="B492" s="91"/>
      <c r="C492" s="108">
        <v>20000</v>
      </c>
      <c r="D492" s="129">
        <f>3708.4</f>
        <v>3708.4</v>
      </c>
      <c r="E492" s="107"/>
      <c r="F492" s="206">
        <f t="shared" si="147"/>
        <v>23708.4</v>
      </c>
      <c r="G492" s="236"/>
      <c r="H492" s="224"/>
      <c r="I492" s="223">
        <f>F492+G492+H492</f>
        <v>23708.4</v>
      </c>
      <c r="J492" s="236"/>
      <c r="K492" s="286"/>
      <c r="L492" s="223">
        <f>I492+J492+K492</f>
        <v>23708.4</v>
      </c>
      <c r="M492" s="20"/>
      <c r="N492" s="7"/>
      <c r="O492" s="21">
        <f>L492+M492+N492</f>
        <v>23708.4</v>
      </c>
      <c r="P492" s="74"/>
      <c r="Q492" s="72">
        <f>O492+P492</f>
        <v>23708.4</v>
      </c>
    </row>
    <row r="493" spans="1:17" ht="12.75">
      <c r="A493" s="31" t="s">
        <v>103</v>
      </c>
      <c r="B493" s="91">
        <v>12</v>
      </c>
      <c r="C493" s="108">
        <f aca="true" t="shared" si="148" ref="C493:Q493">C494+C495+C496</f>
        <v>29000</v>
      </c>
      <c r="D493" s="107">
        <f t="shared" si="148"/>
        <v>14287.900000000001</v>
      </c>
      <c r="E493" s="107">
        <f t="shared" si="148"/>
        <v>0</v>
      </c>
      <c r="F493" s="206">
        <f t="shared" si="148"/>
        <v>43287.9</v>
      </c>
      <c r="G493" s="236">
        <f t="shared" si="148"/>
        <v>0</v>
      </c>
      <c r="H493" s="224">
        <f t="shared" si="148"/>
        <v>0</v>
      </c>
      <c r="I493" s="223">
        <f t="shared" si="148"/>
        <v>43287.9</v>
      </c>
      <c r="J493" s="236">
        <f t="shared" si="148"/>
        <v>0</v>
      </c>
      <c r="K493" s="286">
        <f t="shared" si="148"/>
        <v>0</v>
      </c>
      <c r="L493" s="223">
        <f t="shared" si="148"/>
        <v>43287.9</v>
      </c>
      <c r="M493" s="108">
        <f t="shared" si="148"/>
        <v>0</v>
      </c>
      <c r="N493" s="108">
        <f t="shared" si="148"/>
        <v>0</v>
      </c>
      <c r="O493" s="108">
        <f t="shared" si="148"/>
        <v>43287.9</v>
      </c>
      <c r="P493" s="108">
        <f t="shared" si="148"/>
        <v>0</v>
      </c>
      <c r="Q493" s="160">
        <f t="shared" si="148"/>
        <v>43287.9</v>
      </c>
    </row>
    <row r="494" spans="1:17" ht="12.75">
      <c r="A494" s="31" t="s">
        <v>104</v>
      </c>
      <c r="B494" s="91"/>
      <c r="C494" s="108">
        <v>29000</v>
      </c>
      <c r="D494" s="107">
        <f>9895.01</f>
        <v>9895.01</v>
      </c>
      <c r="E494" s="107"/>
      <c r="F494" s="206">
        <f t="shared" si="147"/>
        <v>38895.01</v>
      </c>
      <c r="G494" s="236"/>
      <c r="H494" s="224"/>
      <c r="I494" s="223">
        <f>F494+G494+H494</f>
        <v>38895.01</v>
      </c>
      <c r="J494" s="236">
        <f>106-1801.4</f>
        <v>-1695.4</v>
      </c>
      <c r="K494" s="286"/>
      <c r="L494" s="223">
        <f>I494+J494+K494</f>
        <v>37199.61</v>
      </c>
      <c r="M494" s="20"/>
      <c r="N494" s="7"/>
      <c r="O494" s="21">
        <f>L494+M494+N494</f>
        <v>37199.61</v>
      </c>
      <c r="P494" s="74"/>
      <c r="Q494" s="72">
        <f>O494+P494</f>
        <v>37199.61</v>
      </c>
    </row>
    <row r="495" spans="1:17" ht="12.75">
      <c r="A495" s="92" t="s">
        <v>108</v>
      </c>
      <c r="B495" s="91"/>
      <c r="C495" s="108"/>
      <c r="D495" s="107">
        <f>3549.6</f>
        <v>3549.6</v>
      </c>
      <c r="E495" s="107"/>
      <c r="F495" s="206">
        <f t="shared" si="147"/>
        <v>3549.6</v>
      </c>
      <c r="G495" s="236"/>
      <c r="H495" s="224"/>
      <c r="I495" s="223">
        <f>F495+G495+H495</f>
        <v>3549.6</v>
      </c>
      <c r="J495" s="236">
        <f>737.29+1801.4</f>
        <v>2538.69</v>
      </c>
      <c r="K495" s="286"/>
      <c r="L495" s="223">
        <f>I495+J495+K495</f>
        <v>6088.29</v>
      </c>
      <c r="M495" s="20"/>
      <c r="N495" s="7"/>
      <c r="O495" s="21">
        <f>L495+M495+N495</f>
        <v>6088.29</v>
      </c>
      <c r="P495" s="74"/>
      <c r="Q495" s="72">
        <f>O495+P495</f>
        <v>6088.29</v>
      </c>
    </row>
    <row r="496" spans="1:17" ht="12.75" customHeight="1">
      <c r="A496" s="92" t="s">
        <v>328</v>
      </c>
      <c r="B496" s="91"/>
      <c r="C496" s="108"/>
      <c r="D496" s="107">
        <f>843.29</f>
        <v>843.29</v>
      </c>
      <c r="E496" s="107"/>
      <c r="F496" s="206">
        <f t="shared" si="147"/>
        <v>843.29</v>
      </c>
      <c r="G496" s="236"/>
      <c r="H496" s="224"/>
      <c r="I496" s="223">
        <f>F496+G496+H496</f>
        <v>843.29</v>
      </c>
      <c r="J496" s="236">
        <f>-843.29</f>
        <v>-843.29</v>
      </c>
      <c r="K496" s="286"/>
      <c r="L496" s="223">
        <f>I496+J496+K496</f>
        <v>0</v>
      </c>
      <c r="M496" s="20"/>
      <c r="N496" s="7"/>
      <c r="O496" s="21">
        <f>L496+M496+N496</f>
        <v>0</v>
      </c>
      <c r="P496" s="74"/>
      <c r="Q496" s="72">
        <f>O496+P496</f>
        <v>0</v>
      </c>
    </row>
    <row r="497" spans="1:17" ht="12.75">
      <c r="A497" s="31" t="s">
        <v>105</v>
      </c>
      <c r="B497" s="91">
        <v>14</v>
      </c>
      <c r="C497" s="108">
        <f>SUM(C498:C502)</f>
        <v>90000</v>
      </c>
      <c r="D497" s="107">
        <f aca="true" t="shared" si="149" ref="D497:Q497">SUM(D498:D502)</f>
        <v>116487.38</v>
      </c>
      <c r="E497" s="107">
        <f t="shared" si="149"/>
        <v>0</v>
      </c>
      <c r="F497" s="206">
        <f t="shared" si="149"/>
        <v>206487.38</v>
      </c>
      <c r="G497" s="236">
        <f t="shared" si="149"/>
        <v>19935</v>
      </c>
      <c r="H497" s="224">
        <f t="shared" si="149"/>
        <v>0</v>
      </c>
      <c r="I497" s="223">
        <f t="shared" si="149"/>
        <v>226422.38</v>
      </c>
      <c r="J497" s="236">
        <f t="shared" si="149"/>
        <v>40109.8</v>
      </c>
      <c r="K497" s="286">
        <f t="shared" si="149"/>
        <v>0</v>
      </c>
      <c r="L497" s="223">
        <f t="shared" si="149"/>
        <v>266532.18000000005</v>
      </c>
      <c r="M497" s="108">
        <f t="shared" si="149"/>
        <v>0</v>
      </c>
      <c r="N497" s="108">
        <f t="shared" si="149"/>
        <v>0</v>
      </c>
      <c r="O497" s="108">
        <f t="shared" si="149"/>
        <v>266532.18000000005</v>
      </c>
      <c r="P497" s="108">
        <f t="shared" si="149"/>
        <v>0</v>
      </c>
      <c r="Q497" s="160">
        <f t="shared" si="149"/>
        <v>266532.18000000005</v>
      </c>
    </row>
    <row r="498" spans="1:17" ht="12.75">
      <c r="A498" s="31" t="s">
        <v>106</v>
      </c>
      <c r="B498" s="91"/>
      <c r="C498" s="108">
        <v>82000</v>
      </c>
      <c r="D498" s="118">
        <f>47083.1+10250+500</f>
        <v>57833.1</v>
      </c>
      <c r="E498" s="118"/>
      <c r="F498" s="206">
        <f t="shared" si="147"/>
        <v>139833.1</v>
      </c>
      <c r="G498" s="236">
        <f>3563+1500+2000</f>
        <v>7063</v>
      </c>
      <c r="H498" s="224"/>
      <c r="I498" s="223">
        <f>F498+G498+H498</f>
        <v>146896.1</v>
      </c>
      <c r="J498" s="236">
        <f>-1100+10635+12000-840.2</f>
        <v>20694.8</v>
      </c>
      <c r="K498" s="286"/>
      <c r="L498" s="223">
        <f>I498+J498+K498</f>
        <v>167590.9</v>
      </c>
      <c r="M498" s="20"/>
      <c r="N498" s="7"/>
      <c r="O498" s="21">
        <f>L498+M498+N498</f>
        <v>167590.9</v>
      </c>
      <c r="P498" s="74"/>
      <c r="Q498" s="72">
        <f aca="true" t="shared" si="150" ref="Q498:Q544">O498+P498</f>
        <v>167590.9</v>
      </c>
    </row>
    <row r="499" spans="1:17" ht="12.75">
      <c r="A499" s="31" t="s">
        <v>107</v>
      </c>
      <c r="B499" s="91"/>
      <c r="C499" s="108">
        <v>5000</v>
      </c>
      <c r="D499" s="107">
        <f>20005+1700</f>
        <v>21705</v>
      </c>
      <c r="E499" s="107"/>
      <c r="F499" s="206">
        <f t="shared" si="147"/>
        <v>26705</v>
      </c>
      <c r="G499" s="236">
        <f>719+2500</f>
        <v>3219</v>
      </c>
      <c r="H499" s="224"/>
      <c r="I499" s="223">
        <f>F499+G499+H499</f>
        <v>29924</v>
      </c>
      <c r="J499" s="236">
        <f>1300+6486</f>
        <v>7786</v>
      </c>
      <c r="K499" s="286"/>
      <c r="L499" s="223">
        <f>I499+J499+K499</f>
        <v>37710</v>
      </c>
      <c r="M499" s="20"/>
      <c r="N499" s="7"/>
      <c r="O499" s="21">
        <f>L499+M499+N499</f>
        <v>37710</v>
      </c>
      <c r="P499" s="74"/>
      <c r="Q499" s="72">
        <f t="shared" si="150"/>
        <v>37710</v>
      </c>
    </row>
    <row r="500" spans="1:17" ht="13.5" customHeight="1">
      <c r="A500" s="31" t="s">
        <v>108</v>
      </c>
      <c r="B500" s="91"/>
      <c r="C500" s="108">
        <v>3000</v>
      </c>
      <c r="D500" s="107">
        <f>20950-3850+16300-500</f>
        <v>32900</v>
      </c>
      <c r="E500" s="107"/>
      <c r="F500" s="206">
        <f t="shared" si="147"/>
        <v>35900</v>
      </c>
      <c r="G500" s="236">
        <f>-2000+15450</f>
        <v>13450</v>
      </c>
      <c r="H500" s="224"/>
      <c r="I500" s="223">
        <f>F500+G500+H500</f>
        <v>49350</v>
      </c>
      <c r="J500" s="236">
        <f>-200-17121+17000+1950</f>
        <v>1629</v>
      </c>
      <c r="K500" s="286"/>
      <c r="L500" s="223">
        <f>I500+J500+K500</f>
        <v>50979</v>
      </c>
      <c r="M500" s="20"/>
      <c r="N500" s="7"/>
      <c r="O500" s="21">
        <f>L500+M500+N500</f>
        <v>50979</v>
      </c>
      <c r="P500" s="74"/>
      <c r="Q500" s="72">
        <f t="shared" si="150"/>
        <v>50979</v>
      </c>
    </row>
    <row r="501" spans="1:17" ht="13.5" customHeight="1">
      <c r="A501" s="32" t="s">
        <v>113</v>
      </c>
      <c r="B501" s="91"/>
      <c r="C501" s="108"/>
      <c r="D501" s="107">
        <f>436</f>
        <v>436</v>
      </c>
      <c r="E501" s="107"/>
      <c r="F501" s="206">
        <f t="shared" si="147"/>
        <v>436</v>
      </c>
      <c r="G501" s="236">
        <f>-319</f>
        <v>-319</v>
      </c>
      <c r="H501" s="224"/>
      <c r="I501" s="223">
        <f>F501+G501+H501</f>
        <v>117</v>
      </c>
      <c r="J501" s="236">
        <f>10000</f>
        <v>10000</v>
      </c>
      <c r="K501" s="286"/>
      <c r="L501" s="223">
        <f>I501+J501+K501</f>
        <v>10117</v>
      </c>
      <c r="M501" s="20"/>
      <c r="N501" s="7"/>
      <c r="O501" s="21">
        <f>L501+M501+N501</f>
        <v>10117</v>
      </c>
      <c r="P501" s="74"/>
      <c r="Q501" s="72">
        <f t="shared" si="150"/>
        <v>10117</v>
      </c>
    </row>
    <row r="502" spans="1:17" ht="12.75">
      <c r="A502" s="92" t="s">
        <v>328</v>
      </c>
      <c r="B502" s="91"/>
      <c r="C502" s="108"/>
      <c r="D502" s="107">
        <f>1863.28+1750</f>
        <v>3613.2799999999997</v>
      </c>
      <c r="E502" s="107"/>
      <c r="F502" s="206">
        <f t="shared" si="147"/>
        <v>3613.2799999999997</v>
      </c>
      <c r="G502" s="236">
        <f>-1963-1515</f>
        <v>-3478</v>
      </c>
      <c r="H502" s="224"/>
      <c r="I502" s="223">
        <f>F502+G502+H502</f>
        <v>135.27999999999975</v>
      </c>
      <c r="J502" s="236"/>
      <c r="K502" s="286"/>
      <c r="L502" s="223">
        <f>I502+J502+K502</f>
        <v>135.27999999999975</v>
      </c>
      <c r="M502" s="20"/>
      <c r="N502" s="7"/>
      <c r="O502" s="21">
        <f>L502+M502+N502</f>
        <v>135.27999999999975</v>
      </c>
      <c r="P502" s="74"/>
      <c r="Q502" s="72">
        <f t="shared" si="150"/>
        <v>135.27999999999975</v>
      </c>
    </row>
    <row r="503" spans="1:17" ht="12.75">
      <c r="A503" s="31" t="s">
        <v>109</v>
      </c>
      <c r="B503" s="91">
        <v>15</v>
      </c>
      <c r="C503" s="108">
        <f>SUM(C504:C510)</f>
        <v>450000</v>
      </c>
      <c r="D503" s="107">
        <f aca="true" t="shared" si="151" ref="D503:Q503">SUM(D504:D510)</f>
        <v>324599.38</v>
      </c>
      <c r="E503" s="107">
        <f t="shared" si="151"/>
        <v>0</v>
      </c>
      <c r="F503" s="206">
        <f t="shared" si="151"/>
        <v>774599.38</v>
      </c>
      <c r="G503" s="236">
        <f t="shared" si="151"/>
        <v>2148</v>
      </c>
      <c r="H503" s="224">
        <f t="shared" si="151"/>
        <v>0</v>
      </c>
      <c r="I503" s="223">
        <f t="shared" si="151"/>
        <v>776747.38</v>
      </c>
      <c r="J503" s="236">
        <f t="shared" si="151"/>
        <v>14000</v>
      </c>
      <c r="K503" s="286">
        <f t="shared" si="151"/>
        <v>0</v>
      </c>
      <c r="L503" s="223">
        <f t="shared" si="151"/>
        <v>790747.38</v>
      </c>
      <c r="M503" s="108">
        <f t="shared" si="151"/>
        <v>0</v>
      </c>
      <c r="N503" s="108">
        <f t="shared" si="151"/>
        <v>0</v>
      </c>
      <c r="O503" s="108">
        <f t="shared" si="151"/>
        <v>790747.38</v>
      </c>
      <c r="P503" s="108">
        <f t="shared" si="151"/>
        <v>0</v>
      </c>
      <c r="Q503" s="160">
        <f t="shared" si="151"/>
        <v>790747.38</v>
      </c>
    </row>
    <row r="504" spans="1:17" ht="12.75">
      <c r="A504" s="31" t="s">
        <v>110</v>
      </c>
      <c r="B504" s="91"/>
      <c r="C504" s="108">
        <v>415999</v>
      </c>
      <c r="D504" s="107">
        <f>176028.87-786.12-7712+7000+90000</f>
        <v>264530.75</v>
      </c>
      <c r="E504" s="107"/>
      <c r="F504" s="206">
        <f t="shared" si="147"/>
        <v>680529.75</v>
      </c>
      <c r="G504" s="236">
        <f>2148-123.5+85</f>
        <v>2109.5</v>
      </c>
      <c r="H504" s="224"/>
      <c r="I504" s="223">
        <f aca="true" t="shared" si="152" ref="I504:I510">F504+G504+H504</f>
        <v>682639.25</v>
      </c>
      <c r="J504" s="236">
        <f>420-735+14000-303.5</f>
        <v>13381.5</v>
      </c>
      <c r="K504" s="286"/>
      <c r="L504" s="223">
        <f aca="true" t="shared" si="153" ref="L504:L510">I504+J504+K504</f>
        <v>696020.75</v>
      </c>
      <c r="M504" s="20"/>
      <c r="N504" s="7"/>
      <c r="O504" s="21">
        <f aca="true" t="shared" si="154" ref="O504:O510">L504+M504+N504</f>
        <v>696020.75</v>
      </c>
      <c r="P504" s="74"/>
      <c r="Q504" s="72">
        <f t="shared" si="150"/>
        <v>696020.75</v>
      </c>
    </row>
    <row r="505" spans="1:17" ht="12.75" hidden="1">
      <c r="A505" s="31" t="s">
        <v>111</v>
      </c>
      <c r="B505" s="91"/>
      <c r="C505" s="108"/>
      <c r="D505" s="107"/>
      <c r="E505" s="107"/>
      <c r="F505" s="206">
        <f t="shared" si="147"/>
        <v>0</v>
      </c>
      <c r="G505" s="236"/>
      <c r="H505" s="224"/>
      <c r="I505" s="223">
        <f t="shared" si="152"/>
        <v>0</v>
      </c>
      <c r="J505" s="236"/>
      <c r="K505" s="286"/>
      <c r="L505" s="223">
        <f t="shared" si="153"/>
        <v>0</v>
      </c>
      <c r="M505" s="20"/>
      <c r="N505" s="7"/>
      <c r="O505" s="21">
        <f t="shared" si="154"/>
        <v>0</v>
      </c>
      <c r="P505" s="74"/>
      <c r="Q505" s="72">
        <f t="shared" si="150"/>
        <v>0</v>
      </c>
    </row>
    <row r="506" spans="1:17" ht="12.75" hidden="1">
      <c r="A506" s="31" t="s">
        <v>112</v>
      </c>
      <c r="B506" s="91"/>
      <c r="C506" s="108"/>
      <c r="D506" s="118"/>
      <c r="E506" s="118"/>
      <c r="F506" s="206">
        <f t="shared" si="147"/>
        <v>0</v>
      </c>
      <c r="G506" s="236"/>
      <c r="H506" s="224"/>
      <c r="I506" s="223">
        <f t="shared" si="152"/>
        <v>0</v>
      </c>
      <c r="J506" s="236"/>
      <c r="K506" s="286"/>
      <c r="L506" s="223">
        <f t="shared" si="153"/>
        <v>0</v>
      </c>
      <c r="M506" s="20"/>
      <c r="N506" s="7"/>
      <c r="O506" s="21">
        <f t="shared" si="154"/>
        <v>0</v>
      </c>
      <c r="P506" s="74"/>
      <c r="Q506" s="72">
        <f t="shared" si="150"/>
        <v>0</v>
      </c>
    </row>
    <row r="507" spans="1:17" ht="12.75">
      <c r="A507" s="92" t="s">
        <v>329</v>
      </c>
      <c r="B507" s="91"/>
      <c r="C507" s="108">
        <v>30396</v>
      </c>
      <c r="D507" s="107">
        <f>10303.78+6865</f>
        <v>17168.78</v>
      </c>
      <c r="E507" s="107"/>
      <c r="F507" s="206">
        <f t="shared" si="147"/>
        <v>47564.78</v>
      </c>
      <c r="G507" s="236"/>
      <c r="H507" s="224"/>
      <c r="I507" s="223">
        <f t="shared" si="152"/>
        <v>47564.78</v>
      </c>
      <c r="J507" s="236">
        <f>-2573.9</f>
        <v>-2573.9</v>
      </c>
      <c r="K507" s="286"/>
      <c r="L507" s="223">
        <f t="shared" si="153"/>
        <v>44990.88</v>
      </c>
      <c r="M507" s="20"/>
      <c r="N507" s="7"/>
      <c r="O507" s="21">
        <f t="shared" si="154"/>
        <v>44990.88</v>
      </c>
      <c r="P507" s="74"/>
      <c r="Q507" s="72">
        <f t="shared" si="150"/>
        <v>44990.88</v>
      </c>
    </row>
    <row r="508" spans="1:17" ht="12.75">
      <c r="A508" s="92" t="s">
        <v>330</v>
      </c>
      <c r="B508" s="91"/>
      <c r="C508" s="108">
        <v>1979</v>
      </c>
      <c r="D508" s="107"/>
      <c r="E508" s="107"/>
      <c r="F508" s="206">
        <f t="shared" si="147"/>
        <v>1979</v>
      </c>
      <c r="G508" s="236"/>
      <c r="H508" s="224"/>
      <c r="I508" s="223">
        <f t="shared" si="152"/>
        <v>1979</v>
      </c>
      <c r="J508" s="269"/>
      <c r="K508" s="286"/>
      <c r="L508" s="223">
        <f t="shared" si="153"/>
        <v>1979</v>
      </c>
      <c r="M508" s="20"/>
      <c r="N508" s="7"/>
      <c r="O508" s="21">
        <f t="shared" si="154"/>
        <v>1979</v>
      </c>
      <c r="P508" s="74"/>
      <c r="Q508" s="72">
        <f t="shared" si="150"/>
        <v>1979</v>
      </c>
    </row>
    <row r="509" spans="1:17" ht="12.75">
      <c r="A509" s="31" t="s">
        <v>113</v>
      </c>
      <c r="B509" s="91"/>
      <c r="C509" s="108"/>
      <c r="D509" s="107">
        <f>31187.36</f>
        <v>31187.36</v>
      </c>
      <c r="E509" s="107"/>
      <c r="F509" s="206">
        <f t="shared" si="147"/>
        <v>31187.36</v>
      </c>
      <c r="G509" s="236"/>
      <c r="H509" s="224"/>
      <c r="I509" s="223">
        <f t="shared" si="152"/>
        <v>31187.36</v>
      </c>
      <c r="J509" s="236">
        <f>350+573+2573.9</f>
        <v>3496.9</v>
      </c>
      <c r="K509" s="286"/>
      <c r="L509" s="223">
        <f t="shared" si="153"/>
        <v>34684.26</v>
      </c>
      <c r="M509" s="20"/>
      <c r="N509" s="7"/>
      <c r="O509" s="21">
        <f t="shared" si="154"/>
        <v>34684.26</v>
      </c>
      <c r="P509" s="74"/>
      <c r="Q509" s="72">
        <f t="shared" si="150"/>
        <v>34684.26</v>
      </c>
    </row>
    <row r="510" spans="1:17" ht="12.75">
      <c r="A510" s="92" t="s">
        <v>328</v>
      </c>
      <c r="B510" s="278"/>
      <c r="C510" s="108">
        <v>1626</v>
      </c>
      <c r="D510" s="107">
        <f>4000.49+7712</f>
        <v>11712.49</v>
      </c>
      <c r="E510" s="107"/>
      <c r="F510" s="185">
        <f t="shared" si="147"/>
        <v>13338.49</v>
      </c>
      <c r="G510" s="236">
        <f>123.5-85</f>
        <v>38.5</v>
      </c>
      <c r="H510" s="224"/>
      <c r="I510" s="223">
        <f t="shared" si="152"/>
        <v>13376.99</v>
      </c>
      <c r="J510" s="236">
        <f>-770+162+303.5</f>
        <v>-304.5</v>
      </c>
      <c r="K510" s="286"/>
      <c r="L510" s="223">
        <f t="shared" si="153"/>
        <v>13072.49</v>
      </c>
      <c r="M510" s="20"/>
      <c r="N510" s="7"/>
      <c r="O510" s="21">
        <f t="shared" si="154"/>
        <v>13072.49</v>
      </c>
      <c r="P510" s="74"/>
      <c r="Q510" s="72">
        <f t="shared" si="150"/>
        <v>13072.49</v>
      </c>
    </row>
    <row r="511" spans="1:17" ht="12.75">
      <c r="A511" s="31" t="s">
        <v>114</v>
      </c>
      <c r="B511" s="91">
        <v>16</v>
      </c>
      <c r="C511" s="108">
        <f>SUM(C512:C515)</f>
        <v>5000</v>
      </c>
      <c r="D511" s="107">
        <f aca="true" t="shared" si="155" ref="D511:Q511">SUM(D512:D515)</f>
        <v>3835.44</v>
      </c>
      <c r="E511" s="107">
        <f t="shared" si="155"/>
        <v>0</v>
      </c>
      <c r="F511" s="206">
        <f t="shared" si="155"/>
        <v>8835.44</v>
      </c>
      <c r="G511" s="236">
        <f t="shared" si="155"/>
        <v>0</v>
      </c>
      <c r="H511" s="224">
        <f t="shared" si="155"/>
        <v>0</v>
      </c>
      <c r="I511" s="223">
        <f t="shared" si="155"/>
        <v>8835.44</v>
      </c>
      <c r="J511" s="236">
        <f t="shared" si="155"/>
        <v>0</v>
      </c>
      <c r="K511" s="286">
        <f t="shared" si="155"/>
        <v>0</v>
      </c>
      <c r="L511" s="223">
        <f t="shared" si="155"/>
        <v>8835.44</v>
      </c>
      <c r="M511" s="108">
        <f t="shared" si="155"/>
        <v>0</v>
      </c>
      <c r="N511" s="108">
        <f t="shared" si="155"/>
        <v>0</v>
      </c>
      <c r="O511" s="108">
        <f t="shared" si="155"/>
        <v>8835.44</v>
      </c>
      <c r="P511" s="108">
        <f t="shared" si="155"/>
        <v>0</v>
      </c>
      <c r="Q511" s="160">
        <f t="shared" si="155"/>
        <v>8835.44</v>
      </c>
    </row>
    <row r="512" spans="1:17" ht="12.75">
      <c r="A512" s="31" t="s">
        <v>106</v>
      </c>
      <c r="B512" s="91"/>
      <c r="C512" s="108">
        <v>4605</v>
      </c>
      <c r="D512" s="107">
        <f>1485.35+583.42+60</f>
        <v>2128.77</v>
      </c>
      <c r="E512" s="107"/>
      <c r="F512" s="206">
        <f t="shared" si="147"/>
        <v>6733.77</v>
      </c>
      <c r="G512" s="236"/>
      <c r="H512" s="224"/>
      <c r="I512" s="223">
        <f>F512+G512+H512</f>
        <v>6733.77</v>
      </c>
      <c r="J512" s="236"/>
      <c r="K512" s="286"/>
      <c r="L512" s="223">
        <f>I512+J512+K512</f>
        <v>6733.77</v>
      </c>
      <c r="M512" s="20"/>
      <c r="N512" s="7"/>
      <c r="O512" s="21">
        <f>L512+M512+N512</f>
        <v>6733.77</v>
      </c>
      <c r="P512" s="74"/>
      <c r="Q512" s="72">
        <f t="shared" si="150"/>
        <v>6733.77</v>
      </c>
    </row>
    <row r="513" spans="1:17" ht="12.75">
      <c r="A513" s="92" t="s">
        <v>330</v>
      </c>
      <c r="B513" s="91"/>
      <c r="C513" s="108">
        <v>200</v>
      </c>
      <c r="D513" s="107"/>
      <c r="E513" s="107"/>
      <c r="F513" s="206">
        <f t="shared" si="147"/>
        <v>200</v>
      </c>
      <c r="G513" s="236"/>
      <c r="H513" s="224"/>
      <c r="I513" s="223">
        <f>F513+G513+H513</f>
        <v>200</v>
      </c>
      <c r="J513" s="236"/>
      <c r="K513" s="286"/>
      <c r="L513" s="223">
        <f>I513+J513+K513</f>
        <v>200</v>
      </c>
      <c r="M513" s="20"/>
      <c r="N513" s="7"/>
      <c r="O513" s="21">
        <f>L513+M513+N513</f>
        <v>200</v>
      </c>
      <c r="P513" s="74"/>
      <c r="Q513" s="72">
        <f t="shared" si="150"/>
        <v>200</v>
      </c>
    </row>
    <row r="514" spans="1:17" ht="12.75">
      <c r="A514" s="31" t="s">
        <v>108</v>
      </c>
      <c r="B514" s="91"/>
      <c r="C514" s="108">
        <v>6.1</v>
      </c>
      <c r="D514" s="107">
        <f>1902.26-583.42</f>
        <v>1318.8400000000001</v>
      </c>
      <c r="E514" s="107"/>
      <c r="F514" s="206">
        <f t="shared" si="147"/>
        <v>1324.94</v>
      </c>
      <c r="G514" s="236"/>
      <c r="H514" s="224"/>
      <c r="I514" s="223">
        <f>F514+G514+H514</f>
        <v>1324.94</v>
      </c>
      <c r="J514" s="236"/>
      <c r="K514" s="286"/>
      <c r="L514" s="223">
        <f>I514+J514+K514</f>
        <v>1324.94</v>
      </c>
      <c r="M514" s="20"/>
      <c r="N514" s="7"/>
      <c r="O514" s="21">
        <f>L514+M514+N514</f>
        <v>1324.94</v>
      </c>
      <c r="P514" s="74"/>
      <c r="Q514" s="72">
        <f t="shared" si="150"/>
        <v>1324.94</v>
      </c>
    </row>
    <row r="515" spans="1:17" ht="12.75">
      <c r="A515" s="92" t="s">
        <v>328</v>
      </c>
      <c r="B515" s="91"/>
      <c r="C515" s="108">
        <v>188.9</v>
      </c>
      <c r="D515" s="107">
        <f>447.83-60</f>
        <v>387.83</v>
      </c>
      <c r="E515" s="107"/>
      <c r="F515" s="206">
        <f t="shared" si="147"/>
        <v>576.73</v>
      </c>
      <c r="G515" s="236"/>
      <c r="H515" s="224"/>
      <c r="I515" s="223">
        <f>F515+G515+H515</f>
        <v>576.73</v>
      </c>
      <c r="J515" s="236"/>
      <c r="K515" s="286"/>
      <c r="L515" s="223">
        <f>I515+J515+K515</f>
        <v>576.73</v>
      </c>
      <c r="M515" s="20"/>
      <c r="N515" s="7"/>
      <c r="O515" s="21">
        <f>L515+M515+N515</f>
        <v>576.73</v>
      </c>
      <c r="P515" s="74"/>
      <c r="Q515" s="72">
        <f t="shared" si="150"/>
        <v>576.73</v>
      </c>
    </row>
    <row r="516" spans="1:17" ht="12.75">
      <c r="A516" s="31" t="s">
        <v>98</v>
      </c>
      <c r="B516" s="91">
        <v>18</v>
      </c>
      <c r="C516" s="108">
        <f aca="true" t="shared" si="156" ref="C516:L516">C517+C518</f>
        <v>900</v>
      </c>
      <c r="D516" s="107">
        <f t="shared" si="156"/>
        <v>362.28</v>
      </c>
      <c r="E516" s="107">
        <f t="shared" si="156"/>
        <v>0</v>
      </c>
      <c r="F516" s="206">
        <f t="shared" si="156"/>
        <v>1262.28</v>
      </c>
      <c r="G516" s="236">
        <f t="shared" si="156"/>
        <v>0</v>
      </c>
      <c r="H516" s="224">
        <f t="shared" si="156"/>
        <v>0</v>
      </c>
      <c r="I516" s="223">
        <f t="shared" si="156"/>
        <v>1262.28</v>
      </c>
      <c r="J516" s="236">
        <f t="shared" si="156"/>
        <v>0</v>
      </c>
      <c r="K516" s="286">
        <f t="shared" si="156"/>
        <v>0</v>
      </c>
      <c r="L516" s="223">
        <f t="shared" si="156"/>
        <v>1262.28</v>
      </c>
      <c r="M516" s="20"/>
      <c r="N516" s="125"/>
      <c r="O516" s="80"/>
      <c r="P516" s="74"/>
      <c r="Q516" s="72"/>
    </row>
    <row r="517" spans="1:17" ht="12.75">
      <c r="A517" s="31" t="s">
        <v>99</v>
      </c>
      <c r="B517" s="91"/>
      <c r="C517" s="108">
        <v>900</v>
      </c>
      <c r="D517" s="107">
        <f>362.28</f>
        <v>362.28</v>
      </c>
      <c r="E517" s="107"/>
      <c r="F517" s="206">
        <f>C517+D517+E517</f>
        <v>1262.28</v>
      </c>
      <c r="G517" s="236"/>
      <c r="H517" s="224"/>
      <c r="I517" s="223">
        <f>F517+G517+H517</f>
        <v>1262.28</v>
      </c>
      <c r="J517" s="236"/>
      <c r="K517" s="286"/>
      <c r="L517" s="223">
        <f>I517+J517+K517</f>
        <v>1262.28</v>
      </c>
      <c r="M517" s="20"/>
      <c r="N517" s="125"/>
      <c r="O517" s="80"/>
      <c r="P517" s="74"/>
      <c r="Q517" s="72"/>
    </row>
    <row r="518" spans="1:17" ht="12.75" hidden="1">
      <c r="A518" s="31" t="s">
        <v>100</v>
      </c>
      <c r="B518" s="91"/>
      <c r="C518" s="108">
        <v>0</v>
      </c>
      <c r="D518" s="107"/>
      <c r="E518" s="107"/>
      <c r="F518" s="206">
        <f>C518+D518+E518</f>
        <v>0</v>
      </c>
      <c r="G518" s="236"/>
      <c r="H518" s="224"/>
      <c r="I518" s="223"/>
      <c r="J518" s="236"/>
      <c r="K518" s="286"/>
      <c r="L518" s="223"/>
      <c r="M518" s="20"/>
      <c r="N518" s="125"/>
      <c r="O518" s="80"/>
      <c r="P518" s="74"/>
      <c r="Q518" s="72"/>
    </row>
    <row r="519" spans="1:17" ht="12.75">
      <c r="A519" s="92" t="s">
        <v>233</v>
      </c>
      <c r="B519" s="91">
        <v>19</v>
      </c>
      <c r="C519" s="108">
        <f aca="true" t="shared" si="157" ref="C519:L519">C520+C521</f>
        <v>12000</v>
      </c>
      <c r="D519" s="107">
        <f t="shared" si="157"/>
        <v>-9156.52</v>
      </c>
      <c r="E519" s="107">
        <f t="shared" si="157"/>
        <v>0</v>
      </c>
      <c r="F519" s="206">
        <f t="shared" si="157"/>
        <v>2843.4799999999996</v>
      </c>
      <c r="G519" s="236">
        <f t="shared" si="157"/>
        <v>0</v>
      </c>
      <c r="H519" s="224">
        <f t="shared" si="157"/>
        <v>0</v>
      </c>
      <c r="I519" s="223">
        <f t="shared" si="157"/>
        <v>2843.4799999999996</v>
      </c>
      <c r="J519" s="236">
        <f t="shared" si="157"/>
        <v>0</v>
      </c>
      <c r="K519" s="286">
        <f t="shared" si="157"/>
        <v>0</v>
      </c>
      <c r="L519" s="223">
        <f t="shared" si="157"/>
        <v>2843.4799999999996</v>
      </c>
      <c r="M519" s="20"/>
      <c r="N519" s="125"/>
      <c r="O519" s="80"/>
      <c r="P519" s="74"/>
      <c r="Q519" s="72"/>
    </row>
    <row r="520" spans="1:17" ht="12.75">
      <c r="A520" s="31" t="s">
        <v>99</v>
      </c>
      <c r="B520" s="91"/>
      <c r="C520" s="108">
        <v>12000</v>
      </c>
      <c r="D520" s="107">
        <f>11739.88-21071.66</f>
        <v>-9331.78</v>
      </c>
      <c r="E520" s="107"/>
      <c r="F520" s="206">
        <f>C520+D520+E520</f>
        <v>2668.2199999999993</v>
      </c>
      <c r="G520" s="236"/>
      <c r="H520" s="224"/>
      <c r="I520" s="223">
        <f>F520+G520+H520</f>
        <v>2668.2199999999993</v>
      </c>
      <c r="J520" s="236"/>
      <c r="K520" s="286"/>
      <c r="L520" s="223">
        <f>I520+J520+K520</f>
        <v>2668.2199999999993</v>
      </c>
      <c r="M520" s="20"/>
      <c r="N520" s="125"/>
      <c r="O520" s="80"/>
      <c r="P520" s="74"/>
      <c r="Q520" s="72"/>
    </row>
    <row r="521" spans="1:17" ht="12.75">
      <c r="A521" s="92" t="s">
        <v>328</v>
      </c>
      <c r="B521" s="91"/>
      <c r="C521" s="108"/>
      <c r="D521" s="107">
        <f>175.26</f>
        <v>175.26</v>
      </c>
      <c r="E521" s="107"/>
      <c r="F521" s="206">
        <f>C521+D521+E521</f>
        <v>175.26</v>
      </c>
      <c r="G521" s="236"/>
      <c r="H521" s="224"/>
      <c r="I521" s="223">
        <f>F521+G521+H521</f>
        <v>175.26</v>
      </c>
      <c r="J521" s="236"/>
      <c r="K521" s="286"/>
      <c r="L521" s="223">
        <f>I521+J521+K521</f>
        <v>175.26</v>
      </c>
      <c r="M521" s="20"/>
      <c r="N521" s="125"/>
      <c r="O521" s="80"/>
      <c r="P521" s="74"/>
      <c r="Q521" s="72"/>
    </row>
    <row r="522" spans="1:17" ht="12.75">
      <c r="A522" s="31" t="s">
        <v>115</v>
      </c>
      <c r="B522" s="91">
        <v>28</v>
      </c>
      <c r="C522" s="108">
        <f>SUM(C523:C527)</f>
        <v>30000</v>
      </c>
      <c r="D522" s="107">
        <f aca="true" t="shared" si="158" ref="D522:Q522">SUM(D523:D527)</f>
        <v>57475.020000000004</v>
      </c>
      <c r="E522" s="107">
        <f t="shared" si="158"/>
        <v>0</v>
      </c>
      <c r="F522" s="206">
        <f t="shared" si="158"/>
        <v>87475.01999999999</v>
      </c>
      <c r="G522" s="236">
        <f t="shared" si="158"/>
        <v>17000</v>
      </c>
      <c r="H522" s="224">
        <f t="shared" si="158"/>
        <v>0</v>
      </c>
      <c r="I522" s="223">
        <f t="shared" si="158"/>
        <v>104475.01999999999</v>
      </c>
      <c r="J522" s="236">
        <f t="shared" si="158"/>
        <v>0</v>
      </c>
      <c r="K522" s="286">
        <f t="shared" si="158"/>
        <v>0</v>
      </c>
      <c r="L522" s="223">
        <f t="shared" si="158"/>
        <v>104475.01999999999</v>
      </c>
      <c r="M522" s="108">
        <f t="shared" si="158"/>
        <v>0</v>
      </c>
      <c r="N522" s="108">
        <f t="shared" si="158"/>
        <v>0</v>
      </c>
      <c r="O522" s="108">
        <f t="shared" si="158"/>
        <v>104475.01999999999</v>
      </c>
      <c r="P522" s="108">
        <f t="shared" si="158"/>
        <v>0</v>
      </c>
      <c r="Q522" s="160">
        <f t="shared" si="158"/>
        <v>104475.01999999999</v>
      </c>
    </row>
    <row r="523" spans="1:17" ht="12.75">
      <c r="A523" s="31" t="s">
        <v>106</v>
      </c>
      <c r="B523" s="91"/>
      <c r="C523" s="108">
        <v>10460</v>
      </c>
      <c r="D523" s="107">
        <f>6249.29</f>
        <v>6249.29</v>
      </c>
      <c r="E523" s="107"/>
      <c r="F523" s="206">
        <f t="shared" si="147"/>
        <v>16709.29</v>
      </c>
      <c r="G523" s="236"/>
      <c r="H523" s="224"/>
      <c r="I523" s="223">
        <f>F523+G523+H523</f>
        <v>16709.29</v>
      </c>
      <c r="J523" s="236">
        <f>80</f>
        <v>80</v>
      </c>
      <c r="K523" s="286"/>
      <c r="L523" s="223">
        <f>I523+J523+K523</f>
        <v>16789.29</v>
      </c>
      <c r="M523" s="20"/>
      <c r="N523" s="7"/>
      <c r="O523" s="21">
        <f>L523+M523+N523</f>
        <v>16789.29</v>
      </c>
      <c r="P523" s="74"/>
      <c r="Q523" s="72">
        <f t="shared" si="150"/>
        <v>16789.29</v>
      </c>
    </row>
    <row r="524" spans="1:17" ht="12.75">
      <c r="A524" s="92" t="s">
        <v>330</v>
      </c>
      <c r="B524" s="91"/>
      <c r="C524" s="108">
        <v>2150</v>
      </c>
      <c r="D524" s="107">
        <f>555.67</f>
        <v>555.67</v>
      </c>
      <c r="E524" s="107"/>
      <c r="F524" s="206">
        <f t="shared" si="147"/>
        <v>2705.67</v>
      </c>
      <c r="G524" s="236"/>
      <c r="H524" s="224"/>
      <c r="I524" s="223">
        <f>F524+G524+H524</f>
        <v>2705.67</v>
      </c>
      <c r="J524" s="236"/>
      <c r="K524" s="286"/>
      <c r="L524" s="223">
        <f>I524+J524+K524</f>
        <v>2705.67</v>
      </c>
      <c r="M524" s="20"/>
      <c r="N524" s="7"/>
      <c r="O524" s="21">
        <f>L524+M524+N524</f>
        <v>2705.67</v>
      </c>
      <c r="P524" s="74"/>
      <c r="Q524" s="72">
        <f t="shared" si="150"/>
        <v>2705.67</v>
      </c>
    </row>
    <row r="525" spans="1:17" ht="12.75">
      <c r="A525" s="31" t="s">
        <v>116</v>
      </c>
      <c r="B525" s="91"/>
      <c r="C525" s="108">
        <v>11818.34</v>
      </c>
      <c r="D525" s="107">
        <f>54479.44-800+800+1000</f>
        <v>55479.44</v>
      </c>
      <c r="E525" s="107"/>
      <c r="F525" s="206">
        <f t="shared" si="147"/>
        <v>67297.78</v>
      </c>
      <c r="G525" s="236">
        <f>17000</f>
        <v>17000</v>
      </c>
      <c r="H525" s="224"/>
      <c r="I525" s="223">
        <f>F525+G525+H525</f>
        <v>84297.78</v>
      </c>
      <c r="J525" s="236">
        <f>-80</f>
        <v>-80</v>
      </c>
      <c r="K525" s="286"/>
      <c r="L525" s="223">
        <f>I525+J525+K525</f>
        <v>84217.78</v>
      </c>
      <c r="M525" s="20"/>
      <c r="N525" s="7"/>
      <c r="O525" s="21">
        <f>L525+M525+N525</f>
        <v>84217.78</v>
      </c>
      <c r="P525" s="74"/>
      <c r="Q525" s="72">
        <f t="shared" si="150"/>
        <v>84217.78</v>
      </c>
    </row>
    <row r="526" spans="1:17" ht="12.75" hidden="1">
      <c r="A526" s="31" t="s">
        <v>113</v>
      </c>
      <c r="B526" s="91"/>
      <c r="C526" s="108"/>
      <c r="D526" s="107"/>
      <c r="E526" s="107"/>
      <c r="F526" s="206">
        <f t="shared" si="147"/>
        <v>0</v>
      </c>
      <c r="G526" s="236"/>
      <c r="H526" s="224"/>
      <c r="I526" s="223">
        <f>F526+G526+H526</f>
        <v>0</v>
      </c>
      <c r="J526" s="236"/>
      <c r="K526" s="286"/>
      <c r="L526" s="223">
        <f>I526+J526+K526</f>
        <v>0</v>
      </c>
      <c r="M526" s="20"/>
      <c r="N526" s="7"/>
      <c r="O526" s="21">
        <f>L526+M526+N526</f>
        <v>0</v>
      </c>
      <c r="P526" s="74"/>
      <c r="Q526" s="72">
        <f t="shared" si="150"/>
        <v>0</v>
      </c>
    </row>
    <row r="527" spans="1:17" ht="12.75">
      <c r="A527" s="92" t="s">
        <v>328</v>
      </c>
      <c r="B527" s="91"/>
      <c r="C527" s="108">
        <v>5571.66</v>
      </c>
      <c r="D527" s="118">
        <f>46.6-3055.98-800-1000</f>
        <v>-4809.38</v>
      </c>
      <c r="E527" s="107"/>
      <c r="F527" s="206">
        <f t="shared" si="147"/>
        <v>762.2799999999997</v>
      </c>
      <c r="G527" s="236"/>
      <c r="H527" s="224"/>
      <c r="I527" s="223">
        <f>F527+G527+H527</f>
        <v>762.2799999999997</v>
      </c>
      <c r="J527" s="236"/>
      <c r="K527" s="286"/>
      <c r="L527" s="223">
        <f>I527+J527+K527</f>
        <v>762.2799999999997</v>
      </c>
      <c r="M527" s="20"/>
      <c r="N527" s="7"/>
      <c r="O527" s="21">
        <f>L527+M527+N527</f>
        <v>762.2799999999997</v>
      </c>
      <c r="P527" s="74"/>
      <c r="Q527" s="72">
        <f t="shared" si="150"/>
        <v>762.2799999999997</v>
      </c>
    </row>
    <row r="528" spans="1:17" ht="12.75">
      <c r="A528" s="32" t="s">
        <v>117</v>
      </c>
      <c r="B528" s="91"/>
      <c r="C528" s="108">
        <f>C529+C530</f>
        <v>30001</v>
      </c>
      <c r="D528" s="107">
        <f aca="true" t="shared" si="159" ref="D528:Q528">D529+D530</f>
        <v>-4032.2000000000007</v>
      </c>
      <c r="E528" s="107">
        <f t="shared" si="159"/>
        <v>0</v>
      </c>
      <c r="F528" s="206">
        <f t="shared" si="159"/>
        <v>25968.8</v>
      </c>
      <c r="G528" s="236">
        <f t="shared" si="159"/>
        <v>-4500</v>
      </c>
      <c r="H528" s="224">
        <f t="shared" si="159"/>
        <v>0</v>
      </c>
      <c r="I528" s="223">
        <f t="shared" si="159"/>
        <v>21468.8</v>
      </c>
      <c r="J528" s="236">
        <f t="shared" si="159"/>
        <v>-10000</v>
      </c>
      <c r="K528" s="286">
        <f t="shared" si="159"/>
        <v>0</v>
      </c>
      <c r="L528" s="223">
        <f t="shared" si="159"/>
        <v>11468.8</v>
      </c>
      <c r="M528" s="132">
        <f t="shared" si="159"/>
        <v>0</v>
      </c>
      <c r="N528" s="132">
        <f t="shared" si="159"/>
        <v>0</v>
      </c>
      <c r="O528" s="132">
        <f t="shared" si="159"/>
        <v>0</v>
      </c>
      <c r="P528" s="132">
        <f t="shared" si="159"/>
        <v>0</v>
      </c>
      <c r="Q528" s="160">
        <f t="shared" si="159"/>
        <v>0</v>
      </c>
    </row>
    <row r="529" spans="1:17" ht="12.75">
      <c r="A529" s="32" t="s">
        <v>217</v>
      </c>
      <c r="B529" s="91"/>
      <c r="C529" s="108">
        <v>30000</v>
      </c>
      <c r="D529" s="107">
        <f>-5000+150.91+786.12-5000</f>
        <v>-9062.970000000001</v>
      </c>
      <c r="E529" s="107"/>
      <c r="F529" s="206">
        <f t="shared" si="147"/>
        <v>20937.03</v>
      </c>
      <c r="G529" s="236">
        <f>-2500-2000</f>
        <v>-4500</v>
      </c>
      <c r="H529" s="224"/>
      <c r="I529" s="223">
        <f>F529+G529+H529</f>
        <v>16437.03</v>
      </c>
      <c r="J529" s="236">
        <f>-10000</f>
        <v>-10000</v>
      </c>
      <c r="K529" s="286"/>
      <c r="L529" s="223">
        <f>I529+J529+K529</f>
        <v>6437.029999999999</v>
      </c>
      <c r="M529" s="20"/>
      <c r="N529" s="7"/>
      <c r="O529" s="21"/>
      <c r="P529" s="74"/>
      <c r="Q529" s="72"/>
    </row>
    <row r="530" spans="1:17" ht="12.75">
      <c r="A530" s="35" t="s">
        <v>331</v>
      </c>
      <c r="B530" s="94"/>
      <c r="C530" s="186">
        <v>1</v>
      </c>
      <c r="D530" s="115">
        <f>30.77+5000</f>
        <v>5030.77</v>
      </c>
      <c r="E530" s="115"/>
      <c r="F530" s="211">
        <f t="shared" si="147"/>
        <v>5031.77</v>
      </c>
      <c r="G530" s="235"/>
      <c r="H530" s="253"/>
      <c r="I530" s="231">
        <f>F530+G530+H530</f>
        <v>5031.77</v>
      </c>
      <c r="J530" s="235"/>
      <c r="K530" s="289"/>
      <c r="L530" s="223">
        <f>I530+J530+K530</f>
        <v>5031.77</v>
      </c>
      <c r="M530" s="20"/>
      <c r="N530" s="7"/>
      <c r="O530" s="21"/>
      <c r="P530" s="74"/>
      <c r="Q530" s="72"/>
    </row>
    <row r="531" spans="1:17" ht="13.5" thickBot="1">
      <c r="A531" s="45" t="s">
        <v>118</v>
      </c>
      <c r="B531" s="95"/>
      <c r="C531" s="109">
        <v>10017.35</v>
      </c>
      <c r="D531" s="107">
        <f>140.83</f>
        <v>140.83</v>
      </c>
      <c r="E531" s="110"/>
      <c r="F531" s="207">
        <f t="shared" si="147"/>
        <v>10158.18</v>
      </c>
      <c r="G531" s="266"/>
      <c r="H531" s="224">
        <f>7978.14</f>
        <v>7978.14</v>
      </c>
      <c r="I531" s="225">
        <f>SUM(F531:H531)</f>
        <v>18136.32</v>
      </c>
      <c r="J531" s="266"/>
      <c r="K531" s="288"/>
      <c r="L531" s="299">
        <f>SUM(I531:K531)</f>
        <v>18136.32</v>
      </c>
      <c r="M531" s="22"/>
      <c r="N531" s="8"/>
      <c r="O531" s="23">
        <f>SUM(L531:N531)</f>
        <v>18136.32</v>
      </c>
      <c r="P531" s="75"/>
      <c r="Q531" s="26">
        <f>O531+P531</f>
        <v>18136.32</v>
      </c>
    </row>
    <row r="532" spans="1:17" ht="15.75" thickBot="1">
      <c r="A532" s="46" t="s">
        <v>119</v>
      </c>
      <c r="B532" s="98"/>
      <c r="C532" s="191">
        <f aca="true" t="shared" si="160" ref="C532:K532">+C82+C101+C108+C119+C137+C149+C179+C230+C250+C279+C301+C384+C416+C437+C444+C475+C479+C531+C451+C323+C272</f>
        <v>5545486.969999999</v>
      </c>
      <c r="D532" s="120">
        <f t="shared" si="160"/>
        <v>4823153.089999999</v>
      </c>
      <c r="E532" s="120">
        <f t="shared" si="160"/>
        <v>64846</v>
      </c>
      <c r="F532" s="214">
        <f t="shared" si="160"/>
        <v>10433486.06</v>
      </c>
      <c r="G532" s="270">
        <f t="shared" si="160"/>
        <v>9828495.730000004</v>
      </c>
      <c r="H532" s="257">
        <f t="shared" si="160"/>
        <v>116743.29</v>
      </c>
      <c r="I532" s="238">
        <f t="shared" si="160"/>
        <v>20378725.079999994</v>
      </c>
      <c r="J532" s="270">
        <f t="shared" si="160"/>
        <v>986724.21</v>
      </c>
      <c r="K532" s="300">
        <f t="shared" si="160"/>
        <v>41909.78</v>
      </c>
      <c r="L532" s="238">
        <f>+L82+L101+L108+L119+L137+L149+L179+L230+L250+L279+L301+L384+L416+L437+L444+L475+L479+L531+L451+L323+L272</f>
        <v>21407359.069999997</v>
      </c>
      <c r="M532" s="135" t="e">
        <f>+M82+M108+M119+M137+M149+M179+M230+M250+M279+M301+M384+M416+M437+M444+M475+M479+M531+M451+M323</f>
        <v>#REF!</v>
      </c>
      <c r="N532" s="135" t="e">
        <f>+N82+N108+N119+N137+N149+N179+N230+N250+N279+N301+N384+N416+N437+N444+N475+N479+N531+N451+N323</f>
        <v>#REF!</v>
      </c>
      <c r="O532" s="135" t="e">
        <f>+O82+O108+O119+O137+O149+O179+O230+O250+O279+O301+O384+O416+O437+O444+O475+O479+O531+O451+O323</f>
        <v>#REF!</v>
      </c>
      <c r="P532" s="135" t="e">
        <f>+P82+P108+P119+P137+P149+P179+P230+P250+P279+P301+P384+P416+P437+P444+P475+P479+P531+P451+P323</f>
        <v>#REF!</v>
      </c>
      <c r="Q532" s="167" t="e">
        <f>+Q82+Q108+Q119+Q137+Q149+Q179+Q230+Q250+Q279+Q301+Q384+Q416+Q437+Q444+Q475+Q479+Q531+Q451+Q323</f>
        <v>#REF!</v>
      </c>
    </row>
    <row r="533" spans="1:17" ht="13.5" thickBot="1">
      <c r="A533" s="47" t="s">
        <v>120</v>
      </c>
      <c r="B533" s="98"/>
      <c r="C533" s="192">
        <v>-10017.35</v>
      </c>
      <c r="D533" s="157">
        <f>-140.83</f>
        <v>-140.83</v>
      </c>
      <c r="E533" s="193"/>
      <c r="F533" s="215">
        <f t="shared" si="147"/>
        <v>-10158.18</v>
      </c>
      <c r="G533" s="271"/>
      <c r="H533" s="258"/>
      <c r="I533" s="225">
        <f>SUM(F533:H533)</f>
        <v>-10158.18</v>
      </c>
      <c r="J533" s="271"/>
      <c r="K533" s="301"/>
      <c r="L533" s="299">
        <f>SUM(I533:K533)</f>
        <v>-10158.18</v>
      </c>
      <c r="M533" s="144"/>
      <c r="N533" s="144"/>
      <c r="O533" s="144"/>
      <c r="P533" s="144"/>
      <c r="Q533" s="168"/>
    </row>
    <row r="534" spans="1:17" ht="16.5" thickBot="1">
      <c r="A534" s="48" t="s">
        <v>121</v>
      </c>
      <c r="B534" s="98"/>
      <c r="C534" s="194">
        <f aca="true" t="shared" si="161" ref="C534:Q534">C532+C533</f>
        <v>5535469.619999999</v>
      </c>
      <c r="D534" s="112">
        <f t="shared" si="161"/>
        <v>4823012.259999999</v>
      </c>
      <c r="E534" s="195">
        <f t="shared" si="161"/>
        <v>64846</v>
      </c>
      <c r="F534" s="216">
        <f t="shared" si="161"/>
        <v>10423327.88</v>
      </c>
      <c r="G534" s="272">
        <f t="shared" si="161"/>
        <v>9828495.730000004</v>
      </c>
      <c r="H534" s="259">
        <f t="shared" si="161"/>
        <v>116743.29</v>
      </c>
      <c r="I534" s="239">
        <f t="shared" si="161"/>
        <v>20368566.899999995</v>
      </c>
      <c r="J534" s="272">
        <f>J532+J533</f>
        <v>986724.21</v>
      </c>
      <c r="K534" s="302">
        <f>K532+K533</f>
        <v>41909.78</v>
      </c>
      <c r="L534" s="239">
        <f>L532+L533</f>
        <v>21397200.889999997</v>
      </c>
      <c r="M534" s="145" t="e">
        <f t="shared" si="161"/>
        <v>#REF!</v>
      </c>
      <c r="N534" s="145" t="e">
        <f t="shared" si="161"/>
        <v>#REF!</v>
      </c>
      <c r="O534" s="145" t="e">
        <f t="shared" si="161"/>
        <v>#REF!</v>
      </c>
      <c r="P534" s="145" t="e">
        <f t="shared" si="161"/>
        <v>#REF!</v>
      </c>
      <c r="Q534" s="169" t="e">
        <f t="shared" si="161"/>
        <v>#REF!</v>
      </c>
    </row>
    <row r="535" spans="1:17" ht="15.75">
      <c r="A535" s="49" t="s">
        <v>26</v>
      </c>
      <c r="B535" s="99"/>
      <c r="C535" s="196"/>
      <c r="D535" s="121"/>
      <c r="E535" s="121"/>
      <c r="F535" s="217"/>
      <c r="G535" s="273"/>
      <c r="H535" s="260"/>
      <c r="I535" s="240"/>
      <c r="J535" s="273"/>
      <c r="K535" s="303"/>
      <c r="L535" s="240"/>
      <c r="M535" s="146"/>
      <c r="N535" s="146"/>
      <c r="O535" s="146"/>
      <c r="P535" s="146"/>
      <c r="Q535" s="170"/>
    </row>
    <row r="536" spans="1:18" ht="15.75">
      <c r="A536" s="50" t="s">
        <v>206</v>
      </c>
      <c r="B536" s="100"/>
      <c r="C536" s="197">
        <f>+C83+C102+C109+C120+C138+C150+C180+C231+C251+C280+C302+C385+C417+C438+C445+C476+C481+C531+C533+C452+C324+C273</f>
        <v>4176459.8700000006</v>
      </c>
      <c r="D536" s="182">
        <f>+D83+D102+D109+D120+D138+D150+D180+D231+D251+D280+D302+D385+D417+D438+D445+D476+D481+D531+D533+D452+D324+D273</f>
        <v>2697583.0799999996</v>
      </c>
      <c r="E536" s="182">
        <f>+E83+E102+E109+E120+E138+E150+E180+E231+E251+E280+E302+E385+E417+E438+E445+E476+E481+E531+E533+E452+E324+E273</f>
        <v>17787.23</v>
      </c>
      <c r="F536" s="218">
        <f>+F83+F102+F109+F120+F138+F150+F180+F231+F251+F280+F302+F385+F417+F438+F445+F476+F481+F531+F533+F452+F324+F273</f>
        <v>6891830.179999998</v>
      </c>
      <c r="G536" s="274">
        <f aca="true" t="shared" si="162" ref="G536:Q536">+G83+G109+G120+G138+G150+G180+G231+G251+G280+G302+G385+G417+G438+G445+G476+G481+G531+G533+G452+G324</f>
        <v>8963906.460000005</v>
      </c>
      <c r="H536" s="261">
        <f t="shared" si="162"/>
        <v>75099.20000000001</v>
      </c>
      <c r="I536" s="241">
        <f t="shared" si="162"/>
        <v>15884437.099999998</v>
      </c>
      <c r="J536" s="274">
        <f>+J83+J109+J120+J138+J150+J180+J231+J251+J280+J302+J385+J417+J438+J445+J476+J481+J531+J533+J452+J324</f>
        <v>759928.2799999998</v>
      </c>
      <c r="K536" s="304">
        <f>+K83+K109+K120+K138+K150+K180+K231+K251+K280+K302+K385+K417+K438+K445+K476+K481+K531+K533+K452+K324</f>
        <v>10010.37</v>
      </c>
      <c r="L536" s="241">
        <f>+L83+L109+L120+L138+L150+L180+L231+L251+L280+L302+L385+L417+L438+L445+L476+L481+L531+L533+L452+L324+L102+L273</f>
        <v>16687887.809999999</v>
      </c>
      <c r="M536" s="147">
        <f t="shared" si="162"/>
        <v>0</v>
      </c>
      <c r="N536" s="147">
        <f t="shared" si="162"/>
        <v>0</v>
      </c>
      <c r="O536" s="147">
        <f t="shared" si="162"/>
        <v>5756543.860000001</v>
      </c>
      <c r="P536" s="147">
        <f t="shared" si="162"/>
        <v>0</v>
      </c>
      <c r="Q536" s="171">
        <f t="shared" si="162"/>
        <v>5756543.860000001</v>
      </c>
      <c r="R536" s="321"/>
    </row>
    <row r="537" spans="1:18" ht="16.5" thickBot="1">
      <c r="A537" s="37" t="s">
        <v>207</v>
      </c>
      <c r="B537" s="101"/>
      <c r="C537" s="198">
        <f>+C91+C105+C116+C132+C143+C169+C221+C243+C266+C294+C319+C411+C428+C441+C482+C465+C350+C276</f>
        <v>1359009.75</v>
      </c>
      <c r="D537" s="183">
        <f>+D91+D105+D116+D132+D143+D169+D221+D243+D266+D294+D319+D411+D428+D441+D482+D465+D350+D276</f>
        <v>2125429.1799999997</v>
      </c>
      <c r="E537" s="183">
        <f>+E91+E105+E116+E132+E143+E169+E221+E243+E266+E294+E319+E411+E428+E441+E482+E465+E350+E276</f>
        <v>100757.55</v>
      </c>
      <c r="F537" s="219">
        <f>+F91+F105+F116+F132+F143+F169+F221+F243+F266+F294+F319+F411+F428+F441+F482+F465+F350+F276</f>
        <v>3531497.7</v>
      </c>
      <c r="G537" s="275">
        <f aca="true" t="shared" si="163" ref="G537:Q537">+G91+G116+G132+G143+G169+G221+G243+G266+G294+G319+G411+G428+G441+G482+G465+G350</f>
        <v>879089.27</v>
      </c>
      <c r="H537" s="262">
        <f t="shared" si="163"/>
        <v>41644.090000000004</v>
      </c>
      <c r="I537" s="242">
        <f t="shared" si="163"/>
        <v>4452231.06</v>
      </c>
      <c r="J537" s="275">
        <f>+J91+J116+J132+J143+J169+J221+J243+J266+J294+J319+J411+J428+J441+J482+J465+J350</f>
        <v>225182.61000000002</v>
      </c>
      <c r="K537" s="305">
        <f>+K91+K116+K132+K143+K169+K221+K243+K266+K294+K319+K411+K428+K441+K482+K465+K350</f>
        <v>31899.41</v>
      </c>
      <c r="L537" s="242">
        <f>+L91+L116+L132+L143+L169+L221+L243+L266+L294+L319+L411+L428+L441+L482+L465+L350</f>
        <v>4709313.08</v>
      </c>
      <c r="M537" s="148" t="e">
        <f t="shared" si="163"/>
        <v>#REF!</v>
      </c>
      <c r="N537" s="148" t="e">
        <f t="shared" si="163"/>
        <v>#REF!</v>
      </c>
      <c r="O537" s="148" t="e">
        <f t="shared" si="163"/>
        <v>#REF!</v>
      </c>
      <c r="P537" s="148" t="e">
        <f t="shared" si="163"/>
        <v>#REF!</v>
      </c>
      <c r="Q537" s="172" t="e">
        <f t="shared" si="163"/>
        <v>#REF!</v>
      </c>
      <c r="R537" s="321"/>
    </row>
    <row r="538" spans="1:17" ht="16.5" thickBot="1">
      <c r="A538" s="50" t="s">
        <v>200</v>
      </c>
      <c r="B538" s="100"/>
      <c r="C538" s="191">
        <f aca="true" t="shared" si="164" ref="C538:Q538">C80-C534</f>
        <v>-419999.99999999907</v>
      </c>
      <c r="D538" s="120">
        <f t="shared" si="164"/>
        <v>-2810061.259999999</v>
      </c>
      <c r="E538" s="120">
        <f t="shared" si="164"/>
        <v>-32680.3</v>
      </c>
      <c r="F538" s="214">
        <f t="shared" si="164"/>
        <v>-3262741.5600000005</v>
      </c>
      <c r="G538" s="270">
        <f t="shared" si="164"/>
        <v>-4962.340000003576</v>
      </c>
      <c r="H538" s="257">
        <f t="shared" si="164"/>
        <v>-81541.92</v>
      </c>
      <c r="I538" s="238">
        <f t="shared" si="164"/>
        <v>-3349245.8199999966</v>
      </c>
      <c r="J538" s="270">
        <f>J80-J534</f>
        <v>0</v>
      </c>
      <c r="K538" s="300">
        <f>K80-K534</f>
        <v>0</v>
      </c>
      <c r="L538" s="238">
        <f>L80-L534</f>
        <v>-3349245.8200000003</v>
      </c>
      <c r="M538" s="135" t="e">
        <f t="shared" si="164"/>
        <v>#REF!</v>
      </c>
      <c r="N538" s="135" t="e">
        <f t="shared" si="164"/>
        <v>#REF!</v>
      </c>
      <c r="O538" s="135" t="e">
        <f t="shared" si="164"/>
        <v>#REF!</v>
      </c>
      <c r="P538" s="135" t="e">
        <f t="shared" si="164"/>
        <v>#REF!</v>
      </c>
      <c r="Q538" s="167" t="e">
        <f t="shared" si="164"/>
        <v>#REF!</v>
      </c>
    </row>
    <row r="539" spans="1:17" ht="15.75">
      <c r="A539" s="49" t="s">
        <v>208</v>
      </c>
      <c r="B539" s="99"/>
      <c r="C539" s="196">
        <f>SUM(C541:C544)</f>
        <v>420000</v>
      </c>
      <c r="D539" s="121">
        <f aca="true" t="shared" si="165" ref="D539:Q539">SUM(D541:D544)</f>
        <v>2810061.2600000002</v>
      </c>
      <c r="E539" s="121">
        <f t="shared" si="165"/>
        <v>32680.3</v>
      </c>
      <c r="F539" s="217">
        <f t="shared" si="165"/>
        <v>3262741.56</v>
      </c>
      <c r="G539" s="273">
        <f t="shared" si="165"/>
        <v>4962.34</v>
      </c>
      <c r="H539" s="260">
        <f t="shared" si="165"/>
        <v>81541.92</v>
      </c>
      <c r="I539" s="240">
        <f t="shared" si="165"/>
        <v>3349245.82</v>
      </c>
      <c r="J539" s="273">
        <f t="shared" si="165"/>
        <v>0</v>
      </c>
      <c r="K539" s="303">
        <f t="shared" si="165"/>
        <v>0</v>
      </c>
      <c r="L539" s="240">
        <f t="shared" si="165"/>
        <v>3349245.82</v>
      </c>
      <c r="M539" s="127">
        <f t="shared" si="165"/>
        <v>0</v>
      </c>
      <c r="N539" s="127">
        <f t="shared" si="165"/>
        <v>0</v>
      </c>
      <c r="O539" s="127">
        <f t="shared" si="165"/>
        <v>3349245.82</v>
      </c>
      <c r="P539" s="127">
        <f t="shared" si="165"/>
        <v>0</v>
      </c>
      <c r="Q539" s="173">
        <f t="shared" si="165"/>
        <v>3349245.82</v>
      </c>
    </row>
    <row r="540" spans="1:17" ht="12.75" customHeight="1">
      <c r="A540" s="51" t="s">
        <v>26</v>
      </c>
      <c r="B540" s="102"/>
      <c r="C540" s="199"/>
      <c r="D540" s="122"/>
      <c r="E540" s="122"/>
      <c r="F540" s="220"/>
      <c r="G540" s="276"/>
      <c r="H540" s="263"/>
      <c r="I540" s="243"/>
      <c r="J540" s="276"/>
      <c r="K540" s="293"/>
      <c r="L540" s="243"/>
      <c r="M540" s="13"/>
      <c r="N540" s="10"/>
      <c r="O540" s="59"/>
      <c r="P540" s="74"/>
      <c r="Q540" s="72"/>
    </row>
    <row r="541" spans="1:17" ht="14.25">
      <c r="A541" s="51" t="s">
        <v>122</v>
      </c>
      <c r="B541" s="102"/>
      <c r="C541" s="200">
        <v>600000</v>
      </c>
      <c r="D541" s="141"/>
      <c r="E541" s="141"/>
      <c r="F541" s="221">
        <f>SUM(C541:E541)</f>
        <v>600000</v>
      </c>
      <c r="G541" s="277"/>
      <c r="H541" s="264"/>
      <c r="I541" s="244">
        <f>SUM(F541:H541)</f>
        <v>600000</v>
      </c>
      <c r="J541" s="277"/>
      <c r="K541" s="294"/>
      <c r="L541" s="244">
        <f>SUM(I541:K541)</f>
        <v>600000</v>
      </c>
      <c r="M541" s="14"/>
      <c r="N541" s="11"/>
      <c r="O541" s="59">
        <f>SUM(L541:N541)</f>
        <v>600000</v>
      </c>
      <c r="P541" s="74"/>
      <c r="Q541" s="72">
        <f t="shared" si="150"/>
        <v>600000</v>
      </c>
    </row>
    <row r="542" spans="1:17" ht="14.25">
      <c r="A542" s="52" t="s">
        <v>128</v>
      </c>
      <c r="B542" s="102"/>
      <c r="C542" s="200">
        <v>-180000</v>
      </c>
      <c r="D542" s="141"/>
      <c r="E542" s="141"/>
      <c r="F542" s="221">
        <f>SUM(C542:E542)</f>
        <v>-180000</v>
      </c>
      <c r="G542" s="277"/>
      <c r="H542" s="264"/>
      <c r="I542" s="244">
        <f>SUM(F542:H542)</f>
        <v>-180000</v>
      </c>
      <c r="J542" s="277"/>
      <c r="K542" s="294"/>
      <c r="L542" s="244">
        <f>SUM(I542:K542)</f>
        <v>-180000</v>
      </c>
      <c r="M542" s="14"/>
      <c r="N542" s="11"/>
      <c r="O542" s="59">
        <f>SUM(L542:N542)</f>
        <v>-180000</v>
      </c>
      <c r="P542" s="74"/>
      <c r="Q542" s="72">
        <f t="shared" si="150"/>
        <v>-180000</v>
      </c>
    </row>
    <row r="543" spans="1:17" ht="15" thickBot="1">
      <c r="A543" s="52" t="s">
        <v>123</v>
      </c>
      <c r="B543" s="281"/>
      <c r="C543" s="200"/>
      <c r="D543" s="141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43" s="141">
        <f>1571.6+15730+11250+1644+2484.7</f>
        <v>32680.3</v>
      </c>
      <c r="F543" s="221">
        <f>SUM(C543:E543)</f>
        <v>2842741.56</v>
      </c>
      <c r="G543" s="282">
        <f>4638.54+323.8</f>
        <v>4962.34</v>
      </c>
      <c r="H543" s="283">
        <f>10709.3+8436+54418.48</f>
        <v>73563.78</v>
      </c>
      <c r="I543" s="244">
        <f>SUM(F543:H543)</f>
        <v>2921267.6799999997</v>
      </c>
      <c r="J543" s="277"/>
      <c r="K543" s="294"/>
      <c r="L543" s="244">
        <f>SUM(I543:K543)</f>
        <v>2921267.6799999997</v>
      </c>
      <c r="M543" s="63"/>
      <c r="N543" s="12"/>
      <c r="O543" s="61">
        <f>SUM(L543:N543)</f>
        <v>2921267.6799999997</v>
      </c>
      <c r="P543" s="76"/>
      <c r="Q543" s="73">
        <f t="shared" si="150"/>
        <v>2921267.6799999997</v>
      </c>
    </row>
    <row r="544" spans="1:18" ht="15" thickBot="1">
      <c r="A544" s="64" t="s">
        <v>138</v>
      </c>
      <c r="B544" s="103"/>
      <c r="C544" s="149"/>
      <c r="D544" s="142" t="s">
        <v>183</v>
      </c>
      <c r="E544" s="176"/>
      <c r="F544" s="284">
        <f>SUM(C544:E544)</f>
        <v>0</v>
      </c>
      <c r="G544" s="245"/>
      <c r="H544" s="246">
        <f>7978.14</f>
        <v>7978.14</v>
      </c>
      <c r="I544" s="247">
        <f>SUM(F544:H544)</f>
        <v>7978.14</v>
      </c>
      <c r="J544" s="308">
        <v>0</v>
      </c>
      <c r="K544" s="295">
        <v>0</v>
      </c>
      <c r="L544" s="247">
        <f>SUM(I544:K544)</f>
        <v>7978.14</v>
      </c>
      <c r="M544" s="63"/>
      <c r="N544" s="12"/>
      <c r="O544" s="61">
        <f>SUM(L544:N544)</f>
        <v>7978.14</v>
      </c>
      <c r="P544" s="76"/>
      <c r="Q544" s="73">
        <f t="shared" si="150"/>
        <v>7978.14</v>
      </c>
      <c r="R544" s="134"/>
    </row>
    <row r="545" spans="2:17" ht="12.75">
      <c r="B545" s="104"/>
      <c r="C545" s="119">
        <f aca="true" t="shared" si="166" ref="C545:Q545">C80+C539-C534</f>
        <v>0</v>
      </c>
      <c r="D545" s="119">
        <f t="shared" si="166"/>
        <v>0</v>
      </c>
      <c r="E545" s="119">
        <f t="shared" si="166"/>
        <v>0</v>
      </c>
      <c r="F545" s="119">
        <f t="shared" si="166"/>
        <v>0</v>
      </c>
      <c r="G545" s="119">
        <f t="shared" si="166"/>
        <v>0</v>
      </c>
      <c r="H545" s="134">
        <f t="shared" si="166"/>
        <v>0</v>
      </c>
      <c r="I545" s="134">
        <f t="shared" si="166"/>
        <v>0</v>
      </c>
      <c r="J545" s="134">
        <f t="shared" si="166"/>
        <v>0</v>
      </c>
      <c r="K545" s="134">
        <f t="shared" si="166"/>
        <v>0</v>
      </c>
      <c r="L545" s="134">
        <f t="shared" si="166"/>
        <v>0</v>
      </c>
      <c r="M545" s="62" t="e">
        <f t="shared" si="166"/>
        <v>#REF!</v>
      </c>
      <c r="N545" s="62" t="e">
        <f t="shared" si="166"/>
        <v>#REF!</v>
      </c>
      <c r="O545" s="62" t="e">
        <f t="shared" si="166"/>
        <v>#REF!</v>
      </c>
      <c r="P545" s="62" t="e">
        <f t="shared" si="166"/>
        <v>#REF!</v>
      </c>
      <c r="Q545" s="62" t="e">
        <f t="shared" si="166"/>
        <v>#REF!</v>
      </c>
    </row>
    <row r="546" spans="2:16" ht="12.75">
      <c r="B546" s="104"/>
      <c r="J546" s="134"/>
      <c r="K546" s="134"/>
      <c r="L546" s="134"/>
      <c r="P546" s="62"/>
    </row>
    <row r="547" spans="2:16" ht="12.75">
      <c r="B547" s="104"/>
      <c r="D547" s="134"/>
      <c r="P547" s="62"/>
    </row>
    <row r="548" spans="2:16" ht="12.75">
      <c r="B548" s="104"/>
      <c r="P548" s="62"/>
    </row>
    <row r="549" spans="2:16" ht="12.75">
      <c r="B549" s="104"/>
      <c r="P549" s="62"/>
    </row>
    <row r="550" spans="2:16" ht="12.75">
      <c r="B550" s="104"/>
      <c r="P550" s="62"/>
    </row>
    <row r="551" spans="2:16" ht="12.75">
      <c r="B551" s="104"/>
      <c r="P551" s="62"/>
    </row>
    <row r="552" spans="2:16" ht="12.75">
      <c r="B552" s="104"/>
      <c r="P552" s="62"/>
    </row>
    <row r="553" spans="2:16" ht="12.75">
      <c r="B553" s="104"/>
      <c r="P553" s="62"/>
    </row>
    <row r="554" spans="2:16" ht="12.75">
      <c r="B554" s="104"/>
      <c r="P554" s="62"/>
    </row>
    <row r="555" spans="2:16" ht="12.75">
      <c r="B555" s="104"/>
      <c r="P555" s="62"/>
    </row>
    <row r="556" spans="2:16" ht="12.75">
      <c r="B556" s="104"/>
      <c r="P556" s="62"/>
    </row>
    <row r="557" spans="2:16" ht="12.75">
      <c r="B557" s="104"/>
      <c r="P557" s="62"/>
    </row>
    <row r="558" spans="2:16" ht="12.75">
      <c r="B558" s="104"/>
      <c r="P558" s="62"/>
    </row>
    <row r="559" spans="2:16" ht="12.75">
      <c r="B559" s="104"/>
      <c r="P559" s="62"/>
    </row>
    <row r="560" spans="2:16" ht="12.75">
      <c r="B560" s="104"/>
      <c r="P560" s="62"/>
    </row>
    <row r="561" spans="2:16" ht="12.75">
      <c r="B561" s="104"/>
      <c r="P561" s="62"/>
    </row>
    <row r="562" spans="2:16" ht="12.75">
      <c r="B562" s="104"/>
      <c r="P562" s="62"/>
    </row>
    <row r="563" spans="2:16" ht="12.75">
      <c r="B563" s="104"/>
      <c r="P563" s="62"/>
    </row>
    <row r="564" spans="2:16" ht="12.75">
      <c r="B564" s="104"/>
      <c r="P564" s="62"/>
    </row>
    <row r="565" ht="12.75">
      <c r="P565" s="62"/>
    </row>
    <row r="566" ht="12.75">
      <c r="P566" s="62"/>
    </row>
    <row r="567" ht="12.75">
      <c r="P567" s="62"/>
    </row>
    <row r="568" ht="12.75">
      <c r="P568" s="62"/>
    </row>
    <row r="569" ht="12.75">
      <c r="P569" s="62"/>
    </row>
    <row r="570" ht="12.75">
      <c r="P570" s="62"/>
    </row>
    <row r="571" ht="12.75">
      <c r="P571" s="62"/>
    </row>
    <row r="572" ht="12.75">
      <c r="P572" s="62"/>
    </row>
    <row r="573" ht="12.75">
      <c r="P573" s="62"/>
    </row>
    <row r="574" ht="12.75">
      <c r="P574" s="62"/>
    </row>
    <row r="575" ht="12.75">
      <c r="P575" s="62"/>
    </row>
    <row r="576" ht="12.75">
      <c r="P576" s="62"/>
    </row>
    <row r="577" ht="12.75">
      <c r="P577" s="62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937007874015748"/>
  <pageSetup horizontalDpi="600" verticalDpi="600" orientation="portrait" paperSize="9" scale="80" r:id="rId1"/>
  <headerFooter alignWithMargins="0">
    <oddFooter>&amp;CStránka &amp;P</oddFooter>
  </headerFooter>
  <rowBreaks count="5" manualBreakCount="5">
    <brk id="90" max="11" man="1"/>
    <brk id="208" max="11" man="1"/>
    <brk id="300" max="11" man="1"/>
    <brk id="395" max="11" man="1"/>
    <brk id="4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2022-09-29T05:27:44Z</cp:lastPrinted>
  <dcterms:created xsi:type="dcterms:W3CDTF">2009-01-05T12:05:07Z</dcterms:created>
  <dcterms:modified xsi:type="dcterms:W3CDTF">2022-09-29T05:27:48Z</dcterms:modified>
  <cp:category/>
  <cp:version/>
  <cp:contentType/>
  <cp:contentStatus/>
</cp:coreProperties>
</file>