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68" windowHeight="5256" activeTab="1"/>
  </bookViews>
  <sheets>
    <sheet name="4.ZR " sheetId="1" r:id="rId1"/>
    <sheet name="4.ZR vč. PN" sheetId="2" r:id="rId2"/>
  </sheets>
  <definedNames>
    <definedName name="_xlnm.Print_Titles" localSheetId="0">'4.ZR '!$8:$9</definedName>
    <definedName name="_xlnm.Print_Titles" localSheetId="1">'4.ZR vč. PN'!$8:$9</definedName>
    <definedName name="_xlnm.Print_Area" localSheetId="0">'4.ZR '!$A$1:$O$558</definedName>
    <definedName name="_xlnm.Print_Area" localSheetId="1">'4.ZR vč. PN'!$A$1:$O$558</definedName>
    <definedName name="Z_39FD50E0_9911_4D32_8842_5A58F13D310F_.wvu.Cols" localSheetId="0" hidden="1">'4.ZR '!$D:$K,'4.ZR '!$N:$N,'4.ZR '!#REF!</definedName>
    <definedName name="Z_39FD50E0_9911_4D32_8842_5A58F13D310F_.wvu.Cols" localSheetId="1" hidden="1">'4.ZR vč. PN'!$D:$K,'4.ZR vč. PN'!$N:$N,'4.ZR vč. PN'!#REF!</definedName>
    <definedName name="Z_39FD50E0_9911_4D32_8842_5A58F13D310F_.wvu.PrintTitles" localSheetId="0" hidden="1">'4.ZR '!$8:$9</definedName>
    <definedName name="Z_39FD50E0_9911_4D32_8842_5A58F13D310F_.wvu.PrintTitles" localSheetId="1" hidden="1">'4.ZR vč. PN'!$8:$9</definedName>
    <definedName name="Z_39FD50E0_9911_4D32_8842_5A58F13D310F_.wvu.Rows" localSheetId="0" hidden="1">'4.ZR '!#REF!</definedName>
    <definedName name="Z_39FD50E0_9911_4D32_8842_5A58F13D310F_.wvu.Rows" localSheetId="1" hidden="1">'4.ZR vč. PN'!#REF!</definedName>
  </definedNames>
  <calcPr fullCalcOnLoad="1"/>
</workbook>
</file>

<file path=xl/sharedStrings.xml><?xml version="1.0" encoding="utf-8"?>
<sst xmlns="http://schemas.openxmlformats.org/spreadsheetml/2006/main" count="1190" uniqueCount="380">
  <si>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</si>
  <si>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</si>
  <si>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</si>
  <si>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</si>
  <si>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</si>
  <si>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</si>
  <si>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</si>
  <si>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</si>
  <si>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</si>
  <si>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</si>
  <si>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</si>
  <si>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</si>
  <si>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</si>
  <si>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</si>
  <si>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</si>
  <si>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</si>
  <si>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</si>
  <si>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</si>
  <si>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</si>
  <si>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</si>
  <si>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</si>
  <si>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</si>
  <si>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</si>
  <si>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</si>
  <si>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</si>
  <si>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</si>
  <si>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</si>
  <si>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</si>
  <si>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</si>
  <si>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</si>
  <si>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</si>
  <si>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</si>
  <si>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</si>
  <si>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</si>
  <si>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</si>
  <si>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</si>
  <si>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</si>
  <si>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</si>
  <si>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</si>
  <si>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</si>
  <si>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</si>
  <si>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</si>
  <si>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</si>
  <si>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</si>
  <si>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</si>
  <si>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</si>
  <si>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</si>
  <si>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</si>
  <si>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</si>
  <si>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</si>
  <si>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</si>
  <si>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</si>
  <si>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</si>
  <si>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</si>
  <si>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</si>
  <si>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</si>
  <si>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</si>
  <si>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</si>
  <si>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</si>
  <si>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</si>
  <si>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</si>
  <si>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</si>
  <si>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</si>
  <si>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</si>
  <si>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</si>
  <si>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</si>
  <si>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</si>
  <si>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</si>
  <si>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</si>
  <si>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</si>
  <si>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</si>
  <si>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</si>
  <si>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</si>
  <si>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</si>
  <si>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</si>
  <si>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</si>
  <si>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</si>
  <si>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</si>
  <si>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</si>
  <si>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</si>
  <si>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</si>
  <si>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</si>
  <si>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</si>
  <si>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</si>
  <si>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</si>
  <si>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</si>
  <si>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</si>
  <si>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</si>
  <si>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</si>
  <si>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</si>
  <si>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</si>
  <si>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</si>
  <si>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</si>
  <si>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</si>
  <si>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</si>
  <si>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</si>
  <si>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</si>
  <si>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</si>
  <si>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</si>
  <si>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</si>
  <si>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</si>
  <si>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</si>
  <si>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</si>
  <si>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</si>
  <si>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</si>
  <si>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</si>
  <si>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</si>
  <si>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</si>
  <si>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</si>
  <si>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</si>
  <si>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</si>
  <si>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</si>
  <si>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</si>
  <si>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</si>
  <si>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</si>
  <si>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</si>
  <si>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</si>
  <si>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</si>
  <si>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</si>
  <si>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</si>
  <si>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</si>
  <si>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</si>
  <si>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</si>
  <si>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</si>
  <si>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</si>
  <si>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</si>
  <si>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</si>
  <si>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</si>
  <si>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</si>
  <si>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</si>
  <si>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</si>
  <si>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</si>
  <si>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</si>
  <si>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</si>
  <si>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</si>
  <si>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</si>
  <si>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</si>
  <si>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</si>
  <si>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</si>
  <si>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</si>
  <si>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</si>
  <si>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</si>
  <si>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</si>
  <si>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</si>
  <si>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</si>
  <si>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</si>
  <si>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</si>
  <si>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</si>
  <si>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</si>
  <si>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</si>
  <si>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</si>
  <si>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</si>
  <si>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</si>
  <si>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</si>
  <si>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</si>
  <si>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</si>
  <si>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</si>
  <si>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</si>
  <si>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</si>
  <si>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</si>
  <si>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</si>
  <si>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</si>
  <si>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</si>
  <si>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</si>
  <si>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</si>
  <si>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</si>
  <si>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</si>
  <si>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</si>
  <si>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</si>
  <si>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</si>
  <si>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</si>
  <si>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</si>
  <si>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</si>
  <si>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</si>
  <si>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</si>
  <si>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</si>
  <si>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</si>
  <si>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</si>
  <si>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kap. 39 - regionální rozvoj a cestovní ruch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</si>
  <si>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</si>
  <si>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</si>
  <si>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</si>
  <si>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</si>
  <si>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</si>
  <si>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</si>
  <si>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</si>
  <si>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</si>
  <si>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</si>
  <si>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</si>
  <si>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</si>
  <si>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</si>
  <si>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</si>
  <si>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</si>
  <si>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</si>
  <si>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</si>
  <si>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</si>
  <si>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</si>
  <si>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odborná praxe pro mladé do 30 let v KHK -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</si>
  <si>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</si>
  <si>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</si>
  <si>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</si>
  <si>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</si>
  <si>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</si>
  <si>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</si>
  <si>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</si>
  <si>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</si>
  <si>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</si>
  <si>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</si>
  <si>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</si>
  <si>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</si>
  <si>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</si>
  <si>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</si>
  <si>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</si>
  <si>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</si>
  <si>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</si>
  <si>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</si>
  <si>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</si>
  <si>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</si>
  <si>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</si>
  <si>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</si>
  <si>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</si>
  <si>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</si>
  <si>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</si>
  <si>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</si>
  <si>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</si>
  <si>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</si>
  <si>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</si>
  <si>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</si>
  <si>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</si>
  <si>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</si>
  <si>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</si>
  <si>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</si>
  <si>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</si>
  <si>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</si>
  <si>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>průmyslová zóna Kvasiny - SR</t>
  </si>
  <si>
    <t xml:space="preserve">            školství - vzdělávání </t>
  </si>
  <si>
    <t xml:space="preserve">            školství - prevence</t>
  </si>
  <si>
    <t xml:space="preserve">OP Z Služby soc.prevence v KHK IV - SR  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</si>
  <si>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</si>
  <si>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</si>
  <si>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</si>
  <si>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</si>
  <si>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</si>
  <si>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</si>
  <si>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</si>
  <si>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</si>
  <si>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</si>
  <si>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</si>
  <si>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</si>
  <si>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ostatní běžné výdaje - poplatky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</si>
  <si>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</si>
  <si>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</si>
  <si>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</si>
  <si>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</si>
  <si>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</si>
  <si>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</si>
  <si>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</si>
  <si>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</si>
  <si>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</si>
  <si>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</si>
  <si>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</si>
  <si>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</si>
  <si>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</si>
  <si>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</si>
  <si>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</si>
  <si>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</si>
  <si>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</si>
  <si>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</si>
  <si>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</si>
  <si>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</si>
  <si>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</si>
  <si>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</si>
  <si>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</si>
  <si>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</si>
  <si>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</si>
  <si>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</si>
  <si>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</si>
  <si>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</si>
  <si>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NA ROK 2020</t>
  </si>
  <si>
    <t>kap. 17 - analýzy a podpora řízení</t>
  </si>
  <si>
    <t>ostatní kapitálové výdaje - ISO 50001</t>
  </si>
  <si>
    <t xml:space="preserve">             org. 2088</t>
  </si>
  <si>
    <t xml:space="preserve">             org. 2099</t>
  </si>
  <si>
    <t xml:space="preserve">          sport a tělovýchova</t>
  </si>
  <si>
    <t xml:space="preserve">          volnočasové aktivity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</si>
  <si>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</si>
  <si>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</si>
  <si>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</si>
  <si>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</si>
  <si>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</si>
  <si>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</si>
  <si>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</si>
  <si>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</si>
  <si>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</si>
  <si>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OP Z - Zaměstnaný absolvent - SR 2019</t>
  </si>
  <si>
    <t>OP VVV - Smart Akcelerátor - SR 2019</t>
  </si>
  <si>
    <t>OP Z - Predikce trhu práce - Kompas - SR 2019</t>
  </si>
  <si>
    <t>Snížení emisí z lokál.vytápění domácností v KHK I- SR 2019</t>
  </si>
  <si>
    <t>Snížení emisí z lokál.vytápění domácností v KHK II - SR 2019</t>
  </si>
  <si>
    <t>OP Z - Rozvoj KHK-chytře, efektivně, s prosperitou - SR 2019</t>
  </si>
  <si>
    <t>TP Interreg V-A ČR-Polsko - SR 2019</t>
  </si>
  <si>
    <t>OP Z Služby soc.prevence v KHK IV - SR  2019</t>
  </si>
  <si>
    <t>OP Z Služby soc.prevence v KHK V - SR  2019</t>
  </si>
  <si>
    <t>OP Z Rozvoj dostup.a kvality soc.sl.v KHK V - SR 2019</t>
  </si>
  <si>
    <t xml:space="preserve">OP VVV - Smart Akcelerátor II. - SR </t>
  </si>
  <si>
    <t>Krajský akční plán vzdělávání v KHK - SR 2019</t>
  </si>
  <si>
    <t>IKAP rozvoje vzdělávání v KHK - SR 2019</t>
  </si>
  <si>
    <t>zlepšení přeshraniční dostupnosti ČR - PL - SR</t>
  </si>
  <si>
    <t>ochrana a zabezp.škol a objektů veř.správy - SR</t>
  </si>
  <si>
    <t xml:space="preserve">Krajský akční plán vzdělávání v KHK - SR </t>
  </si>
  <si>
    <t>Snížení emisí z lokál.vytápění domácností v KHK III. - SR 2019</t>
  </si>
  <si>
    <t xml:space="preserve">Snížení emisí z lokál.vytápění domácností v KHK III. - SR </t>
  </si>
  <si>
    <t>Snížení emisí z lokál.vytápění domácností v KHK I - SR 2019</t>
  </si>
  <si>
    <t>potravinová pomoc dětem v KHK II - obědy do škol - SR 2019</t>
  </si>
  <si>
    <t>potravinová pomoc dětem v KHK III - obědy do škol - SR 2019</t>
  </si>
  <si>
    <t>OP Z - Do praxe bez bariér - SR</t>
  </si>
  <si>
    <t>OP Z - Do praxe bez bariér - SR 2019</t>
  </si>
  <si>
    <t>OP Z Rozvoj dostup.a kvality soc.sl.v KHK VI - SR 2019</t>
  </si>
  <si>
    <t>OP Z Rozvoj reg.partnerství v soc.oblasti v KHK II - SR 2019</t>
  </si>
  <si>
    <t>OP Z Služby soc.prevence v KHK VI - SR  2019</t>
  </si>
  <si>
    <t xml:space="preserve">          školství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</si>
  <si>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</si>
  <si>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</si>
  <si>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</si>
  <si>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</si>
  <si>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</si>
  <si>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projekt mobility osob v programu Erasmus - SR 2019</t>
  </si>
  <si>
    <t xml:space="preserve">          regionální rozvoj</t>
  </si>
  <si>
    <t>projekty PO - SR</t>
  </si>
  <si>
    <t>výdaje spojené s pandemií koronaviru</t>
  </si>
  <si>
    <t>opatření v souvislosti s výskytem koronaviru - SR</t>
  </si>
  <si>
    <t xml:space="preserve">OP Z - Predikce trhu práce - Kompas - SR </t>
  </si>
  <si>
    <t xml:space="preserve">OP Z Rozvoj dostup.a kvality soc.sl.v KHK VI - SR </t>
  </si>
  <si>
    <t>podpora služeb s nadreg.a celost.působností - SR</t>
  </si>
  <si>
    <t>podpora administrace-OP potrav.a mater.pomoc - SR</t>
  </si>
  <si>
    <t>OP Z Komunitní služby pro osoby se zdrav.postiž.v KHK - SR</t>
  </si>
  <si>
    <t>výkon sociální práce - SR</t>
  </si>
  <si>
    <t>regionální stálá konference II - SR</t>
  </si>
  <si>
    <t>program protidrogové politiky na rok 2020 - SR</t>
  </si>
  <si>
    <t>podpora vzniku CDZ II. - SR</t>
  </si>
  <si>
    <t>022a023</t>
  </si>
  <si>
    <t>ochr.chem.prostředky a ochr.pom.pro dopravce veř.dopravy-SR</t>
  </si>
  <si>
    <t>Smlouva č. 200/NT1/2020 - SFDI - SR</t>
  </si>
  <si>
    <t>program na ochranu měkkých cílů v oblasti kultury - SR</t>
  </si>
  <si>
    <t>OP VVV - Digitální brána do dějin - SR</t>
  </si>
  <si>
    <t>podpora vzdělávání cizinců ve školách - SR</t>
  </si>
  <si>
    <t>SFDI-Rozš.strategic.prům.zóny Solnice-Kvasiny - SR</t>
  </si>
  <si>
    <t>řešení havarijních a krizových situací</t>
  </si>
  <si>
    <t>průmyslová zóna Vrchlabí - SR</t>
  </si>
  <si>
    <t>odměny zaměst.soc.služeb v souvisl.s epidemií COVID-19 - SR</t>
  </si>
  <si>
    <t>podpora výchovně vzděl.aktivit v muzejnictví - SR</t>
  </si>
  <si>
    <t>podpora standard.veřejných služeb muzeí a galerií - SR</t>
  </si>
  <si>
    <t xml:space="preserve">projekt Jak zachraňujete u vás - pro ZZS KHK </t>
  </si>
  <si>
    <t>rozvoj a obnova mat.techn.základny soc. služeb - SR</t>
  </si>
  <si>
    <t>volby do Senátu PČR a zastupitelstev krajů - SR</t>
  </si>
  <si>
    <t>přechod na DBV T2</t>
  </si>
  <si>
    <t>Smlouva č. 200S/2020 - financ.silnic II.a III.tř. - SFDI - SR</t>
  </si>
  <si>
    <t>řešení mimoř.situací podle Z o sociálních službách - SR</t>
  </si>
  <si>
    <t>IP Přeshraniční spolupráce technických oborů - SR</t>
  </si>
  <si>
    <t xml:space="preserve">  od obcí a DSO</t>
  </si>
  <si>
    <t>potravinová pomoc dětem v KHK IV - obědy do škol - SR</t>
  </si>
  <si>
    <t xml:space="preserve">OP Z Rozvoj dostup.a kvality soc.sl.v KHK VII - SR </t>
  </si>
  <si>
    <t>integr.systém ochrany movitého kult.dědictví II. - SR</t>
  </si>
  <si>
    <t>obnova nemovité kulturní památky - sochy - SR</t>
  </si>
  <si>
    <t>přímá ped.činnost do nároku Phmax - modul A, B, C - SR</t>
  </si>
  <si>
    <t>vybavení šk.porad.zařízení diagn.nástroji - SR</t>
  </si>
  <si>
    <t>zařízení pro děti vyžadující okamžitou pomoc - SOAL TU - SR</t>
  </si>
  <si>
    <t xml:space="preserve">OP Z Služby soc.prevence v KHK V - SR  </t>
  </si>
  <si>
    <t>náhrady za výkon prac.povin.v době krizového stavu - SR</t>
  </si>
  <si>
    <t>odměny zaměst.lůžkové péče v souvisl.s epid. COVID-19 - SR</t>
  </si>
  <si>
    <t>odměny zdrav.prac.v soc.službách v sovisl.s ep.Covid-SR</t>
  </si>
  <si>
    <t>desinfekční přístroje pro sanitní vozy - SR</t>
  </si>
  <si>
    <t>podpora expozičních a výstavních projektů - SR</t>
  </si>
  <si>
    <t>akviziční fond - akvizice děl</t>
  </si>
  <si>
    <t xml:space="preserve">OP Z Rozvoj reg.partnerství v soc.oblasti v KHK II - SR </t>
  </si>
  <si>
    <t>odměny zam.dětských domovů v nouzovém stavu - SR</t>
  </si>
  <si>
    <t>kompen.vícenákladů v souvisl.s epid.Covid-19-program podpory E-SR</t>
  </si>
  <si>
    <t>vybrané myslivecké činnosti - SR</t>
  </si>
  <si>
    <t>regionální stálá konference III - SR</t>
  </si>
  <si>
    <t>kompen.vícenákladů v souvisl.s epid.Covid-19-program podp.E-SR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</si>
</sst>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6" fillId="0" borderId="0" applyNumberFormat="0" applyFill="0" applyBorder="0" applyAlignment="0" applyProtection="0"/>
    <xf numFmtId="0" fontId="37" fillId="20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3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5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5" fontId="4" fillId="0" borderId="11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13" xfId="38" applyNumberFormat="1" applyFont="1" applyBorder="1" applyAlignment="1">
      <alignment horizontal="center"/>
    </xf>
    <xf numFmtId="166" fontId="4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4" fillId="0" borderId="16" xfId="38" applyNumberFormat="1" applyFont="1" applyBorder="1" applyAlignment="1">
      <alignment/>
    </xf>
    <xf numFmtId="165" fontId="4" fillId="0" borderId="14" xfId="38" applyNumberFormat="1" applyFont="1" applyBorder="1" applyAlignment="1">
      <alignment horizontal="center"/>
    </xf>
    <xf numFmtId="3" fontId="4" fillId="0" borderId="17" xfId="0" applyFont="1" applyBorder="1" applyAlignment="1">
      <alignment/>
    </xf>
    <xf numFmtId="3" fontId="5" fillId="0" borderId="17" xfId="0" applyFont="1" applyBorder="1" applyAlignment="1">
      <alignment/>
    </xf>
    <xf numFmtId="3" fontId="0" fillId="0" borderId="17" xfId="0" applyFont="1" applyBorder="1" applyAlignment="1">
      <alignment/>
    </xf>
    <xf numFmtId="3" fontId="0" fillId="0" borderId="17" xfId="0" applyBorder="1" applyAlignment="1">
      <alignment/>
    </xf>
    <xf numFmtId="3" fontId="4" fillId="0" borderId="17" xfId="0" applyFont="1" applyBorder="1" applyAlignment="1">
      <alignment/>
    </xf>
    <xf numFmtId="3" fontId="5" fillId="0" borderId="17" xfId="0" applyFont="1" applyBorder="1" applyAlignment="1">
      <alignment/>
    </xf>
    <xf numFmtId="3" fontId="0" fillId="0" borderId="18" xfId="0" applyBorder="1" applyAlignment="1">
      <alignment/>
    </xf>
    <xf numFmtId="3" fontId="0" fillId="0" borderId="17" xfId="0" applyFont="1" applyBorder="1" applyAlignment="1">
      <alignment/>
    </xf>
    <xf numFmtId="3" fontId="2" fillId="0" borderId="19" xfId="0" applyFont="1" applyBorder="1" applyAlignment="1">
      <alignment vertical="center"/>
    </xf>
    <xf numFmtId="3" fontId="6" fillId="0" borderId="17" xfId="0" applyFont="1" applyBorder="1" applyAlignment="1">
      <alignment/>
    </xf>
    <xf numFmtId="3" fontId="6" fillId="0" borderId="17" xfId="0" applyFont="1" applyBorder="1" applyAlignment="1">
      <alignment/>
    </xf>
    <xf numFmtId="3" fontId="0" fillId="0" borderId="18" xfId="0" applyFont="1" applyBorder="1" applyAlignment="1">
      <alignment/>
    </xf>
    <xf numFmtId="3" fontId="7" fillId="0" borderId="17" xfId="0" applyFont="1" applyBorder="1" applyAlignment="1">
      <alignment/>
    </xf>
    <xf numFmtId="3" fontId="7" fillId="0" borderId="18" xfId="0" applyFont="1" applyBorder="1" applyAlignment="1">
      <alignment/>
    </xf>
    <xf numFmtId="3" fontId="0" fillId="0" borderId="18" xfId="0" applyFont="1" applyBorder="1" applyAlignment="1">
      <alignment/>
    </xf>
    <xf numFmtId="3" fontId="4" fillId="0" borderId="17" xfId="0" applyFont="1" applyFill="1" applyBorder="1" applyAlignment="1">
      <alignment/>
    </xf>
    <xf numFmtId="3" fontId="4" fillId="0" borderId="19" xfId="0" applyFont="1" applyBorder="1" applyAlignment="1">
      <alignment/>
    </xf>
    <xf numFmtId="3" fontId="3" fillId="0" borderId="20" xfId="0" applyFont="1" applyBorder="1" applyAlignment="1">
      <alignment vertical="center"/>
    </xf>
    <xf numFmtId="3" fontId="4" fillId="0" borderId="20" xfId="0" applyFont="1" applyBorder="1" applyAlignment="1">
      <alignment vertical="center"/>
    </xf>
    <xf numFmtId="3" fontId="2" fillId="0" borderId="20" xfId="0" applyFont="1" applyBorder="1" applyAlignment="1">
      <alignment vertical="center"/>
    </xf>
    <xf numFmtId="3" fontId="2" fillId="0" borderId="21" xfId="0" applyFont="1" applyBorder="1" applyAlignment="1">
      <alignment vertical="center"/>
    </xf>
    <xf numFmtId="3" fontId="2" fillId="0" borderId="17" xfId="0" applyFont="1" applyBorder="1" applyAlignment="1">
      <alignment vertical="center"/>
    </xf>
    <xf numFmtId="3" fontId="0" fillId="0" borderId="17" xfId="0" applyFont="1" applyBorder="1" applyAlignment="1">
      <alignment vertical="center"/>
    </xf>
    <xf numFmtId="3" fontId="0" fillId="0" borderId="17" xfId="0" applyBorder="1" applyAlignment="1">
      <alignment vertical="center"/>
    </xf>
    <xf numFmtId="3" fontId="7" fillId="0" borderId="17" xfId="0" applyFont="1" applyBorder="1" applyAlignment="1">
      <alignment/>
    </xf>
    <xf numFmtId="3" fontId="4" fillId="0" borderId="17" xfId="0" applyFont="1" applyBorder="1" applyAlignment="1">
      <alignment horizontal="left" vertical="center"/>
    </xf>
    <xf numFmtId="165" fontId="4" fillId="0" borderId="15" xfId="38" applyNumberFormat="1" applyFont="1" applyBorder="1" applyAlignment="1">
      <alignment horizontal="center"/>
    </xf>
    <xf numFmtId="165" fontId="4" fillId="0" borderId="2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3" fontId="52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19" xfId="0" applyBorder="1" applyAlignment="1">
      <alignment vertical="center"/>
    </xf>
    <xf numFmtId="3" fontId="53" fillId="0" borderId="0" xfId="0" applyFont="1" applyAlignment="1">
      <alignment/>
    </xf>
    <xf numFmtId="3" fontId="7" fillId="0" borderId="25" xfId="0" applyFont="1" applyBorder="1" applyAlignment="1">
      <alignment/>
    </xf>
    <xf numFmtId="165" fontId="4" fillId="0" borderId="26" xfId="38" applyNumberFormat="1" applyFont="1" applyBorder="1" applyAlignment="1">
      <alignment horizontal="center"/>
    </xf>
    <xf numFmtId="165" fontId="4" fillId="0" borderId="27" xfId="38" applyNumberFormat="1" applyFont="1" applyBorder="1" applyAlignment="1">
      <alignment horizontal="center"/>
    </xf>
    <xf numFmtId="3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28" xfId="0" applyNumberFormat="1" applyBorder="1" applyAlignment="1">
      <alignment/>
    </xf>
    <xf numFmtId="3" fontId="4" fillId="0" borderId="29" xfId="0" applyFont="1" applyBorder="1" applyAlignment="1">
      <alignment horizontal="center" vertical="center"/>
    </xf>
    <xf numFmtId="3" fontId="4" fillId="0" borderId="25" xfId="0" applyFont="1" applyBorder="1" applyAlignment="1">
      <alignment horizontal="left" vertical="center"/>
    </xf>
    <xf numFmtId="3" fontId="4" fillId="0" borderId="25" xfId="0" applyFont="1" applyBorder="1" applyAlignment="1">
      <alignment/>
    </xf>
    <xf numFmtId="3" fontId="5" fillId="0" borderId="25" xfId="0" applyFont="1" applyBorder="1" applyAlignment="1">
      <alignment/>
    </xf>
    <xf numFmtId="3" fontId="0" fillId="0" borderId="25" xfId="0" applyFont="1" applyBorder="1" applyAlignment="1">
      <alignment/>
    </xf>
    <xf numFmtId="3" fontId="0" fillId="0" borderId="25" xfId="0" applyBorder="1" applyAlignment="1">
      <alignment/>
    </xf>
    <xf numFmtId="3" fontId="4" fillId="0" borderId="25" xfId="0" applyFont="1" applyBorder="1" applyAlignment="1">
      <alignment/>
    </xf>
    <xf numFmtId="3" fontId="5" fillId="0" borderId="25" xfId="0" applyFont="1" applyBorder="1" applyAlignment="1">
      <alignment/>
    </xf>
    <xf numFmtId="3" fontId="0" fillId="0" borderId="25" xfId="0" applyFont="1" applyBorder="1" applyAlignment="1">
      <alignment/>
    </xf>
    <xf numFmtId="3" fontId="2" fillId="0" borderId="30" xfId="0" applyFont="1" applyBorder="1" applyAlignment="1">
      <alignment vertical="center"/>
    </xf>
    <xf numFmtId="3" fontId="7" fillId="0" borderId="25" xfId="0" applyFont="1" applyBorder="1" applyAlignment="1">
      <alignment horizontal="center"/>
    </xf>
    <xf numFmtId="3" fontId="0" fillId="0" borderId="17" xfId="0" applyFont="1" applyBorder="1" applyAlignment="1">
      <alignment/>
    </xf>
    <xf numFmtId="3" fontId="9" fillId="0" borderId="25" xfId="0" applyFont="1" applyBorder="1" applyAlignment="1">
      <alignment/>
    </xf>
    <xf numFmtId="3" fontId="7" fillId="0" borderId="31" xfId="0" applyFont="1" applyBorder="1" applyAlignment="1">
      <alignment horizontal="center"/>
    </xf>
    <xf numFmtId="3" fontId="9" fillId="0" borderId="25" xfId="0" applyFont="1" applyBorder="1" applyAlignment="1">
      <alignment horizontal="center"/>
    </xf>
    <xf numFmtId="3" fontId="9" fillId="0" borderId="25" xfId="0" applyFont="1" applyFill="1" applyBorder="1" applyAlignment="1">
      <alignment horizontal="center"/>
    </xf>
    <xf numFmtId="3" fontId="7" fillId="0" borderId="25" xfId="0" applyFont="1" applyFill="1" applyBorder="1" applyAlignment="1">
      <alignment horizontal="center"/>
    </xf>
    <xf numFmtId="3" fontId="9" fillId="0" borderId="20" xfId="0" applyFont="1" applyBorder="1" applyAlignment="1">
      <alignment horizontal="center" vertical="center"/>
    </xf>
    <xf numFmtId="3" fontId="9" fillId="0" borderId="21" xfId="0" applyFont="1" applyBorder="1" applyAlignment="1">
      <alignment horizontal="center" vertical="center"/>
    </xf>
    <xf numFmtId="3" fontId="9" fillId="0" borderId="17" xfId="0" applyFont="1" applyBorder="1" applyAlignment="1">
      <alignment horizontal="center" vertical="center"/>
    </xf>
    <xf numFmtId="3" fontId="9" fillId="0" borderId="19" xfId="0" applyFont="1" applyBorder="1" applyAlignment="1">
      <alignment horizontal="center" vertical="center"/>
    </xf>
    <xf numFmtId="3" fontId="7" fillId="0" borderId="17" xfId="0" applyFont="1" applyBorder="1" applyAlignment="1">
      <alignment horizontal="center" vertical="center"/>
    </xf>
    <xf numFmtId="3" fontId="7" fillId="0" borderId="30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4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0" fillId="0" borderId="14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2" fillId="0" borderId="32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4" fillId="0" borderId="33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65" fontId="52" fillId="0" borderId="0" xfId="0" applyNumberFormat="1" applyFont="1" applyAlignment="1">
      <alignment horizontal="center" vertical="center"/>
    </xf>
    <xf numFmtId="174" fontId="0" fillId="0" borderId="0" xfId="38" applyNumberFormat="1" applyFont="1" applyBorder="1" applyAlignment="1">
      <alignment/>
    </xf>
    <xf numFmtId="4" fontId="0" fillId="0" borderId="0" xfId="0" applyNumberFormat="1" applyAlignment="1">
      <alignment/>
    </xf>
    <xf numFmtId="174" fontId="3" fillId="0" borderId="34" xfId="38" applyNumberFormat="1" applyFont="1" applyBorder="1" applyAlignment="1">
      <alignment vertical="center"/>
    </xf>
    <xf numFmtId="174" fontId="3" fillId="0" borderId="35" xfId="38" applyNumberFormat="1" applyFont="1" applyBorder="1" applyAlignment="1">
      <alignment vertical="center"/>
    </xf>
    <xf numFmtId="167" fontId="0" fillId="0" borderId="33" xfId="0" applyNumberFormat="1" applyBorder="1" applyAlignment="1">
      <alignment/>
    </xf>
    <xf numFmtId="174" fontId="4" fillId="0" borderId="0" xfId="38" applyNumberFormat="1" applyFont="1" applyBorder="1" applyAlignment="1">
      <alignment/>
    </xf>
    <xf numFmtId="3" fontId="0" fillId="0" borderId="17" xfId="0" applyFont="1" applyFill="1" applyBorder="1" applyAlignment="1">
      <alignment/>
    </xf>
    <xf numFmtId="3" fontId="4" fillId="0" borderId="30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left"/>
    </xf>
    <xf numFmtId="174" fontId="0" fillId="0" borderId="33" xfId="38" applyNumberFormat="1" applyFont="1" applyBorder="1" applyAlignment="1">
      <alignment/>
    </xf>
    <xf numFmtId="174" fontId="4" fillId="0" borderId="33" xfId="38" applyNumberFormat="1" applyFont="1" applyBorder="1" applyAlignment="1">
      <alignment/>
    </xf>
    <xf numFmtId="174" fontId="2" fillId="0" borderId="36" xfId="38" applyNumberFormat="1" applyFont="1" applyBorder="1" applyAlignment="1">
      <alignment vertical="center"/>
    </xf>
    <xf numFmtId="174" fontId="6" fillId="0" borderId="33" xfId="38" applyNumberFormat="1" applyFont="1" applyBorder="1" applyAlignment="1">
      <alignment/>
    </xf>
    <xf numFmtId="174" fontId="6" fillId="0" borderId="33" xfId="38" applyNumberFormat="1" applyFont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2" fillId="0" borderId="37" xfId="38" applyNumberFormat="1" applyFont="1" applyBorder="1" applyAlignment="1">
      <alignment vertical="center"/>
    </xf>
    <xf numFmtId="174" fontId="4" fillId="0" borderId="16" xfId="38" applyNumberFormat="1" applyFont="1" applyBorder="1" applyAlignment="1">
      <alignment/>
    </xf>
    <xf numFmtId="174" fontId="3" fillId="0" borderId="25" xfId="38" applyNumberFormat="1" applyFont="1" applyBorder="1" applyAlignment="1">
      <alignment vertical="center"/>
    </xf>
    <xf numFmtId="174" fontId="3" fillId="0" borderId="30" xfId="38" applyNumberFormat="1" applyFont="1" applyBorder="1" applyAlignment="1">
      <alignment vertical="center"/>
    </xf>
    <xf numFmtId="174" fontId="0" fillId="0" borderId="16" xfId="38" applyNumberFormat="1" applyFont="1" applyBorder="1" applyAlignment="1">
      <alignment/>
    </xf>
    <xf numFmtId="174" fontId="4" fillId="0" borderId="16" xfId="38" applyNumberFormat="1" applyFont="1" applyBorder="1" applyAlignment="1">
      <alignment/>
    </xf>
    <xf numFmtId="174" fontId="2" fillId="0" borderId="27" xfId="38" applyNumberFormat="1" applyFont="1" applyBorder="1" applyAlignment="1">
      <alignment vertical="center"/>
    </xf>
    <xf numFmtId="174" fontId="6" fillId="0" borderId="16" xfId="38" applyNumberFormat="1" applyFont="1" applyBorder="1" applyAlignment="1">
      <alignment/>
    </xf>
    <xf numFmtId="174" fontId="6" fillId="0" borderId="16" xfId="38" applyNumberFormat="1" applyFont="1" applyBorder="1" applyAlignment="1">
      <alignment/>
    </xf>
    <xf numFmtId="174" fontId="3" fillId="0" borderId="38" xfId="38" applyNumberFormat="1" applyFont="1" applyBorder="1" applyAlignment="1">
      <alignment vertical="center"/>
    </xf>
    <xf numFmtId="174" fontId="2" fillId="0" borderId="26" xfId="38" applyNumberFormat="1" applyFont="1" applyBorder="1" applyAlignment="1">
      <alignment vertical="center"/>
    </xf>
    <xf numFmtId="165" fontId="4" fillId="0" borderId="39" xfId="38" applyNumberFormat="1" applyFont="1" applyBorder="1" applyAlignment="1">
      <alignment horizontal="center"/>
    </xf>
    <xf numFmtId="165" fontId="4" fillId="0" borderId="40" xfId="38" applyNumberFormat="1" applyFont="1" applyBorder="1" applyAlignment="1">
      <alignment horizontal="center"/>
    </xf>
    <xf numFmtId="165" fontId="4" fillId="0" borderId="0" xfId="38" applyNumberFormat="1" applyFont="1" applyBorder="1" applyAlignment="1">
      <alignment horizontal="center"/>
    </xf>
    <xf numFmtId="174" fontId="2" fillId="0" borderId="40" xfId="38" applyNumberFormat="1" applyFont="1" applyBorder="1" applyAlignment="1">
      <alignment vertical="center"/>
    </xf>
    <xf numFmtId="174" fontId="6" fillId="0" borderId="0" xfId="38" applyNumberFormat="1" applyFont="1" applyBorder="1" applyAlignment="1">
      <alignment/>
    </xf>
    <xf numFmtId="174" fontId="6" fillId="0" borderId="0" xfId="38" applyNumberFormat="1" applyFont="1" applyBorder="1" applyAlignment="1">
      <alignment/>
    </xf>
    <xf numFmtId="174" fontId="4" fillId="0" borderId="35" xfId="38" applyNumberFormat="1" applyFont="1" applyBorder="1" applyAlignment="1">
      <alignment vertical="center"/>
    </xf>
    <xf numFmtId="174" fontId="2" fillId="0" borderId="35" xfId="38" applyNumberFormat="1" applyFont="1" applyBorder="1" applyAlignment="1">
      <alignment vertical="center"/>
    </xf>
    <xf numFmtId="174" fontId="3" fillId="0" borderId="39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40" xfId="38" applyNumberFormat="1" applyFont="1" applyBorder="1" applyAlignment="1">
      <alignment vertical="center"/>
    </xf>
    <xf numFmtId="174" fontId="2" fillId="0" borderId="39" xfId="38" applyNumberFormat="1" applyFont="1" applyBorder="1" applyAlignment="1">
      <alignment vertical="center"/>
    </xf>
    <xf numFmtId="3" fontId="10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174" fontId="4" fillId="0" borderId="15" xfId="38" applyNumberFormat="1" applyFont="1" applyBorder="1" applyAlignment="1">
      <alignment/>
    </xf>
    <xf numFmtId="175" fontId="0" fillId="0" borderId="0" xfId="0" applyNumberFormat="1" applyAlignment="1">
      <alignment/>
    </xf>
    <xf numFmtId="3" fontId="0" fillId="0" borderId="31" xfId="0" applyFont="1" applyBorder="1" applyAlignment="1">
      <alignment/>
    </xf>
    <xf numFmtId="174" fontId="4" fillId="0" borderId="17" xfId="38" applyNumberFormat="1" applyFont="1" applyBorder="1" applyAlignment="1">
      <alignment/>
    </xf>
    <xf numFmtId="174" fontId="0" fillId="0" borderId="17" xfId="38" applyNumberFormat="1" applyFont="1" applyBorder="1" applyAlignment="1">
      <alignment/>
    </xf>
    <xf numFmtId="3" fontId="0" fillId="0" borderId="0" xfId="0" applyBorder="1" applyAlignment="1">
      <alignment/>
    </xf>
    <xf numFmtId="174" fontId="4" fillId="0" borderId="17" xfId="38" applyNumberFormat="1" applyFont="1" applyBorder="1" applyAlignment="1">
      <alignment/>
    </xf>
    <xf numFmtId="174" fontId="6" fillId="0" borderId="17" xfId="38" applyNumberFormat="1" applyFont="1" applyBorder="1" applyAlignment="1">
      <alignment/>
    </xf>
    <xf numFmtId="174" fontId="6" fillId="0" borderId="17" xfId="38" applyNumberFormat="1" applyFont="1" applyBorder="1" applyAlignment="1">
      <alignment/>
    </xf>
    <xf numFmtId="174" fontId="0" fillId="0" borderId="17" xfId="38" applyNumberFormat="1" applyFont="1" applyFill="1" applyBorder="1" applyAlignment="1">
      <alignment/>
    </xf>
    <xf numFmtId="174" fontId="3" fillId="0" borderId="20" xfId="38" applyNumberFormat="1" applyFont="1" applyBorder="1" applyAlignment="1">
      <alignment vertical="center"/>
    </xf>
    <xf numFmtId="174" fontId="4" fillId="0" borderId="20" xfId="38" applyNumberFormat="1" applyFont="1" applyBorder="1" applyAlignment="1">
      <alignment vertical="center"/>
    </xf>
    <xf numFmtId="174" fontId="3" fillId="0" borderId="21" xfId="38" applyNumberFormat="1" applyFont="1" applyBorder="1" applyAlignment="1">
      <alignment vertical="center"/>
    </xf>
    <xf numFmtId="174" fontId="3" fillId="0" borderId="17" xfId="38" applyNumberFormat="1" applyFont="1" applyBorder="1" applyAlignment="1">
      <alignment vertical="center"/>
    </xf>
    <xf numFmtId="174" fontId="3" fillId="0" borderId="19" xfId="38" applyNumberFormat="1" applyFont="1" applyBorder="1" applyAlignment="1">
      <alignment vertical="center"/>
    </xf>
    <xf numFmtId="165" fontId="4" fillId="0" borderId="37" xfId="38" applyNumberFormat="1" applyFont="1" applyBorder="1" applyAlignment="1">
      <alignment horizontal="center"/>
    </xf>
    <xf numFmtId="165" fontId="4" fillId="0" borderId="36" xfId="38" applyNumberFormat="1" applyFont="1" applyBorder="1" applyAlignment="1">
      <alignment horizontal="center"/>
    </xf>
    <xf numFmtId="165" fontId="4" fillId="0" borderId="33" xfId="38" applyNumberFormat="1" applyFont="1" applyBorder="1" applyAlignment="1">
      <alignment horizontal="center"/>
    </xf>
    <xf numFmtId="174" fontId="0" fillId="0" borderId="41" xfId="38" applyNumberFormat="1" applyFont="1" applyBorder="1" applyAlignment="1">
      <alignment/>
    </xf>
    <xf numFmtId="174" fontId="6" fillId="0" borderId="33" xfId="38" applyNumberFormat="1" applyFont="1" applyFill="1" applyBorder="1" applyAlignment="1">
      <alignment/>
    </xf>
    <xf numFmtId="174" fontId="0" fillId="0" borderId="33" xfId="38" applyNumberFormat="1" applyFont="1" applyFill="1" applyBorder="1" applyAlignment="1">
      <alignment/>
    </xf>
    <xf numFmtId="174" fontId="0" fillId="0" borderId="33" xfId="38" applyNumberFormat="1" applyFont="1" applyFill="1" applyBorder="1" applyAlignment="1">
      <alignment/>
    </xf>
    <xf numFmtId="174" fontId="3" fillId="0" borderId="42" xfId="38" applyNumberFormat="1" applyFont="1" applyBorder="1" applyAlignment="1">
      <alignment vertical="center"/>
    </xf>
    <xf numFmtId="174" fontId="2" fillId="0" borderId="33" xfId="38" applyNumberFormat="1" applyFont="1" applyBorder="1" applyAlignment="1">
      <alignment vertical="center"/>
    </xf>
    <xf numFmtId="174" fontId="0" fillId="0" borderId="33" xfId="38" applyNumberFormat="1" applyFont="1" applyBorder="1" applyAlignment="1">
      <alignment vertical="center"/>
    </xf>
    <xf numFmtId="3" fontId="0" fillId="0" borderId="18" xfId="0" applyFont="1" applyBorder="1" applyAlignment="1">
      <alignment/>
    </xf>
    <xf numFmtId="3" fontId="12" fillId="0" borderId="31" xfId="0" applyFont="1" applyBorder="1" applyAlignment="1">
      <alignment horizontal="center"/>
    </xf>
    <xf numFmtId="174" fontId="11" fillId="0" borderId="41" xfId="38" applyNumberFormat="1" applyFont="1" applyBorder="1" applyAlignment="1">
      <alignment/>
    </xf>
    <xf numFmtId="4" fontId="4" fillId="0" borderId="15" xfId="38" applyNumberFormat="1" applyFont="1" applyBorder="1" applyAlignment="1">
      <alignment/>
    </xf>
    <xf numFmtId="174" fontId="0" fillId="0" borderId="43" xfId="38" applyNumberFormat="1" applyFont="1" applyBorder="1" applyAlignment="1">
      <alignment/>
    </xf>
    <xf numFmtId="174" fontId="6" fillId="0" borderId="44" xfId="38" applyNumberFormat="1" applyFont="1" applyBorder="1" applyAlignment="1">
      <alignment/>
    </xf>
    <xf numFmtId="174" fontId="0" fillId="0" borderId="45" xfId="38" applyNumberFormat="1" applyFont="1" applyBorder="1" applyAlignment="1">
      <alignment/>
    </xf>
    <xf numFmtId="174" fontId="4" fillId="0" borderId="44" xfId="38" applyNumberFormat="1" applyFont="1" applyBorder="1" applyAlignment="1">
      <alignment/>
    </xf>
    <xf numFmtId="174" fontId="4" fillId="0" borderId="46" xfId="38" applyNumberFormat="1" applyFont="1" applyBorder="1" applyAlignment="1">
      <alignment/>
    </xf>
    <xf numFmtId="174" fontId="2" fillId="0" borderId="46" xfId="38" applyNumberFormat="1" applyFont="1" applyBorder="1" applyAlignment="1">
      <alignment vertical="center"/>
    </xf>
    <xf numFmtId="174" fontId="3" fillId="0" borderId="47" xfId="38" applyNumberFormat="1" applyFont="1" applyBorder="1" applyAlignment="1">
      <alignment vertical="center"/>
    </xf>
    <xf numFmtId="174" fontId="0" fillId="0" borderId="0" xfId="38" applyNumberFormat="1" applyFont="1" applyBorder="1" applyAlignment="1">
      <alignment vertical="center"/>
    </xf>
    <xf numFmtId="3" fontId="0" fillId="0" borderId="17" xfId="0" applyFill="1" applyBorder="1" applyAlignment="1">
      <alignment/>
    </xf>
    <xf numFmtId="4" fontId="4" fillId="0" borderId="14" xfId="38" applyNumberFormat="1" applyFont="1" applyBorder="1" applyAlignment="1">
      <alignment/>
    </xf>
    <xf numFmtId="4" fontId="0" fillId="0" borderId="14" xfId="38" applyNumberFormat="1" applyFont="1" applyBorder="1" applyAlignment="1">
      <alignment/>
    </xf>
    <xf numFmtId="4" fontId="2" fillId="0" borderId="22" xfId="38" applyNumberFormat="1" applyFont="1" applyBorder="1" applyAlignment="1">
      <alignment vertical="center"/>
    </xf>
    <xf numFmtId="4" fontId="6" fillId="0" borderId="14" xfId="38" applyNumberFormat="1" applyFont="1" applyBorder="1" applyAlignment="1">
      <alignment/>
    </xf>
    <xf numFmtId="4" fontId="6" fillId="0" borderId="14" xfId="38" applyNumberFormat="1" applyFont="1" applyBorder="1" applyAlignment="1">
      <alignment/>
    </xf>
    <xf numFmtId="4" fontId="4" fillId="0" borderId="14" xfId="38" applyNumberFormat="1" applyFont="1" applyBorder="1" applyAlignment="1">
      <alignment/>
    </xf>
    <xf numFmtId="4" fontId="0" fillId="0" borderId="48" xfId="38" applyNumberFormat="1" applyFont="1" applyBorder="1" applyAlignment="1">
      <alignment/>
    </xf>
    <xf numFmtId="4" fontId="0" fillId="0" borderId="14" xfId="38" applyNumberFormat="1" applyFont="1" applyFill="1" applyBorder="1" applyAlignment="1">
      <alignment/>
    </xf>
    <xf numFmtId="4" fontId="3" fillId="0" borderId="49" xfId="38" applyNumberFormat="1" applyFont="1" applyBorder="1" applyAlignment="1">
      <alignment vertical="center"/>
    </xf>
    <xf numFmtId="4" fontId="4" fillId="0" borderId="49" xfId="38" applyNumberFormat="1" applyFont="1" applyBorder="1" applyAlignment="1">
      <alignment vertical="center"/>
    </xf>
    <xf numFmtId="4" fontId="2" fillId="0" borderId="49" xfId="38" applyNumberFormat="1" applyFont="1" applyBorder="1" applyAlignment="1">
      <alignment vertical="center"/>
    </xf>
    <xf numFmtId="4" fontId="3" fillId="0" borderId="11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22" xfId="38" applyNumberFormat="1" applyFont="1" applyBorder="1" applyAlignment="1">
      <alignment vertical="center"/>
    </xf>
    <xf numFmtId="4" fontId="2" fillId="0" borderId="11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3" fontId="5" fillId="0" borderId="25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174" fontId="0" fillId="0" borderId="33" xfId="38" applyNumberFormat="1" applyFont="1" applyBorder="1" applyAlignment="1">
      <alignment/>
    </xf>
    <xf numFmtId="174" fontId="0" fillId="0" borderId="42" xfId="38" applyNumberFormat="1" applyFont="1" applyBorder="1" applyAlignment="1">
      <alignment vertical="center"/>
    </xf>
    <xf numFmtId="174" fontId="3" fillId="0" borderId="37" xfId="38" applyNumberFormat="1" applyFont="1" applyBorder="1" applyAlignment="1">
      <alignment vertical="center"/>
    </xf>
    <xf numFmtId="174" fontId="3" fillId="0" borderId="33" xfId="38" applyNumberFormat="1" applyFont="1" applyBorder="1" applyAlignment="1">
      <alignment vertical="center"/>
    </xf>
    <xf numFmtId="174" fontId="3" fillId="0" borderId="36" xfId="38" applyNumberFormat="1" applyFont="1" applyBorder="1" applyAlignment="1">
      <alignment vertical="center"/>
    </xf>
    <xf numFmtId="165" fontId="4" fillId="0" borderId="21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5" fontId="4" fillId="0" borderId="17" xfId="38" applyNumberFormat="1" applyFont="1" applyBorder="1" applyAlignment="1">
      <alignment horizontal="center"/>
    </xf>
    <xf numFmtId="174" fontId="2" fillId="0" borderId="19" xfId="38" applyNumberFormat="1" applyFont="1" applyBorder="1" applyAlignment="1">
      <alignment vertical="center"/>
    </xf>
    <xf numFmtId="174" fontId="0" fillId="0" borderId="18" xfId="38" applyNumberFormat="1" applyFont="1" applyBorder="1" applyAlignment="1">
      <alignment/>
    </xf>
    <xf numFmtId="174" fontId="0" fillId="0" borderId="18" xfId="38" applyNumberFormat="1" applyFont="1" applyBorder="1" applyAlignment="1">
      <alignment/>
    </xf>
    <xf numFmtId="174" fontId="2" fillId="0" borderId="20" xfId="38" applyNumberFormat="1" applyFont="1" applyBorder="1" applyAlignment="1">
      <alignment vertical="center"/>
    </xf>
    <xf numFmtId="174" fontId="2" fillId="0" borderId="21" xfId="38" applyNumberFormat="1" applyFont="1" applyBorder="1" applyAlignment="1">
      <alignment vertical="center"/>
    </xf>
    <xf numFmtId="174" fontId="2" fillId="0" borderId="17" xfId="38" applyNumberFormat="1" applyFont="1" applyBorder="1" applyAlignment="1">
      <alignment vertical="center"/>
    </xf>
    <xf numFmtId="174" fontId="0" fillId="0" borderId="17" xfId="38" applyNumberFormat="1" applyFont="1" applyBorder="1" applyAlignment="1">
      <alignment vertical="center"/>
    </xf>
    <xf numFmtId="174" fontId="0" fillId="0" borderId="19" xfId="38" applyNumberFormat="1" applyFont="1" applyBorder="1" applyAlignment="1">
      <alignment vertical="center"/>
    </xf>
    <xf numFmtId="4" fontId="0" fillId="0" borderId="14" xfId="38" applyNumberFormat="1" applyFont="1" applyBorder="1" applyAlignment="1">
      <alignment vertical="center"/>
    </xf>
    <xf numFmtId="174" fontId="2" fillId="0" borderId="0" xfId="38" applyNumberFormat="1" applyFont="1" applyBorder="1" applyAlignment="1">
      <alignment vertical="center"/>
    </xf>
    <xf numFmtId="174" fontId="0" fillId="0" borderId="50" xfId="38" applyNumberFormat="1" applyFont="1" applyBorder="1" applyAlignment="1">
      <alignment vertical="center"/>
    </xf>
    <xf numFmtId="174" fontId="8" fillId="0" borderId="17" xfId="38" applyNumberFormat="1" applyFont="1" applyBorder="1" applyAlignment="1">
      <alignment vertical="center"/>
    </xf>
    <xf numFmtId="165" fontId="4" fillId="0" borderId="47" xfId="38" applyNumberFormat="1" applyFont="1" applyBorder="1" applyAlignment="1">
      <alignment horizontal="center"/>
    </xf>
    <xf numFmtId="165" fontId="4" fillId="0" borderId="50" xfId="38" applyNumberFormat="1" applyFont="1" applyBorder="1" applyAlignment="1">
      <alignment horizontal="center"/>
    </xf>
    <xf numFmtId="165" fontId="4" fillId="0" borderId="44" xfId="38" applyNumberFormat="1" applyFont="1" applyBorder="1" applyAlignment="1">
      <alignment horizontal="center"/>
    </xf>
    <xf numFmtId="4" fontId="4" fillId="0" borderId="44" xfId="38" applyNumberFormat="1" applyFont="1" applyBorder="1" applyAlignment="1">
      <alignment/>
    </xf>
    <xf numFmtId="4" fontId="0" fillId="0" borderId="44" xfId="38" applyNumberFormat="1" applyFont="1" applyBorder="1" applyAlignment="1">
      <alignment/>
    </xf>
    <xf numFmtId="4" fontId="0" fillId="0" borderId="44" xfId="0" applyNumberFormat="1" applyBorder="1" applyAlignment="1">
      <alignment/>
    </xf>
    <xf numFmtId="4" fontId="4" fillId="0" borderId="44" xfId="38" applyNumberFormat="1" applyFont="1" applyBorder="1" applyAlignment="1">
      <alignment/>
    </xf>
    <xf numFmtId="4" fontId="2" fillId="0" borderId="50" xfId="38" applyNumberFormat="1" applyFont="1" applyBorder="1" applyAlignment="1">
      <alignment vertical="center"/>
    </xf>
    <xf numFmtId="4" fontId="6" fillId="0" borderId="44" xfId="38" applyNumberFormat="1" applyFont="1" applyBorder="1" applyAlignment="1">
      <alignment/>
    </xf>
    <xf numFmtId="4" fontId="6" fillId="0" borderId="44" xfId="38" applyNumberFormat="1" applyFont="1" applyBorder="1" applyAlignment="1">
      <alignment/>
    </xf>
    <xf numFmtId="4" fontId="0" fillId="0" borderId="45" xfId="38" applyNumberFormat="1" applyFont="1" applyBorder="1" applyAlignment="1">
      <alignment/>
    </xf>
    <xf numFmtId="4" fontId="7" fillId="0" borderId="44" xfId="38" applyNumberFormat="1" applyFont="1" applyBorder="1" applyAlignment="1">
      <alignment/>
    </xf>
    <xf numFmtId="4" fontId="0" fillId="0" borderId="44" xfId="38" applyNumberFormat="1" applyFont="1" applyFill="1" applyBorder="1" applyAlignment="1">
      <alignment/>
    </xf>
    <xf numFmtId="4" fontId="3" fillId="0" borderId="46" xfId="38" applyNumberFormat="1" applyFont="1" applyBorder="1" applyAlignment="1">
      <alignment vertical="center"/>
    </xf>
    <xf numFmtId="4" fontId="4" fillId="0" borderId="46" xfId="38" applyNumberFormat="1" applyFont="1" applyBorder="1" applyAlignment="1">
      <alignment vertical="center"/>
    </xf>
    <xf numFmtId="4" fontId="2" fillId="0" borderId="46" xfId="38" applyNumberFormat="1" applyFont="1" applyBorder="1" applyAlignment="1">
      <alignment vertical="center"/>
    </xf>
    <xf numFmtId="4" fontId="3" fillId="0" borderId="47" xfId="38" applyNumberFormat="1" applyFont="1" applyBorder="1" applyAlignment="1">
      <alignment vertical="center"/>
    </xf>
    <xf numFmtId="4" fontId="3" fillId="0" borderId="44" xfId="38" applyNumberFormat="1" applyFont="1" applyBorder="1" applyAlignment="1">
      <alignment vertical="center"/>
    </xf>
    <xf numFmtId="4" fontId="3" fillId="0" borderId="50" xfId="38" applyNumberFormat="1" applyFont="1" applyBorder="1" applyAlignment="1">
      <alignment vertical="center"/>
    </xf>
    <xf numFmtId="4" fontId="2" fillId="0" borderId="47" xfId="38" applyNumberFormat="1" applyFont="1" applyBorder="1" applyAlignment="1">
      <alignment vertical="center"/>
    </xf>
    <xf numFmtId="4" fontId="2" fillId="0" borderId="44" xfId="38" applyNumberFormat="1" applyFont="1" applyBorder="1" applyAlignment="1">
      <alignment vertical="center"/>
    </xf>
    <xf numFmtId="4" fontId="0" fillId="0" borderId="44" xfId="38" applyNumberFormat="1" applyFont="1" applyBorder="1" applyAlignment="1">
      <alignment vertical="center"/>
    </xf>
    <xf numFmtId="4" fontId="0" fillId="0" borderId="50" xfId="38" applyNumberFormat="1" applyFont="1" applyBorder="1" applyAlignment="1">
      <alignment vertical="center"/>
    </xf>
    <xf numFmtId="4" fontId="4" fillId="0" borderId="17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2" fillId="0" borderId="19" xfId="38" applyNumberFormat="1" applyFont="1" applyBorder="1" applyAlignment="1">
      <alignment vertical="center"/>
    </xf>
    <xf numFmtId="4" fontId="6" fillId="0" borderId="17" xfId="38" applyNumberFormat="1" applyFont="1" applyBorder="1" applyAlignment="1">
      <alignment/>
    </xf>
    <xf numFmtId="4" fontId="6" fillId="0" borderId="17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4" fillId="0" borderId="18" xfId="38" applyNumberFormat="1" applyFont="1" applyBorder="1" applyAlignment="1">
      <alignment/>
    </xf>
    <xf numFmtId="4" fontId="0" fillId="0" borderId="17" xfId="38" applyNumberFormat="1" applyFont="1" applyFill="1" applyBorder="1" applyAlignment="1">
      <alignment/>
    </xf>
    <xf numFmtId="4" fontId="3" fillId="0" borderId="20" xfId="38" applyNumberFormat="1" applyFont="1" applyBorder="1" applyAlignment="1">
      <alignment vertical="center"/>
    </xf>
    <xf numFmtId="4" fontId="2" fillId="0" borderId="20" xfId="38" applyNumberFormat="1" applyFont="1" applyBorder="1" applyAlignment="1">
      <alignment vertical="center"/>
    </xf>
    <xf numFmtId="4" fontId="3" fillId="0" borderId="21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19" xfId="38" applyNumberFormat="1" applyFont="1" applyBorder="1" applyAlignment="1">
      <alignment vertical="center"/>
    </xf>
    <xf numFmtId="4" fontId="2" fillId="0" borderId="21" xfId="38" applyNumberFormat="1" applyFont="1" applyBorder="1" applyAlignment="1">
      <alignment vertical="center"/>
    </xf>
    <xf numFmtId="4" fontId="8" fillId="0" borderId="17" xfId="38" applyNumberFormat="1" applyFont="1" applyBorder="1" applyAlignment="1">
      <alignment vertical="center"/>
    </xf>
    <xf numFmtId="4" fontId="0" fillId="0" borderId="19" xfId="38" applyNumberFormat="1" applyFont="1" applyBorder="1" applyAlignment="1">
      <alignment vertical="center"/>
    </xf>
    <xf numFmtId="4" fontId="4" fillId="0" borderId="10" xfId="38" applyNumberFormat="1" applyFont="1" applyBorder="1" applyAlignment="1">
      <alignment/>
    </xf>
    <xf numFmtId="4" fontId="4" fillId="0" borderId="15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23" xfId="38" applyNumberFormat="1" applyFont="1" applyBorder="1" applyAlignment="1">
      <alignment vertical="center"/>
    </xf>
    <xf numFmtId="4" fontId="2" fillId="0" borderId="24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6" fillId="0" borderId="15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15" xfId="38" applyNumberFormat="1" applyFont="1" applyBorder="1" applyAlignment="1">
      <alignment/>
    </xf>
    <xf numFmtId="4" fontId="0" fillId="0" borderId="51" xfId="38" applyNumberFormat="1" applyFont="1" applyBorder="1" applyAlignment="1">
      <alignment/>
    </xf>
    <xf numFmtId="4" fontId="0" fillId="0" borderId="52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0" fillId="0" borderId="51" xfId="38" applyNumberFormat="1" applyFont="1" applyFill="1" applyBorder="1" applyAlignment="1">
      <alignment/>
    </xf>
    <xf numFmtId="4" fontId="0" fillId="0" borderId="15" xfId="38" applyNumberFormat="1" applyFont="1" applyFill="1" applyBorder="1" applyAlignment="1">
      <alignment/>
    </xf>
    <xf numFmtId="4" fontId="3" fillId="0" borderId="53" xfId="38" applyNumberFormat="1" applyFont="1" applyBorder="1" applyAlignment="1">
      <alignment vertical="center"/>
    </xf>
    <xf numFmtId="4" fontId="3" fillId="0" borderId="32" xfId="38" applyNumberFormat="1" applyFont="1" applyBorder="1" applyAlignment="1">
      <alignment vertical="center"/>
    </xf>
    <xf numFmtId="4" fontId="4" fillId="0" borderId="53" xfId="38" applyNumberFormat="1" applyFont="1" applyBorder="1" applyAlignment="1">
      <alignment vertical="center"/>
    </xf>
    <xf numFmtId="4" fontId="2" fillId="0" borderId="53" xfId="38" applyNumberFormat="1" applyFont="1" applyBorder="1" applyAlignment="1">
      <alignment vertical="center"/>
    </xf>
    <xf numFmtId="4" fontId="2" fillId="0" borderId="32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23" xfId="38" applyNumberFormat="1" applyFont="1" applyBorder="1" applyAlignment="1">
      <alignment vertical="center"/>
    </xf>
    <xf numFmtId="4" fontId="3" fillId="0" borderId="24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15" xfId="38" applyNumberFormat="1" applyFont="1" applyBorder="1" applyAlignment="1">
      <alignment vertical="center"/>
    </xf>
    <xf numFmtId="4" fontId="8" fillId="0" borderId="14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0" fillId="0" borderId="15" xfId="38" applyNumberFormat="1" applyFont="1" applyBorder="1" applyAlignment="1">
      <alignment vertical="center"/>
    </xf>
    <xf numFmtId="4" fontId="0" fillId="0" borderId="24" xfId="38" applyNumberFormat="1" applyFont="1" applyBorder="1" applyAlignment="1">
      <alignment vertical="center"/>
    </xf>
    <xf numFmtId="4" fontId="0" fillId="0" borderId="22" xfId="38" applyNumberFormat="1" applyFont="1" applyBorder="1" applyAlignment="1">
      <alignment vertical="center"/>
    </xf>
    <xf numFmtId="4" fontId="4" fillId="0" borderId="54" xfId="38" applyNumberFormat="1" applyFont="1" applyBorder="1" applyAlignment="1">
      <alignment/>
    </xf>
    <xf numFmtId="4" fontId="4" fillId="0" borderId="55" xfId="38" applyNumberFormat="1" applyFont="1" applyBorder="1" applyAlignment="1">
      <alignment/>
    </xf>
    <xf numFmtId="4" fontId="0" fillId="0" borderId="33" xfId="38" applyNumberFormat="1" applyFont="1" applyBorder="1" applyAlignment="1">
      <alignment/>
    </xf>
    <xf numFmtId="174" fontId="0" fillId="0" borderId="36" xfId="38" applyNumberFormat="1" applyFont="1" applyBorder="1" applyAlignment="1">
      <alignment vertical="center"/>
    </xf>
    <xf numFmtId="174" fontId="4" fillId="0" borderId="19" xfId="38" applyNumberFormat="1" applyFont="1" applyBorder="1" applyAlignment="1">
      <alignment vertical="center"/>
    </xf>
    <xf numFmtId="174" fontId="4" fillId="0" borderId="0" xfId="38" applyNumberFormat="1" applyFont="1" applyFill="1" applyBorder="1" applyAlignment="1">
      <alignment/>
    </xf>
    <xf numFmtId="4" fontId="0" fillId="0" borderId="23" xfId="38" applyNumberFormat="1" applyFont="1" applyBorder="1" applyAlignment="1">
      <alignment vertical="center"/>
    </xf>
    <xf numFmtId="3" fontId="0" fillId="0" borderId="33" xfId="0" applyBorder="1" applyAlignment="1">
      <alignment/>
    </xf>
    <xf numFmtId="4" fontId="4" fillId="0" borderId="56" xfId="38" applyNumberFormat="1" applyFont="1" applyBorder="1" applyAlignment="1">
      <alignment/>
    </xf>
    <xf numFmtId="4" fontId="0" fillId="0" borderId="25" xfId="38" applyNumberFormat="1" applyFont="1" applyFill="1" applyBorder="1" applyAlignment="1">
      <alignment/>
    </xf>
    <xf numFmtId="174" fontId="0" fillId="0" borderId="18" xfId="38" applyNumberFormat="1" applyFont="1" applyFill="1" applyBorder="1" applyAlignment="1">
      <alignment/>
    </xf>
    <xf numFmtId="167" fontId="0" fillId="33" borderId="33" xfId="0" applyNumberFormat="1" applyFill="1" applyBorder="1" applyAlignment="1">
      <alignment/>
    </xf>
    <xf numFmtId="167" fontId="0" fillId="0" borderId="4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4" fillId="0" borderId="33" xfId="38" applyNumberFormat="1" applyFont="1" applyBorder="1" applyAlignment="1">
      <alignment/>
    </xf>
    <xf numFmtId="174" fontId="2" fillId="0" borderId="38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3" fillId="0" borderId="27" xfId="38" applyNumberFormat="1" applyFont="1" applyBorder="1" applyAlignment="1">
      <alignment vertical="center"/>
    </xf>
    <xf numFmtId="167" fontId="0" fillId="0" borderId="36" xfId="0" applyNumberFormat="1" applyBorder="1" applyAlignment="1">
      <alignment/>
    </xf>
    <xf numFmtId="4" fontId="0" fillId="0" borderId="31" xfId="38" applyNumberFormat="1" applyFont="1" applyFill="1" applyBorder="1" applyAlignment="1">
      <alignment/>
    </xf>
    <xf numFmtId="4" fontId="8" fillId="0" borderId="23" xfId="38" applyNumberFormat="1" applyFont="1" applyBorder="1" applyAlignment="1">
      <alignment vertical="center"/>
    </xf>
    <xf numFmtId="3" fontId="0" fillId="0" borderId="0" xfId="0" applyFill="1" applyAlignment="1">
      <alignment/>
    </xf>
    <xf numFmtId="3" fontId="52" fillId="0" borderId="0" xfId="0" applyFont="1" applyFill="1" applyAlignment="1">
      <alignment/>
    </xf>
    <xf numFmtId="165" fontId="4" fillId="0" borderId="29" xfId="38" applyNumberFormat="1" applyFont="1" applyFill="1" applyBorder="1" applyAlignment="1">
      <alignment horizontal="center"/>
    </xf>
    <xf numFmtId="165" fontId="4" fillId="0" borderId="30" xfId="38" applyNumberFormat="1" applyFont="1" applyFill="1" applyBorder="1" applyAlignment="1">
      <alignment horizontal="center"/>
    </xf>
    <xf numFmtId="165" fontId="4" fillId="0" borderId="25" xfId="38" applyNumberFormat="1" applyFont="1" applyFill="1" applyBorder="1" applyAlignment="1">
      <alignment horizontal="center"/>
    </xf>
    <xf numFmtId="4" fontId="4" fillId="0" borderId="25" xfId="38" applyNumberFormat="1" applyFont="1" applyFill="1" applyBorder="1" applyAlignment="1">
      <alignment/>
    </xf>
    <xf numFmtId="166" fontId="4" fillId="0" borderId="25" xfId="38" applyNumberFormat="1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4" fillId="0" borderId="25" xfId="38" applyNumberFormat="1" applyFont="1" applyFill="1" applyBorder="1" applyAlignment="1">
      <alignment/>
    </xf>
    <xf numFmtId="4" fontId="0" fillId="0" borderId="25" xfId="38" applyNumberFormat="1" applyFont="1" applyFill="1" applyBorder="1" applyAlignment="1">
      <alignment/>
    </xf>
    <xf numFmtId="4" fontId="2" fillId="0" borderId="30" xfId="38" applyNumberFormat="1" applyFont="1" applyFill="1" applyBorder="1" applyAlignment="1">
      <alignment vertical="center"/>
    </xf>
    <xf numFmtId="4" fontId="6" fillId="0" borderId="25" xfId="38" applyNumberFormat="1" applyFont="1" applyFill="1" applyBorder="1" applyAlignment="1">
      <alignment/>
    </xf>
    <xf numFmtId="4" fontId="6" fillId="0" borderId="25" xfId="38" applyNumberFormat="1" applyFont="1" applyFill="1" applyBorder="1" applyAlignment="1">
      <alignment/>
    </xf>
    <xf numFmtId="4" fontId="4" fillId="0" borderId="57" xfId="38" applyNumberFormat="1" applyFont="1" applyFill="1" applyBorder="1" applyAlignment="1">
      <alignment/>
    </xf>
    <xf numFmtId="4" fontId="3" fillId="0" borderId="34" xfId="38" applyNumberFormat="1" applyFont="1" applyFill="1" applyBorder="1" applyAlignment="1">
      <alignment vertical="center"/>
    </xf>
    <xf numFmtId="4" fontId="4" fillId="0" borderId="34" xfId="38" applyNumberFormat="1" applyFont="1" applyFill="1" applyBorder="1" applyAlignment="1">
      <alignment vertical="center"/>
    </xf>
    <xf numFmtId="4" fontId="2" fillId="0" borderId="34" xfId="38" applyNumberFormat="1" applyFont="1" applyFill="1" applyBorder="1" applyAlignment="1">
      <alignment vertical="center"/>
    </xf>
    <xf numFmtId="4" fontId="3" fillId="0" borderId="29" xfId="38" applyNumberFormat="1" applyFont="1" applyFill="1" applyBorder="1" applyAlignment="1">
      <alignment vertical="center"/>
    </xf>
    <xf numFmtId="4" fontId="3" fillId="0" borderId="25" xfId="38" applyNumberFormat="1" applyFont="1" applyFill="1" applyBorder="1" applyAlignment="1">
      <alignment vertical="center"/>
    </xf>
    <xf numFmtId="4" fontId="3" fillId="0" borderId="30" xfId="38" applyNumberFormat="1" applyFont="1" applyFill="1" applyBorder="1" applyAlignment="1">
      <alignment vertical="center"/>
    </xf>
    <xf numFmtId="4" fontId="2" fillId="0" borderId="29" xfId="38" applyNumberFormat="1" applyFont="1" applyFill="1" applyBorder="1" applyAlignment="1">
      <alignment vertical="center"/>
    </xf>
    <xf numFmtId="4" fontId="2" fillId="0" borderId="25" xfId="38" applyNumberFormat="1" applyFont="1" applyFill="1" applyBorder="1" applyAlignment="1">
      <alignment vertical="center"/>
    </xf>
    <xf numFmtId="4" fontId="8" fillId="0" borderId="25" xfId="38" applyNumberFormat="1" applyFont="1" applyFill="1" applyBorder="1" applyAlignment="1">
      <alignment vertical="center"/>
    </xf>
    <xf numFmtId="4" fontId="8" fillId="0" borderId="30" xfId="38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3" fontId="0" fillId="0" borderId="19" xfId="0" applyFont="1" applyBorder="1" applyAlignment="1">
      <alignment/>
    </xf>
    <xf numFmtId="3" fontId="7" fillId="0" borderId="30" xfId="0" applyFont="1" applyBorder="1" applyAlignment="1">
      <alignment horizontal="center"/>
    </xf>
    <xf numFmtId="174" fontId="0" fillId="0" borderId="19" xfId="38" applyNumberFormat="1" applyFont="1" applyBorder="1" applyAlignment="1">
      <alignment/>
    </xf>
    <xf numFmtId="174" fontId="0" fillId="0" borderId="36" xfId="38" applyNumberFormat="1" applyFont="1" applyBorder="1" applyAlignment="1">
      <alignment/>
    </xf>
    <xf numFmtId="174" fontId="0" fillId="0" borderId="40" xfId="38" applyNumberFormat="1" applyFont="1" applyBorder="1" applyAlignment="1">
      <alignment/>
    </xf>
    <xf numFmtId="4" fontId="0" fillId="0" borderId="22" xfId="38" applyNumberFormat="1" applyFont="1" applyBorder="1" applyAlignment="1">
      <alignment/>
    </xf>
    <xf numFmtId="4" fontId="0" fillId="0" borderId="50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4" fontId="0" fillId="0" borderId="24" xfId="38" applyNumberFormat="1" applyFont="1" applyBorder="1" applyAlignment="1">
      <alignment/>
    </xf>
    <xf numFmtId="4" fontId="0" fillId="0" borderId="22" xfId="38" applyNumberFormat="1" applyFont="1" applyFill="1" applyBorder="1" applyAlignment="1">
      <alignment/>
    </xf>
    <xf numFmtId="3" fontId="0" fillId="0" borderId="19" xfId="0" applyFont="1" applyBorder="1" applyAlignment="1">
      <alignment/>
    </xf>
    <xf numFmtId="4" fontId="0" fillId="0" borderId="30" xfId="38" applyNumberFormat="1" applyFont="1" applyFill="1" applyBorder="1" applyAlignment="1">
      <alignment/>
    </xf>
    <xf numFmtId="3" fontId="0" fillId="0" borderId="19" xfId="0" applyBorder="1" applyAlignment="1">
      <alignment/>
    </xf>
    <xf numFmtId="174" fontId="0" fillId="0" borderId="36" xfId="38" applyNumberFormat="1" applyFont="1" applyFill="1" applyBorder="1" applyAlignment="1">
      <alignment/>
    </xf>
    <xf numFmtId="3" fontId="0" fillId="0" borderId="21" xfId="0" applyBorder="1" applyAlignment="1">
      <alignment/>
    </xf>
    <xf numFmtId="3" fontId="7" fillId="0" borderId="29" xfId="0" applyFont="1" applyBorder="1" applyAlignment="1">
      <alignment horizontal="center"/>
    </xf>
    <xf numFmtId="174" fontId="0" fillId="0" borderId="21" xfId="38" applyNumberFormat="1" applyFont="1" applyBorder="1" applyAlignment="1">
      <alignment/>
    </xf>
    <xf numFmtId="174" fontId="0" fillId="0" borderId="37" xfId="38" applyNumberFormat="1" applyFont="1" applyBorder="1" applyAlignment="1">
      <alignment/>
    </xf>
    <xf numFmtId="174" fontId="0" fillId="0" borderId="39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0" fillId="0" borderId="47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0" fillId="0" borderId="13" xfId="38" applyNumberFormat="1" applyFont="1" applyBorder="1" applyAlignment="1">
      <alignment/>
    </xf>
    <xf numFmtId="4" fontId="0" fillId="0" borderId="29" xfId="38" applyNumberFormat="1" applyFont="1" applyFill="1" applyBorder="1" applyAlignment="1">
      <alignment/>
    </xf>
    <xf numFmtId="165" fontId="9" fillId="0" borderId="12" xfId="38" applyNumberFormat="1" applyFont="1" applyBorder="1" applyAlignment="1">
      <alignment horizontal="center"/>
    </xf>
    <xf numFmtId="165" fontId="9" fillId="0" borderId="23" xfId="38" applyNumberFormat="1" applyFont="1" applyBorder="1" applyAlignment="1">
      <alignment horizont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1" xfId="0" applyFont="1" applyBorder="1" applyAlignment="1">
      <alignment horizontal="center" vertical="center"/>
    </xf>
    <xf numFmtId="3" fontId="0" fillId="0" borderId="19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1"/>
  <sheetViews>
    <sheetView zoomScaleSheetLayoutView="69" zoomScalePageLayoutView="0" workbookViewId="0" topLeftCell="A1">
      <pane xSplit="1" ySplit="9" topLeftCell="C16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207" sqref="M207"/>
    </sheetView>
  </sheetViews>
  <sheetFormatPr defaultColWidth="9.00390625" defaultRowHeight="12.75"/>
  <cols>
    <col min="1" max="1" width="50.625" style="0" customWidth="1"/>
    <col min="2" max="2" width="7.50390625" style="0" hidden="1" customWidth="1"/>
    <col min="3" max="3" width="15.375" style="0" customWidth="1"/>
    <col min="4" max="4" width="17.50390625" style="0" hidden="1" customWidth="1"/>
    <col min="5" max="5" width="12.00390625" style="0" hidden="1" customWidth="1"/>
    <col min="6" max="6" width="16.50390625" style="0" hidden="1" customWidth="1"/>
    <col min="7" max="7" width="12.50390625" style="0" hidden="1" customWidth="1"/>
    <col min="8" max="8" width="12.625" style="0" hidden="1" customWidth="1"/>
    <col min="9" max="9" width="15.50390625" style="0" hidden="1" customWidth="1"/>
    <col min="10" max="11" width="13.625" style="0" hidden="1" customWidth="1"/>
    <col min="12" max="12" width="16.00390625" style="0" bestFit="1" customWidth="1"/>
    <col min="13" max="13" width="13.50390625" style="304" customWidth="1"/>
    <col min="14" max="14" width="13.50390625" style="0" hidden="1" customWidth="1"/>
    <col min="15" max="15" width="16.625" style="0" customWidth="1"/>
    <col min="16" max="16" width="13.375" style="0" hidden="1" customWidth="1"/>
    <col min="17" max="17" width="17.625" style="0" hidden="1" customWidth="1"/>
    <col min="19" max="19" width="14.875" style="0" customWidth="1"/>
  </cols>
  <sheetData>
    <row r="1" spans="3:17" ht="12.75">
      <c r="C1" s="1"/>
      <c r="D1" s="1"/>
      <c r="E1" s="1"/>
      <c r="F1" s="2"/>
      <c r="I1" s="2"/>
      <c r="L1" s="2"/>
      <c r="O1" s="2" t="s">
        <v>132</v>
      </c>
      <c r="Q1" s="2" t="s">
        <v>132</v>
      </c>
    </row>
    <row r="2" spans="3:6" ht="9.75" customHeight="1">
      <c r="C2" s="1"/>
      <c r="D2" s="1"/>
      <c r="E2" s="1"/>
      <c r="F2" s="2"/>
    </row>
    <row r="3" spans="1:17" ht="15">
      <c r="A3" s="358" t="s">
        <v>242</v>
      </c>
      <c r="B3" s="358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7" ht="15">
      <c r="A4" s="360" t="s">
        <v>278</v>
      </c>
      <c r="B4" s="360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</row>
    <row r="5" spans="1:17" ht="13.5">
      <c r="A5" s="361" t="s">
        <v>0</v>
      </c>
      <c r="B5" s="361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</row>
    <row r="6" spans="1:17" ht="12.75">
      <c r="A6" s="362" t="s">
        <v>1</v>
      </c>
      <c r="B6" s="362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</row>
    <row r="7" spans="1:13" ht="18" customHeight="1" thickBot="1">
      <c r="A7" s="3"/>
      <c r="B7" s="3"/>
      <c r="C7" s="4"/>
      <c r="D7" s="88"/>
      <c r="E7" s="4"/>
      <c r="F7" s="4"/>
      <c r="G7" s="44"/>
      <c r="J7" s="47"/>
      <c r="M7" s="305"/>
    </row>
    <row r="8" spans="1:17" ht="12.75">
      <c r="A8" s="363" t="s">
        <v>2</v>
      </c>
      <c r="B8" s="55" t="s">
        <v>228</v>
      </c>
      <c r="C8" s="191" t="s">
        <v>3</v>
      </c>
      <c r="D8" s="145" t="s">
        <v>4</v>
      </c>
      <c r="E8" s="145" t="s">
        <v>5</v>
      </c>
      <c r="F8" s="116" t="s">
        <v>6</v>
      </c>
      <c r="G8" s="7" t="s">
        <v>7</v>
      </c>
      <c r="H8" s="206" t="s">
        <v>5</v>
      </c>
      <c r="I8" s="191" t="s">
        <v>6</v>
      </c>
      <c r="J8" s="7" t="s">
        <v>8</v>
      </c>
      <c r="K8" s="8" t="s">
        <v>5</v>
      </c>
      <c r="L8" s="9" t="s">
        <v>6</v>
      </c>
      <c r="M8" s="306" t="s">
        <v>9</v>
      </c>
      <c r="N8" s="8" t="s">
        <v>5</v>
      </c>
      <c r="O8" s="9" t="s">
        <v>6</v>
      </c>
      <c r="P8" s="145" t="s">
        <v>157</v>
      </c>
      <c r="Q8" s="49" t="s">
        <v>6</v>
      </c>
    </row>
    <row r="9" spans="1:17" ht="13.5" thickBot="1">
      <c r="A9" s="364"/>
      <c r="B9" s="96" t="s">
        <v>172</v>
      </c>
      <c r="C9" s="192" t="s">
        <v>10</v>
      </c>
      <c r="D9" s="146" t="s">
        <v>11</v>
      </c>
      <c r="E9" s="146" t="s">
        <v>12</v>
      </c>
      <c r="F9" s="117" t="s">
        <v>13</v>
      </c>
      <c r="G9" s="41" t="s">
        <v>11</v>
      </c>
      <c r="H9" s="207" t="s">
        <v>12</v>
      </c>
      <c r="I9" s="192" t="s">
        <v>14</v>
      </c>
      <c r="J9" s="41" t="s">
        <v>11</v>
      </c>
      <c r="K9" s="42" t="s">
        <v>12</v>
      </c>
      <c r="L9" s="43" t="s">
        <v>15</v>
      </c>
      <c r="M9" s="307" t="s">
        <v>11</v>
      </c>
      <c r="N9" s="42" t="s">
        <v>12</v>
      </c>
      <c r="O9" s="43" t="s">
        <v>16</v>
      </c>
      <c r="P9" s="146" t="s">
        <v>11</v>
      </c>
      <c r="Q9" s="50" t="s">
        <v>158</v>
      </c>
    </row>
    <row r="10" spans="1:17" ht="15.75" customHeight="1">
      <c r="A10" s="39" t="s">
        <v>17</v>
      </c>
      <c r="B10" s="56"/>
      <c r="C10" s="193"/>
      <c r="D10" s="147"/>
      <c r="E10" s="147"/>
      <c r="F10" s="118"/>
      <c r="G10" s="13"/>
      <c r="H10" s="208"/>
      <c r="I10" s="193"/>
      <c r="J10" s="13"/>
      <c r="K10" s="5"/>
      <c r="L10" s="40"/>
      <c r="M10" s="308"/>
      <c r="N10" s="5"/>
      <c r="O10" s="40"/>
      <c r="P10" s="290"/>
      <c r="Q10" s="51"/>
    </row>
    <row r="11" spans="1:17" ht="12.75">
      <c r="A11" s="14" t="s">
        <v>218</v>
      </c>
      <c r="B11" s="57"/>
      <c r="C11" s="133">
        <f>C13+C14+C15+C16</f>
        <v>4637203.01</v>
      </c>
      <c r="D11" s="86">
        <f>D13+D14+D15+D16</f>
        <v>-93212.15</v>
      </c>
      <c r="E11" s="86">
        <f>E13+E14+E15</f>
        <v>0</v>
      </c>
      <c r="F11" s="94">
        <f>F13+F14+F15+F16</f>
        <v>4543990.859999999</v>
      </c>
      <c r="G11" s="79">
        <f>G13+G14+G15+G16</f>
        <v>814</v>
      </c>
      <c r="H11" s="209">
        <f aca="true" t="shared" si="0" ref="H11:Q11">H13+H14+H15+H16</f>
        <v>88608.29</v>
      </c>
      <c r="I11" s="229">
        <f t="shared" si="0"/>
        <v>4633413.149999999</v>
      </c>
      <c r="J11" s="168">
        <f t="shared" si="0"/>
        <v>0</v>
      </c>
      <c r="K11" s="246">
        <f t="shared" si="0"/>
        <v>0</v>
      </c>
      <c r="L11" s="247">
        <f t="shared" si="0"/>
        <v>4633413.149999999</v>
      </c>
      <c r="M11" s="309">
        <f t="shared" si="0"/>
        <v>0</v>
      </c>
      <c r="N11" s="246">
        <f t="shared" si="0"/>
        <v>0</v>
      </c>
      <c r="O11" s="247">
        <f t="shared" si="0"/>
        <v>4633413.149999999</v>
      </c>
      <c r="P11" s="94">
        <f t="shared" si="0"/>
        <v>0</v>
      </c>
      <c r="Q11" s="94">
        <f t="shared" si="0"/>
        <v>26787.85</v>
      </c>
    </row>
    <row r="12" spans="1:17" ht="12.75">
      <c r="A12" s="15" t="s">
        <v>18</v>
      </c>
      <c r="B12" s="58"/>
      <c r="C12" s="133"/>
      <c r="D12" s="86"/>
      <c r="E12" s="86"/>
      <c r="F12" s="94"/>
      <c r="G12" s="10"/>
      <c r="H12" s="209"/>
      <c r="I12" s="229"/>
      <c r="J12" s="168"/>
      <c r="K12" s="246"/>
      <c r="L12" s="247"/>
      <c r="M12" s="310"/>
      <c r="N12" s="6"/>
      <c r="O12" s="11"/>
      <c r="P12" s="93"/>
      <c r="Q12" s="52"/>
    </row>
    <row r="13" spans="1:17" ht="12.75">
      <c r="A13" s="66" t="s">
        <v>225</v>
      </c>
      <c r="B13" s="58"/>
      <c r="C13" s="134">
        <v>4633763.01</v>
      </c>
      <c r="D13" s="99">
        <v>-150000</v>
      </c>
      <c r="E13" s="86"/>
      <c r="F13" s="89">
        <f>C13+D13+E13</f>
        <v>4483763.01</v>
      </c>
      <c r="G13" s="81">
        <f>747</f>
        <v>747</v>
      </c>
      <c r="H13" s="210">
        <f>800+87808.29</f>
        <v>88608.29</v>
      </c>
      <c r="I13" s="230">
        <f>F13+G13+H13</f>
        <v>4573118.3</v>
      </c>
      <c r="J13" s="168"/>
      <c r="K13" s="246"/>
      <c r="L13" s="248">
        <f>I13+J13+K13</f>
        <v>4573118.3</v>
      </c>
      <c r="M13" s="292">
        <v>0</v>
      </c>
      <c r="N13" s="246"/>
      <c r="O13" s="248">
        <f>L13+M13+N13</f>
        <v>4573118.3</v>
      </c>
      <c r="P13" s="93"/>
      <c r="Q13" s="52"/>
    </row>
    <row r="14" spans="1:17" ht="12.75">
      <c r="A14" s="16" t="s">
        <v>19</v>
      </c>
      <c r="B14" s="59"/>
      <c r="C14" s="134"/>
      <c r="D14" s="150">
        <f>26787.85</f>
        <v>26787.85</v>
      </c>
      <c r="E14" s="99"/>
      <c r="F14" s="89">
        <f>C14+D14+E14</f>
        <v>26787.85</v>
      </c>
      <c r="G14" s="81"/>
      <c r="H14" s="209"/>
      <c r="I14" s="230">
        <f>F14+G14+H14</f>
        <v>26787.85</v>
      </c>
      <c r="J14" s="169"/>
      <c r="K14" s="246"/>
      <c r="L14" s="248">
        <f>I14+J14+K14</f>
        <v>26787.85</v>
      </c>
      <c r="M14" s="292"/>
      <c r="N14" s="246"/>
      <c r="O14" s="248">
        <f>L14+M14+N14</f>
        <v>26787.85</v>
      </c>
      <c r="P14" s="93"/>
      <c r="Q14" s="52">
        <f aca="true" t="shared" si="1" ref="Q14:Q78">O14+P14</f>
        <v>26787.85</v>
      </c>
    </row>
    <row r="15" spans="1:17" ht="12.75">
      <c r="A15" s="66" t="s">
        <v>226</v>
      </c>
      <c r="B15" s="59"/>
      <c r="C15" s="134">
        <v>3440</v>
      </c>
      <c r="D15" s="150"/>
      <c r="E15" s="99"/>
      <c r="F15" s="89">
        <f>C15+D15+E15</f>
        <v>3440</v>
      </c>
      <c r="G15" s="81">
        <f>67</f>
        <v>67</v>
      </c>
      <c r="H15" s="209"/>
      <c r="I15" s="230">
        <f>F15+G15+H15</f>
        <v>3507</v>
      </c>
      <c r="J15" s="169"/>
      <c r="K15" s="246"/>
      <c r="L15" s="248">
        <f>I15+J15+K15</f>
        <v>3507</v>
      </c>
      <c r="M15" s="292"/>
      <c r="N15" s="246"/>
      <c r="O15" s="248">
        <f>L15+M15+N15</f>
        <v>3507</v>
      </c>
      <c r="P15" s="93"/>
      <c r="Q15" s="52"/>
    </row>
    <row r="16" spans="1:17" ht="12.75">
      <c r="A16" s="66" t="s">
        <v>291</v>
      </c>
      <c r="B16" s="59"/>
      <c r="C16" s="134"/>
      <c r="D16" s="150">
        <f>30000</f>
        <v>30000</v>
      </c>
      <c r="E16" s="99"/>
      <c r="F16" s="89">
        <f>C16+D16+E16</f>
        <v>30000</v>
      </c>
      <c r="G16" s="81"/>
      <c r="H16" s="209"/>
      <c r="I16" s="230">
        <f>F16+G16+H16</f>
        <v>30000</v>
      </c>
      <c r="J16" s="169"/>
      <c r="K16" s="246"/>
      <c r="L16" s="248">
        <f>I16+J16+K16</f>
        <v>30000</v>
      </c>
      <c r="M16" s="292"/>
      <c r="N16" s="246"/>
      <c r="O16" s="248">
        <f>L16+M16+N16</f>
        <v>30000</v>
      </c>
      <c r="P16" s="93"/>
      <c r="Q16" s="52"/>
    </row>
    <row r="17" spans="1:17" ht="12.75">
      <c r="A17" s="14" t="s">
        <v>219</v>
      </c>
      <c r="B17" s="57"/>
      <c r="C17" s="133">
        <f aca="true" t="shared" si="2" ref="C17:Q17">SUM(C19:C25)+C32</f>
        <v>266083.59</v>
      </c>
      <c r="D17" s="86">
        <f t="shared" si="2"/>
        <v>2715.949999999997</v>
      </c>
      <c r="E17" s="86">
        <f t="shared" si="2"/>
        <v>0</v>
      </c>
      <c r="F17" s="94">
        <f t="shared" si="2"/>
        <v>268799.54</v>
      </c>
      <c r="G17" s="168">
        <f t="shared" si="2"/>
        <v>25399.82</v>
      </c>
      <c r="H17" s="209">
        <f t="shared" si="2"/>
        <v>987.92</v>
      </c>
      <c r="I17" s="229">
        <f t="shared" si="2"/>
        <v>295187.27999999997</v>
      </c>
      <c r="J17" s="168">
        <f t="shared" si="2"/>
        <v>69913.29000000001</v>
      </c>
      <c r="K17" s="246">
        <f t="shared" si="2"/>
        <v>0</v>
      </c>
      <c r="L17" s="247">
        <f t="shared" si="2"/>
        <v>365100.57</v>
      </c>
      <c r="M17" s="309">
        <f t="shared" si="2"/>
        <v>28662.860000000004</v>
      </c>
      <c r="N17" s="246">
        <f t="shared" si="2"/>
        <v>0</v>
      </c>
      <c r="O17" s="247">
        <f t="shared" si="2"/>
        <v>393763.43000000005</v>
      </c>
      <c r="P17" s="86">
        <f t="shared" si="2"/>
        <v>0</v>
      </c>
      <c r="Q17" s="86">
        <f t="shared" si="2"/>
        <v>393763.43000000005</v>
      </c>
    </row>
    <row r="18" spans="1:17" ht="10.5" customHeight="1">
      <c r="A18" s="15" t="s">
        <v>20</v>
      </c>
      <c r="B18" s="58"/>
      <c r="C18" s="133"/>
      <c r="D18" s="86"/>
      <c r="E18" s="86"/>
      <c r="F18" s="94"/>
      <c r="G18" s="168"/>
      <c r="H18" s="209"/>
      <c r="I18" s="229"/>
      <c r="J18" s="168"/>
      <c r="K18" s="246"/>
      <c r="L18" s="247"/>
      <c r="M18" s="309"/>
      <c r="N18" s="246"/>
      <c r="O18" s="247"/>
      <c r="P18" s="93"/>
      <c r="Q18" s="52"/>
    </row>
    <row r="19" spans="1:17" ht="12.75">
      <c r="A19" s="16" t="s">
        <v>21</v>
      </c>
      <c r="B19" s="59"/>
      <c r="C19" s="134">
        <v>6000</v>
      </c>
      <c r="D19" s="99"/>
      <c r="E19" s="99"/>
      <c r="F19" s="89">
        <f>C19+D19+E19</f>
        <v>6000</v>
      </c>
      <c r="G19" s="169"/>
      <c r="H19" s="210"/>
      <c r="I19" s="230">
        <f>F19+G19+H19</f>
        <v>6000</v>
      </c>
      <c r="J19" s="169">
        <f>21.16</f>
        <v>21.16</v>
      </c>
      <c r="K19" s="249"/>
      <c r="L19" s="248">
        <f>I19+J19+K19</f>
        <v>6021.16</v>
      </c>
      <c r="M19" s="292">
        <f>481.7</f>
        <v>481.7</v>
      </c>
      <c r="N19" s="249"/>
      <c r="O19" s="248">
        <f>L19+M19+N19</f>
        <v>6502.86</v>
      </c>
      <c r="P19" s="93"/>
      <c r="Q19" s="52">
        <f t="shared" si="1"/>
        <v>6502.86</v>
      </c>
    </row>
    <row r="20" spans="1:17" ht="12.75">
      <c r="A20" s="66" t="s">
        <v>256</v>
      </c>
      <c r="B20" s="59"/>
      <c r="C20" s="134"/>
      <c r="D20" s="99">
        <f>213.18+5241.84+3126.66</f>
        <v>8581.68</v>
      </c>
      <c r="E20" s="99"/>
      <c r="F20" s="89">
        <f aca="true" t="shared" si="3" ref="F20:F32">C20+D20+E20</f>
        <v>8581.68</v>
      </c>
      <c r="G20" s="169">
        <f>14458.98+300+5932</f>
        <v>20690.98</v>
      </c>
      <c r="H20" s="210"/>
      <c r="I20" s="230">
        <f>F20+G20+H20</f>
        <v>29272.66</v>
      </c>
      <c r="J20" s="169">
        <f>462.48+10194.92+534.48+13590.04+13844.44+10259.44+2274.76</f>
        <v>51160.560000000005</v>
      </c>
      <c r="K20" s="249"/>
      <c r="L20" s="248">
        <f>I20+J20+K20</f>
        <v>80433.22</v>
      </c>
      <c r="M20" s="292">
        <f>1191.2+25.34+9654.84+10580.6+2622.76</f>
        <v>24074.740000000005</v>
      </c>
      <c r="N20" s="249"/>
      <c r="O20" s="248">
        <f>L20+M20+N20</f>
        <v>104507.96</v>
      </c>
      <c r="P20" s="93"/>
      <c r="Q20" s="52">
        <f t="shared" si="1"/>
        <v>104507.96</v>
      </c>
    </row>
    <row r="21" spans="1:17" ht="12.75">
      <c r="A21" s="66" t="s">
        <v>262</v>
      </c>
      <c r="B21" s="59"/>
      <c r="C21" s="134">
        <v>30000</v>
      </c>
      <c r="D21" s="99">
        <f>-30000</f>
        <v>-30000</v>
      </c>
      <c r="E21" s="99"/>
      <c r="F21" s="89">
        <f t="shared" si="3"/>
        <v>0</v>
      </c>
      <c r="G21" s="169"/>
      <c r="H21" s="210"/>
      <c r="I21" s="230">
        <f>F21+G21+H21</f>
        <v>0</v>
      </c>
      <c r="J21" s="169"/>
      <c r="K21" s="249"/>
      <c r="L21" s="248">
        <f>I21+J21+K21</f>
        <v>0</v>
      </c>
      <c r="M21" s="292"/>
      <c r="N21" s="249"/>
      <c r="O21" s="248">
        <f>L21+M21+N21</f>
        <v>0</v>
      </c>
      <c r="P21" s="93"/>
      <c r="Q21" s="52">
        <f t="shared" si="1"/>
        <v>0</v>
      </c>
    </row>
    <row r="22" spans="1:17" ht="12.75">
      <c r="A22" s="17" t="s">
        <v>257</v>
      </c>
      <c r="B22" s="60"/>
      <c r="C22" s="134">
        <v>121834.08</v>
      </c>
      <c r="D22" s="99"/>
      <c r="E22" s="99"/>
      <c r="F22" s="89">
        <f t="shared" si="3"/>
        <v>121834.08</v>
      </c>
      <c r="G22" s="169"/>
      <c r="H22" s="210"/>
      <c r="I22" s="230">
        <f>F22+G22+H22</f>
        <v>121834.08</v>
      </c>
      <c r="J22" s="169"/>
      <c r="K22" s="249"/>
      <c r="L22" s="248">
        <f>I22+J22+K22</f>
        <v>121834.08</v>
      </c>
      <c r="M22" s="292"/>
      <c r="N22" s="249"/>
      <c r="O22" s="248">
        <f>L22+M22+N22</f>
        <v>121834.08</v>
      </c>
      <c r="P22" s="93"/>
      <c r="Q22" s="52">
        <f t="shared" si="1"/>
        <v>121834.08</v>
      </c>
    </row>
    <row r="23" spans="1:17" ht="12.75" hidden="1">
      <c r="A23" s="17" t="s">
        <v>258</v>
      </c>
      <c r="B23" s="60"/>
      <c r="C23" s="134"/>
      <c r="D23" s="99"/>
      <c r="E23" s="99"/>
      <c r="F23" s="89">
        <f t="shared" si="3"/>
        <v>0</v>
      </c>
      <c r="G23" s="169"/>
      <c r="H23" s="210"/>
      <c r="I23" s="230"/>
      <c r="J23" s="169"/>
      <c r="K23" s="249"/>
      <c r="L23" s="248"/>
      <c r="M23" s="292"/>
      <c r="N23" s="249"/>
      <c r="O23" s="248"/>
      <c r="P23" s="93"/>
      <c r="Q23" s="52"/>
    </row>
    <row r="24" spans="1:17" ht="12.75">
      <c r="A24" s="17" t="s">
        <v>259</v>
      </c>
      <c r="B24" s="60"/>
      <c r="C24" s="134"/>
      <c r="D24" s="99">
        <f>69.49+2718.44+50.49+432.1+127.5+46.95+16.23+160.66</f>
        <v>3621.859999999999</v>
      </c>
      <c r="E24" s="99"/>
      <c r="F24" s="89">
        <f t="shared" si="3"/>
        <v>3621.859999999999</v>
      </c>
      <c r="G24" s="169">
        <f>17.58+7.68+256.49+2092.13+484.9</f>
        <v>2858.78</v>
      </c>
      <c r="H24" s="210"/>
      <c r="I24" s="230">
        <f>F24+G24+H24</f>
        <v>6480.639999999999</v>
      </c>
      <c r="J24" s="169">
        <f>227.63+53.5+1938.48+1532.14+1321.93+3000+6255.98+57.3+74.5+200.4+335.85+1079.76+530+191.77</f>
        <v>16799.24</v>
      </c>
      <c r="K24" s="249"/>
      <c r="L24" s="248">
        <f>I24+J24+K24</f>
        <v>23279.88</v>
      </c>
      <c r="M24" s="292">
        <f>-1.13+1290.61+76+141.69-1160-3000+4042.58+107.32+132.41+250.83+757.5+1127.06</f>
        <v>3764.87</v>
      </c>
      <c r="N24" s="249"/>
      <c r="O24" s="248">
        <f>L24+M24+N24</f>
        <v>27044.75</v>
      </c>
      <c r="P24" s="93"/>
      <c r="Q24" s="52">
        <f t="shared" si="1"/>
        <v>27044.75</v>
      </c>
    </row>
    <row r="25" spans="1:17" ht="12.75">
      <c r="A25" s="16" t="s">
        <v>22</v>
      </c>
      <c r="B25" s="59"/>
      <c r="C25" s="134">
        <f>SUM(C26:C31)</f>
        <v>108249.51000000001</v>
      </c>
      <c r="D25" s="99">
        <f>SUM(D26:D31)</f>
        <v>127.7</v>
      </c>
      <c r="E25" s="99">
        <f aca="true" t="shared" si="4" ref="E25:Q25">SUM(E26:E31)</f>
        <v>0</v>
      </c>
      <c r="F25" s="89">
        <f t="shared" si="4"/>
        <v>108377.20999999999</v>
      </c>
      <c r="G25" s="169">
        <f t="shared" si="4"/>
        <v>1826.4</v>
      </c>
      <c r="H25" s="210">
        <f t="shared" si="4"/>
        <v>0</v>
      </c>
      <c r="I25" s="230">
        <f t="shared" si="4"/>
        <v>110203.60999999999</v>
      </c>
      <c r="J25" s="169">
        <f t="shared" si="4"/>
        <v>1151.8600000000001</v>
      </c>
      <c r="K25" s="249">
        <f t="shared" si="4"/>
        <v>0</v>
      </c>
      <c r="L25" s="248">
        <f t="shared" si="4"/>
        <v>111355.46999999997</v>
      </c>
      <c r="M25" s="292">
        <f t="shared" si="4"/>
        <v>341.55</v>
      </c>
      <c r="N25" s="249">
        <f t="shared" si="4"/>
        <v>0</v>
      </c>
      <c r="O25" s="248">
        <f t="shared" si="4"/>
        <v>111697.01999999999</v>
      </c>
      <c r="P25" s="99">
        <f t="shared" si="4"/>
        <v>0</v>
      </c>
      <c r="Q25" s="134">
        <f t="shared" si="4"/>
        <v>111697.01999999999</v>
      </c>
    </row>
    <row r="26" spans="1:17" ht="12.75">
      <c r="A26" s="16" t="s">
        <v>23</v>
      </c>
      <c r="B26" s="59"/>
      <c r="C26" s="134">
        <v>44302</v>
      </c>
      <c r="D26" s="99">
        <f>127.7</f>
        <v>127.7</v>
      </c>
      <c r="E26" s="99"/>
      <c r="F26" s="89">
        <f t="shared" si="3"/>
        <v>44429.7</v>
      </c>
      <c r="G26" s="169">
        <f>1397.7</f>
        <v>1397.7</v>
      </c>
      <c r="H26" s="210"/>
      <c r="I26" s="230">
        <f aca="true" t="shared" si="5" ref="I26:I32">F26+G26+H26</f>
        <v>45827.399999999994</v>
      </c>
      <c r="J26" s="169">
        <f>1266.21</f>
        <v>1266.21</v>
      </c>
      <c r="K26" s="249"/>
      <c r="L26" s="248">
        <f aca="true" t="shared" si="6" ref="L26:L32">I26+J26+K26</f>
        <v>47093.60999999999</v>
      </c>
      <c r="M26" s="292">
        <f>9.42+203.83</f>
        <v>213.25</v>
      </c>
      <c r="N26" s="249"/>
      <c r="O26" s="248">
        <f aca="true" t="shared" si="7" ref="O26:O32">L26+M26+N26</f>
        <v>47306.85999999999</v>
      </c>
      <c r="P26" s="93"/>
      <c r="Q26" s="52">
        <f t="shared" si="1"/>
        <v>47306.85999999999</v>
      </c>
    </row>
    <row r="27" spans="1:17" ht="12.75">
      <c r="A27" s="17" t="s">
        <v>144</v>
      </c>
      <c r="B27" s="60"/>
      <c r="C27" s="134">
        <v>899.66</v>
      </c>
      <c r="D27" s="99"/>
      <c r="E27" s="99"/>
      <c r="F27" s="89">
        <f t="shared" si="3"/>
        <v>899.66</v>
      </c>
      <c r="G27" s="169"/>
      <c r="H27" s="210"/>
      <c r="I27" s="230">
        <f t="shared" si="5"/>
        <v>899.66</v>
      </c>
      <c r="J27" s="169"/>
      <c r="K27" s="249"/>
      <c r="L27" s="248">
        <f t="shared" si="6"/>
        <v>899.66</v>
      </c>
      <c r="M27" s="292"/>
      <c r="N27" s="249"/>
      <c r="O27" s="248">
        <f t="shared" si="7"/>
        <v>899.66</v>
      </c>
      <c r="P27" s="93"/>
      <c r="Q27" s="52">
        <f t="shared" si="1"/>
        <v>899.66</v>
      </c>
    </row>
    <row r="28" spans="1:17" ht="12.75">
      <c r="A28" s="16" t="s">
        <v>24</v>
      </c>
      <c r="B28" s="59"/>
      <c r="C28" s="134">
        <v>23039</v>
      </c>
      <c r="D28" s="99"/>
      <c r="E28" s="99"/>
      <c r="F28" s="89">
        <f t="shared" si="3"/>
        <v>23039</v>
      </c>
      <c r="G28" s="169"/>
      <c r="H28" s="210"/>
      <c r="I28" s="230">
        <f t="shared" si="5"/>
        <v>23039</v>
      </c>
      <c r="J28" s="169"/>
      <c r="K28" s="249"/>
      <c r="L28" s="248">
        <f t="shared" si="6"/>
        <v>23039</v>
      </c>
      <c r="M28" s="292"/>
      <c r="N28" s="249"/>
      <c r="O28" s="248">
        <f t="shared" si="7"/>
        <v>23039</v>
      </c>
      <c r="P28" s="93"/>
      <c r="Q28" s="52">
        <f t="shared" si="1"/>
        <v>23039</v>
      </c>
    </row>
    <row r="29" spans="1:17" ht="12.75">
      <c r="A29" s="17" t="s">
        <v>145</v>
      </c>
      <c r="B29" s="60"/>
      <c r="C29" s="134">
        <v>9557.2</v>
      </c>
      <c r="D29" s="99"/>
      <c r="E29" s="99"/>
      <c r="F29" s="89">
        <f t="shared" si="3"/>
        <v>9557.2</v>
      </c>
      <c r="G29" s="169">
        <f>428.7</f>
        <v>428.7</v>
      </c>
      <c r="H29" s="210"/>
      <c r="I29" s="230">
        <f t="shared" si="5"/>
        <v>9985.900000000001</v>
      </c>
      <c r="J29" s="169"/>
      <c r="K29" s="249"/>
      <c r="L29" s="248">
        <f t="shared" si="6"/>
        <v>9985.900000000001</v>
      </c>
      <c r="M29" s="292">
        <f>128.3</f>
        <v>128.3</v>
      </c>
      <c r="N29" s="249"/>
      <c r="O29" s="248">
        <f t="shared" si="7"/>
        <v>10114.2</v>
      </c>
      <c r="P29" s="93"/>
      <c r="Q29" s="52">
        <f t="shared" si="1"/>
        <v>10114.2</v>
      </c>
    </row>
    <row r="30" spans="1:17" ht="12.75">
      <c r="A30" s="17" t="s">
        <v>243</v>
      </c>
      <c r="B30" s="60"/>
      <c r="C30" s="134">
        <v>512.75</v>
      </c>
      <c r="D30" s="99"/>
      <c r="E30" s="99"/>
      <c r="F30" s="89">
        <f t="shared" si="3"/>
        <v>512.75</v>
      </c>
      <c r="G30" s="169"/>
      <c r="H30" s="210"/>
      <c r="I30" s="230">
        <f t="shared" si="5"/>
        <v>512.75</v>
      </c>
      <c r="J30" s="169">
        <f>-114.35</f>
        <v>-114.35</v>
      </c>
      <c r="K30" s="249"/>
      <c r="L30" s="248">
        <f t="shared" si="6"/>
        <v>398.4</v>
      </c>
      <c r="M30" s="292"/>
      <c r="N30" s="249"/>
      <c r="O30" s="248">
        <f t="shared" si="7"/>
        <v>398.4</v>
      </c>
      <c r="P30" s="93"/>
      <c r="Q30" s="52">
        <f t="shared" si="1"/>
        <v>398.4</v>
      </c>
    </row>
    <row r="31" spans="1:17" ht="12.75">
      <c r="A31" s="17" t="s">
        <v>146</v>
      </c>
      <c r="B31" s="60"/>
      <c r="C31" s="134">
        <v>29938.9</v>
      </c>
      <c r="D31" s="99"/>
      <c r="E31" s="99"/>
      <c r="F31" s="89">
        <f t="shared" si="3"/>
        <v>29938.9</v>
      </c>
      <c r="G31" s="169"/>
      <c r="H31" s="210"/>
      <c r="I31" s="230">
        <f t="shared" si="5"/>
        <v>29938.9</v>
      </c>
      <c r="J31" s="169"/>
      <c r="K31" s="249"/>
      <c r="L31" s="248">
        <f t="shared" si="6"/>
        <v>29938.9</v>
      </c>
      <c r="M31" s="292"/>
      <c r="N31" s="249"/>
      <c r="O31" s="248">
        <f t="shared" si="7"/>
        <v>29938.9</v>
      </c>
      <c r="P31" s="93"/>
      <c r="Q31" s="52">
        <f>O31+P31</f>
        <v>29938.9</v>
      </c>
    </row>
    <row r="32" spans="1:17" ht="12.75">
      <c r="A32" s="17" t="s">
        <v>187</v>
      </c>
      <c r="B32" s="60"/>
      <c r="C32" s="134"/>
      <c r="D32" s="186">
        <f>725.52+16001.9+1847.46+821.71+940.71+47.41</f>
        <v>20384.709999999995</v>
      </c>
      <c r="E32" s="99"/>
      <c r="F32" s="89">
        <f t="shared" si="3"/>
        <v>20384.709999999995</v>
      </c>
      <c r="G32" s="185">
        <f>23.66</f>
        <v>23.66</v>
      </c>
      <c r="H32" s="211">
        <v>987.92</v>
      </c>
      <c r="I32" s="230">
        <f t="shared" si="5"/>
        <v>21396.289999999994</v>
      </c>
      <c r="J32" s="185">
        <f>16.43+764.04</f>
        <v>780.4699999999999</v>
      </c>
      <c r="K32" s="250"/>
      <c r="L32" s="248">
        <f t="shared" si="6"/>
        <v>22176.759999999995</v>
      </c>
      <c r="M32" s="311"/>
      <c r="N32" s="250"/>
      <c r="O32" s="248">
        <f t="shared" si="7"/>
        <v>22176.759999999995</v>
      </c>
      <c r="P32" s="135"/>
      <c r="Q32" s="52">
        <f>O32+P32</f>
        <v>22176.759999999995</v>
      </c>
    </row>
    <row r="33" spans="1:17" ht="12.75" hidden="1">
      <c r="A33" s="18" t="s">
        <v>220</v>
      </c>
      <c r="B33" s="61"/>
      <c r="C33" s="136">
        <f>SUM(C35:C39)</f>
        <v>0</v>
      </c>
      <c r="D33" s="100">
        <f aca="true" t="shared" si="8" ref="D33:Q33">SUM(D35:D39)</f>
        <v>0</v>
      </c>
      <c r="E33" s="100">
        <f t="shared" si="8"/>
        <v>0</v>
      </c>
      <c r="F33" s="87">
        <f t="shared" si="8"/>
        <v>0</v>
      </c>
      <c r="G33" s="173">
        <f t="shared" si="8"/>
        <v>0</v>
      </c>
      <c r="H33" s="212">
        <f t="shared" si="8"/>
        <v>0</v>
      </c>
      <c r="I33" s="231">
        <f t="shared" si="8"/>
        <v>0</v>
      </c>
      <c r="J33" s="173">
        <f t="shared" si="8"/>
        <v>0</v>
      </c>
      <c r="K33" s="251">
        <f t="shared" si="8"/>
        <v>0</v>
      </c>
      <c r="L33" s="158">
        <f t="shared" si="8"/>
        <v>0</v>
      </c>
      <c r="M33" s="312">
        <f t="shared" si="8"/>
        <v>0</v>
      </c>
      <c r="N33" s="251">
        <f t="shared" si="8"/>
        <v>0</v>
      </c>
      <c r="O33" s="158">
        <f t="shared" si="8"/>
        <v>0</v>
      </c>
      <c r="P33" s="100">
        <f t="shared" si="8"/>
        <v>0</v>
      </c>
      <c r="Q33" s="136">
        <f t="shared" si="8"/>
        <v>0</v>
      </c>
    </row>
    <row r="34" spans="1:17" ht="11.25" customHeight="1" hidden="1">
      <c r="A34" s="15" t="s">
        <v>20</v>
      </c>
      <c r="B34" s="58"/>
      <c r="C34" s="134"/>
      <c r="D34" s="99"/>
      <c r="E34" s="99"/>
      <c r="F34" s="89"/>
      <c r="G34" s="169"/>
      <c r="H34" s="210"/>
      <c r="I34" s="230"/>
      <c r="J34" s="169"/>
      <c r="K34" s="249"/>
      <c r="L34" s="248"/>
      <c r="M34" s="292"/>
      <c r="N34" s="249"/>
      <c r="O34" s="248"/>
      <c r="P34" s="93"/>
      <c r="Q34" s="52"/>
    </row>
    <row r="35" spans="1:17" ht="12.75" hidden="1">
      <c r="A35" s="66" t="s">
        <v>107</v>
      </c>
      <c r="B35" s="59"/>
      <c r="C35" s="134"/>
      <c r="D35" s="99"/>
      <c r="E35" s="99"/>
      <c r="F35" s="89">
        <f>C35+D35+E35</f>
        <v>0</v>
      </c>
      <c r="G35" s="169"/>
      <c r="H35" s="210"/>
      <c r="I35" s="230">
        <f>F35+G35+H35</f>
        <v>0</v>
      </c>
      <c r="J35" s="169"/>
      <c r="K35" s="249"/>
      <c r="L35" s="248">
        <f>I35+J35+K35</f>
        <v>0</v>
      </c>
      <c r="M35" s="292"/>
      <c r="N35" s="249"/>
      <c r="O35" s="248">
        <f>L35+M35+N35</f>
        <v>0</v>
      </c>
      <c r="P35" s="93"/>
      <c r="Q35" s="52">
        <f t="shared" si="1"/>
        <v>0</v>
      </c>
    </row>
    <row r="36" spans="1:17" ht="12.75" hidden="1">
      <c r="A36" s="17" t="s">
        <v>102</v>
      </c>
      <c r="B36" s="60"/>
      <c r="C36" s="134"/>
      <c r="D36" s="99"/>
      <c r="E36" s="99"/>
      <c r="F36" s="89">
        <f>C36+D36+E36</f>
        <v>0</v>
      </c>
      <c r="G36" s="169"/>
      <c r="H36" s="210"/>
      <c r="I36" s="230">
        <f>F36+G36+H36</f>
        <v>0</v>
      </c>
      <c r="J36" s="175"/>
      <c r="K36" s="249"/>
      <c r="L36" s="248">
        <f>I36+J36+K36</f>
        <v>0</v>
      </c>
      <c r="M36" s="292"/>
      <c r="N36" s="249"/>
      <c r="O36" s="248">
        <f>L36+M36+N36</f>
        <v>0</v>
      </c>
      <c r="P36" s="93"/>
      <c r="Q36" s="52">
        <f t="shared" si="1"/>
        <v>0</v>
      </c>
    </row>
    <row r="37" spans="1:17" ht="12.75" hidden="1">
      <c r="A37" s="17" t="s">
        <v>105</v>
      </c>
      <c r="B37" s="60"/>
      <c r="C37" s="134"/>
      <c r="D37" s="99"/>
      <c r="E37" s="99"/>
      <c r="F37" s="89">
        <f>C37+D37+E37</f>
        <v>0</v>
      </c>
      <c r="G37" s="169"/>
      <c r="H37" s="210"/>
      <c r="I37" s="230"/>
      <c r="J37" s="175"/>
      <c r="K37" s="249"/>
      <c r="L37" s="248"/>
      <c r="M37" s="292"/>
      <c r="N37" s="249"/>
      <c r="O37" s="248"/>
      <c r="P37" s="93"/>
      <c r="Q37" s="52"/>
    </row>
    <row r="38" spans="1:17" ht="12.75" hidden="1">
      <c r="A38" s="17" t="s">
        <v>112</v>
      </c>
      <c r="B38" s="60"/>
      <c r="C38" s="134"/>
      <c r="D38" s="99"/>
      <c r="E38" s="99"/>
      <c r="F38" s="89">
        <f>C38+D38+E38</f>
        <v>0</v>
      </c>
      <c r="G38" s="169"/>
      <c r="H38" s="210"/>
      <c r="I38" s="230">
        <f>F38+G38+H38</f>
        <v>0</v>
      </c>
      <c r="J38" s="175"/>
      <c r="K38" s="249"/>
      <c r="L38" s="248">
        <f>I38+J38+K38</f>
        <v>0</v>
      </c>
      <c r="M38" s="292"/>
      <c r="N38" s="249"/>
      <c r="O38" s="248">
        <f>L38+M38+N38</f>
        <v>0</v>
      </c>
      <c r="P38" s="93"/>
      <c r="Q38" s="52">
        <f t="shared" si="1"/>
        <v>0</v>
      </c>
    </row>
    <row r="39" spans="1:17" ht="12.75" hidden="1">
      <c r="A39" s="66" t="s">
        <v>244</v>
      </c>
      <c r="B39" s="59"/>
      <c r="C39" s="134">
        <v>0</v>
      </c>
      <c r="D39" s="99"/>
      <c r="E39" s="99"/>
      <c r="F39" s="89">
        <f>C39+D39+E39</f>
        <v>0</v>
      </c>
      <c r="G39" s="169"/>
      <c r="H39" s="210"/>
      <c r="I39" s="230">
        <f>F39+G39+H39</f>
        <v>0</v>
      </c>
      <c r="J39" s="169"/>
      <c r="K39" s="249"/>
      <c r="L39" s="248">
        <f>I39+J39+K39</f>
        <v>0</v>
      </c>
      <c r="M39" s="292"/>
      <c r="N39" s="249"/>
      <c r="O39" s="248">
        <f>L39+M39+N39</f>
        <v>0</v>
      </c>
      <c r="P39" s="93"/>
      <c r="Q39" s="52">
        <f t="shared" si="1"/>
        <v>0</v>
      </c>
    </row>
    <row r="40" spans="1:17" ht="12.75">
      <c r="A40" s="18" t="s">
        <v>221</v>
      </c>
      <c r="B40" s="59"/>
      <c r="C40" s="134"/>
      <c r="D40" s="99"/>
      <c r="E40" s="99"/>
      <c r="F40" s="89"/>
      <c r="G40" s="169"/>
      <c r="H40" s="210"/>
      <c r="I40" s="230"/>
      <c r="J40" s="169"/>
      <c r="K40" s="249"/>
      <c r="L40" s="248"/>
      <c r="M40" s="292"/>
      <c r="N40" s="249"/>
      <c r="O40" s="248"/>
      <c r="P40" s="93"/>
      <c r="Q40" s="52"/>
    </row>
    <row r="41" spans="1:17" ht="12.75">
      <c r="A41" s="14" t="s">
        <v>25</v>
      </c>
      <c r="B41" s="57"/>
      <c r="C41" s="133">
        <f>SUM(C43:C62)</f>
        <v>101226.4</v>
      </c>
      <c r="D41" s="86">
        <f aca="true" t="shared" si="9" ref="D41:Q41">SUM(D43:D62)</f>
        <v>9465761.450000001</v>
      </c>
      <c r="E41" s="86">
        <f t="shared" si="9"/>
        <v>0</v>
      </c>
      <c r="F41" s="94">
        <f t="shared" si="9"/>
        <v>9566987.850000001</v>
      </c>
      <c r="G41" s="168">
        <f t="shared" si="9"/>
        <v>196171.99999999997</v>
      </c>
      <c r="H41" s="209">
        <f t="shared" si="9"/>
        <v>0</v>
      </c>
      <c r="I41" s="229">
        <f t="shared" si="9"/>
        <v>9763159.850000001</v>
      </c>
      <c r="J41" s="168">
        <f t="shared" si="9"/>
        <v>317395.73</v>
      </c>
      <c r="K41" s="246">
        <f t="shared" si="9"/>
        <v>0</v>
      </c>
      <c r="L41" s="247">
        <f t="shared" si="9"/>
        <v>10080555.580000004</v>
      </c>
      <c r="M41" s="309">
        <f t="shared" si="9"/>
        <v>330490.73999999993</v>
      </c>
      <c r="N41" s="246">
        <f t="shared" si="9"/>
        <v>0</v>
      </c>
      <c r="O41" s="247">
        <f t="shared" si="9"/>
        <v>10411046.319999998</v>
      </c>
      <c r="P41" s="86">
        <f t="shared" si="9"/>
        <v>0</v>
      </c>
      <c r="Q41" s="86">
        <f t="shared" si="9"/>
        <v>10411046.319999998</v>
      </c>
    </row>
    <row r="42" spans="1:17" ht="10.5" customHeight="1">
      <c r="A42" s="19" t="s">
        <v>26</v>
      </c>
      <c r="B42" s="62"/>
      <c r="C42" s="134"/>
      <c r="D42" s="99"/>
      <c r="E42" s="99"/>
      <c r="F42" s="89"/>
      <c r="G42" s="169"/>
      <c r="H42" s="210"/>
      <c r="I42" s="230"/>
      <c r="J42" s="169"/>
      <c r="K42" s="249"/>
      <c r="L42" s="248"/>
      <c r="M42" s="292"/>
      <c r="N42" s="249"/>
      <c r="O42" s="248"/>
      <c r="P42" s="93"/>
      <c r="Q42" s="52"/>
    </row>
    <row r="43" spans="1:17" ht="12.75">
      <c r="A43" s="17" t="s">
        <v>27</v>
      </c>
      <c r="B43" s="60"/>
      <c r="C43" s="134">
        <v>100976.4</v>
      </c>
      <c r="D43" s="99"/>
      <c r="E43" s="99"/>
      <c r="F43" s="89">
        <f aca="true" t="shared" si="10" ref="F43:F62">C43+D43+E43</f>
        <v>100976.4</v>
      </c>
      <c r="G43" s="169"/>
      <c r="H43" s="210"/>
      <c r="I43" s="230">
        <f>F43+G43+H43</f>
        <v>100976.4</v>
      </c>
      <c r="J43" s="169"/>
      <c r="K43" s="249"/>
      <c r="L43" s="248">
        <f>I43+J43+K43</f>
        <v>100976.4</v>
      </c>
      <c r="M43" s="292"/>
      <c r="N43" s="249"/>
      <c r="O43" s="248">
        <f>L43+M43+N43</f>
        <v>100976.4</v>
      </c>
      <c r="P43" s="93"/>
      <c r="Q43" s="52">
        <f t="shared" si="1"/>
        <v>100976.4</v>
      </c>
    </row>
    <row r="44" spans="1:17" ht="12.75">
      <c r="A44" s="17" t="s">
        <v>28</v>
      </c>
      <c r="B44" s="60"/>
      <c r="C44" s="134"/>
      <c r="D44" s="99">
        <f>65.31+3.5+59.04+89.73+48+59.26+24+22.5+24+15</f>
        <v>410.34</v>
      </c>
      <c r="E44" s="99"/>
      <c r="F44" s="89">
        <f t="shared" si="10"/>
        <v>410.34</v>
      </c>
      <c r="G44" s="169">
        <f>45.68+40.61+12+32.99+10000+53.3+6+19+12+3.5+14+23.59+126.55+48+39.36+39+12+20.44+44.11+23.01+150+30+6+68+38.81</f>
        <v>10907.95</v>
      </c>
      <c r="H44" s="210"/>
      <c r="I44" s="230">
        <f aca="true" t="shared" si="11" ref="I44:I62">F44+G44+H44</f>
        <v>11318.29</v>
      </c>
      <c r="J44" s="169">
        <f>5+15+51.51+3.5+15+15+24+45+58.97+36.07+18.28+13+16+113.73+24+391.7+15+9.5+72+60.88+47+200+71.06+40.61+9.18+23.59+56.48+15+15+6</f>
        <v>1487.0599999999997</v>
      </c>
      <c r="K44" s="249"/>
      <c r="L44" s="248">
        <f aca="true" t="shared" si="12" ref="L44:L62">I44+J44+K44</f>
        <v>12805.35</v>
      </c>
      <c r="M44" s="292">
        <f>26.65+218.18+20.54+17.5+9.5+710+15.4+40.61+33.45+15.5+52.5+39+12+12+3.5</f>
        <v>1226.33</v>
      </c>
      <c r="N44" s="249"/>
      <c r="O44" s="248">
        <f aca="true" t="shared" si="13" ref="O44:O62">L44+M44+N44</f>
        <v>14031.68</v>
      </c>
      <c r="P44" s="93"/>
      <c r="Q44" s="52">
        <f t="shared" si="1"/>
        <v>14031.68</v>
      </c>
    </row>
    <row r="45" spans="1:17" ht="12.75">
      <c r="A45" s="17" t="s">
        <v>29</v>
      </c>
      <c r="B45" s="60"/>
      <c r="C45" s="134"/>
      <c r="D45" s="99">
        <f>100779.32+10991.83+8106896.7+4982.3+1658.34+1744.74</f>
        <v>8227053.23</v>
      </c>
      <c r="E45" s="99"/>
      <c r="F45" s="89">
        <f t="shared" si="10"/>
        <v>8227053.23</v>
      </c>
      <c r="G45" s="169">
        <f>6566.9+2996+3355.18+7600+953.09+1490.9+1598.95+735+91445.3+93.4+1500+2070+1805</f>
        <v>122209.72</v>
      </c>
      <c r="H45" s="210"/>
      <c r="I45" s="230">
        <f t="shared" si="11"/>
        <v>8349262.95</v>
      </c>
      <c r="J45" s="169">
        <f>57.79+3643.17+97299.65-66.06-671.36</f>
        <v>100263.19</v>
      </c>
      <c r="K45" s="249"/>
      <c r="L45" s="248">
        <f t="shared" si="12"/>
        <v>8449526.14</v>
      </c>
      <c r="M45" s="292">
        <f>68876.83+476.63+10498.43+654.32+6685.54+3040.84+13300+1867.39+102709.5+2124+1500+293.46</f>
        <v>212026.94</v>
      </c>
      <c r="N45" s="249"/>
      <c r="O45" s="248">
        <f t="shared" si="13"/>
        <v>8661553.08</v>
      </c>
      <c r="P45" s="93"/>
      <c r="Q45" s="52">
        <f t="shared" si="1"/>
        <v>8661553.08</v>
      </c>
    </row>
    <row r="46" spans="1:17" ht="12.75">
      <c r="A46" s="17" t="s">
        <v>30</v>
      </c>
      <c r="B46" s="60"/>
      <c r="C46" s="134"/>
      <c r="D46" s="99">
        <f>1738.53+960818.68+2217.64+7000</f>
        <v>971774.8500000001</v>
      </c>
      <c r="E46" s="99"/>
      <c r="F46" s="89">
        <f t="shared" si="10"/>
        <v>971774.8500000001</v>
      </c>
      <c r="G46" s="169">
        <f>638.93+9217.43+3267.11+3408.25+1664.94+234.94+15728.88+887.92+1323.92</f>
        <v>36372.31999999999</v>
      </c>
      <c r="H46" s="210"/>
      <c r="I46" s="230">
        <f t="shared" si="11"/>
        <v>1008147.17</v>
      </c>
      <c r="J46" s="169">
        <f>2272.16+647.06+43672.08+32.18+6326.66+1523.13+2659.8</f>
        <v>57133.07</v>
      </c>
      <c r="K46" s="249"/>
      <c r="L46" s="248">
        <f t="shared" si="12"/>
        <v>1065280.24</v>
      </c>
      <c r="M46" s="292">
        <f>1237.9+8562.76+1893.18+17216.67+1202.64+1300+88.65+31334.18</f>
        <v>62835.979999999996</v>
      </c>
      <c r="N46" s="249"/>
      <c r="O46" s="248">
        <f t="shared" si="13"/>
        <v>1128116.22</v>
      </c>
      <c r="P46" s="93"/>
      <c r="Q46" s="52">
        <f t="shared" si="1"/>
        <v>1128116.22</v>
      </c>
    </row>
    <row r="47" spans="1:19" ht="12.75">
      <c r="A47" s="17" t="s">
        <v>31</v>
      </c>
      <c r="B47" s="60"/>
      <c r="C47" s="134"/>
      <c r="D47" s="99">
        <f>558.14+13.91</f>
        <v>572.05</v>
      </c>
      <c r="E47" s="99"/>
      <c r="F47" s="89">
        <f t="shared" si="10"/>
        <v>572.05</v>
      </c>
      <c r="G47" s="169">
        <f>5454.12+50.82+564.59+993.63+1090.57</f>
        <v>8153.73</v>
      </c>
      <c r="H47" s="210"/>
      <c r="I47" s="230">
        <f t="shared" si="11"/>
        <v>8725.779999999999</v>
      </c>
      <c r="J47" s="169">
        <f>8.58+3406.32+18.12+34.92+10.29+9.44+7.34+11.26+541.73</f>
        <v>4048.0000000000005</v>
      </c>
      <c r="K47" s="249"/>
      <c r="L47" s="248">
        <f t="shared" si="12"/>
        <v>12773.779999999999</v>
      </c>
      <c r="M47" s="292">
        <f>20.63+971.8+16.5+628.07+15.77-0.01+6.51+71.77-938.38+24.85+19.18+21.05+18.36+14.14+13.31</f>
        <v>903.5499999999998</v>
      </c>
      <c r="N47" s="249"/>
      <c r="O47" s="248">
        <f t="shared" si="13"/>
        <v>13677.329999999998</v>
      </c>
      <c r="P47" s="93"/>
      <c r="Q47" s="52">
        <f t="shared" si="1"/>
        <v>13677.329999999998</v>
      </c>
      <c r="S47" s="90"/>
    </row>
    <row r="48" spans="1:17" ht="12.75">
      <c r="A48" s="17" t="s">
        <v>32</v>
      </c>
      <c r="B48" s="60"/>
      <c r="C48" s="134"/>
      <c r="D48" s="99"/>
      <c r="E48" s="99"/>
      <c r="F48" s="89">
        <f t="shared" si="10"/>
        <v>0</v>
      </c>
      <c r="G48" s="169">
        <f>306+490.3+108+110+167+65</f>
        <v>1246.3</v>
      </c>
      <c r="H48" s="210"/>
      <c r="I48" s="230">
        <f t="shared" si="11"/>
        <v>1246.3</v>
      </c>
      <c r="J48" s="169">
        <f>500+400+210+31.71+90+110+57.98+50+79</f>
        <v>1528.69</v>
      </c>
      <c r="K48" s="249"/>
      <c r="L48" s="248">
        <f t="shared" si="12"/>
        <v>2774.99</v>
      </c>
      <c r="M48" s="292">
        <f>520-74.79</f>
        <v>445.21</v>
      </c>
      <c r="N48" s="249"/>
      <c r="O48" s="248">
        <f t="shared" si="13"/>
        <v>3220.2</v>
      </c>
      <c r="P48" s="93"/>
      <c r="Q48" s="52">
        <f t="shared" si="1"/>
        <v>3220.2</v>
      </c>
    </row>
    <row r="49" spans="1:17" ht="12.75">
      <c r="A49" s="17" t="s">
        <v>33</v>
      </c>
      <c r="B49" s="60"/>
      <c r="C49" s="134"/>
      <c r="D49" s="99"/>
      <c r="E49" s="99"/>
      <c r="F49" s="89">
        <f t="shared" si="10"/>
        <v>0</v>
      </c>
      <c r="G49" s="169">
        <f>2000+5154.15+3197.37+3341.47</f>
        <v>13692.99</v>
      </c>
      <c r="H49" s="210"/>
      <c r="I49" s="230">
        <f t="shared" si="11"/>
        <v>13692.99</v>
      </c>
      <c r="J49" s="169">
        <f>58829.83+27.13+474.92+765.27</f>
        <v>60097.149999999994</v>
      </c>
      <c r="K49" s="249"/>
      <c r="L49" s="248">
        <f t="shared" si="12"/>
        <v>73790.14</v>
      </c>
      <c r="M49" s="292">
        <f>1008.27+7655.95+22712.25-0.18+474.92+765.27</f>
        <v>32616.48</v>
      </c>
      <c r="N49" s="249"/>
      <c r="O49" s="248">
        <f t="shared" si="13"/>
        <v>106406.62</v>
      </c>
      <c r="P49" s="93"/>
      <c r="Q49" s="52">
        <f t="shared" si="1"/>
        <v>106406.62</v>
      </c>
    </row>
    <row r="50" spans="1:17" ht="12.75">
      <c r="A50" s="17" t="s">
        <v>34</v>
      </c>
      <c r="B50" s="60"/>
      <c r="C50" s="134"/>
      <c r="D50" s="99">
        <f>1645+1275</f>
        <v>2920</v>
      </c>
      <c r="E50" s="99"/>
      <c r="F50" s="89">
        <f t="shared" si="10"/>
        <v>2920</v>
      </c>
      <c r="G50" s="169"/>
      <c r="H50" s="210"/>
      <c r="I50" s="230">
        <f t="shared" si="11"/>
        <v>2920</v>
      </c>
      <c r="J50" s="169"/>
      <c r="K50" s="249"/>
      <c r="L50" s="248">
        <f t="shared" si="12"/>
        <v>2920</v>
      </c>
      <c r="M50" s="292"/>
      <c r="N50" s="249"/>
      <c r="O50" s="248">
        <f t="shared" si="13"/>
        <v>2920</v>
      </c>
      <c r="P50" s="93"/>
      <c r="Q50" s="52">
        <f t="shared" si="1"/>
        <v>2920</v>
      </c>
    </row>
    <row r="51" spans="1:17" ht="12.75">
      <c r="A51" s="17" t="s">
        <v>137</v>
      </c>
      <c r="B51" s="60"/>
      <c r="C51" s="134"/>
      <c r="D51" s="99">
        <f>223545.15</f>
        <v>223545.15</v>
      </c>
      <c r="E51" s="99"/>
      <c r="F51" s="89">
        <f t="shared" si="10"/>
        <v>223545.15</v>
      </c>
      <c r="G51" s="169">
        <f>1560</f>
        <v>1560</v>
      </c>
      <c r="H51" s="210"/>
      <c r="I51" s="230">
        <f t="shared" si="11"/>
        <v>225105.15</v>
      </c>
      <c r="J51" s="169"/>
      <c r="K51" s="249"/>
      <c r="L51" s="248">
        <f t="shared" si="12"/>
        <v>225105.15</v>
      </c>
      <c r="M51" s="292">
        <f>-40.7</f>
        <v>-40.7</v>
      </c>
      <c r="N51" s="249"/>
      <c r="O51" s="248">
        <f t="shared" si="13"/>
        <v>225064.44999999998</v>
      </c>
      <c r="P51" s="93"/>
      <c r="Q51" s="52">
        <f t="shared" si="1"/>
        <v>225064.44999999998</v>
      </c>
    </row>
    <row r="52" spans="1:17" ht="12.75">
      <c r="A52" s="17" t="s">
        <v>150</v>
      </c>
      <c r="B52" s="60"/>
      <c r="C52" s="134"/>
      <c r="D52" s="99">
        <f>4049.47</f>
        <v>4049.47</v>
      </c>
      <c r="E52" s="99"/>
      <c r="F52" s="89">
        <f t="shared" si="10"/>
        <v>4049.47</v>
      </c>
      <c r="G52" s="169"/>
      <c r="H52" s="210"/>
      <c r="I52" s="230">
        <f t="shared" si="11"/>
        <v>4049.47</v>
      </c>
      <c r="J52" s="169"/>
      <c r="K52" s="249"/>
      <c r="L52" s="248">
        <f t="shared" si="12"/>
        <v>4049.47</v>
      </c>
      <c r="M52" s="292">
        <f>28</f>
        <v>28</v>
      </c>
      <c r="N52" s="249"/>
      <c r="O52" s="248">
        <f t="shared" si="13"/>
        <v>4077.47</v>
      </c>
      <c r="P52" s="93"/>
      <c r="Q52" s="52">
        <f t="shared" si="1"/>
        <v>4077.47</v>
      </c>
    </row>
    <row r="53" spans="1:17" ht="12.75">
      <c r="A53" s="17" t="s">
        <v>35</v>
      </c>
      <c r="B53" s="60"/>
      <c r="C53" s="134"/>
      <c r="D53" s="99">
        <f>405.5</f>
        <v>405.5</v>
      </c>
      <c r="E53" s="99"/>
      <c r="F53" s="89">
        <f t="shared" si="10"/>
        <v>405.5</v>
      </c>
      <c r="G53" s="169"/>
      <c r="H53" s="210"/>
      <c r="I53" s="230">
        <f t="shared" si="11"/>
        <v>405.5</v>
      </c>
      <c r="J53" s="169">
        <f>308.05+342.72+225.78</f>
        <v>876.55</v>
      </c>
      <c r="K53" s="249"/>
      <c r="L53" s="248">
        <f t="shared" si="12"/>
        <v>1282.05</v>
      </c>
      <c r="M53" s="292">
        <f>268.04</f>
        <v>268.04</v>
      </c>
      <c r="N53" s="249"/>
      <c r="O53" s="248">
        <f t="shared" si="13"/>
        <v>1550.09</v>
      </c>
      <c r="P53" s="294"/>
      <c r="Q53" s="52">
        <f t="shared" si="1"/>
        <v>1550.09</v>
      </c>
    </row>
    <row r="54" spans="1:17" ht="12.75">
      <c r="A54" s="17" t="s">
        <v>36</v>
      </c>
      <c r="B54" s="60"/>
      <c r="C54" s="134"/>
      <c r="D54" s="99"/>
      <c r="E54" s="99"/>
      <c r="F54" s="89">
        <f t="shared" si="10"/>
        <v>0</v>
      </c>
      <c r="G54" s="169">
        <f>500+284+381</f>
        <v>1165</v>
      </c>
      <c r="H54" s="210"/>
      <c r="I54" s="230">
        <f t="shared" si="11"/>
        <v>1165</v>
      </c>
      <c r="J54" s="175"/>
      <c r="K54" s="249"/>
      <c r="L54" s="248">
        <f t="shared" si="12"/>
        <v>1165</v>
      </c>
      <c r="M54" s="292">
        <f>125+192</f>
        <v>317</v>
      </c>
      <c r="N54" s="249"/>
      <c r="O54" s="248">
        <f t="shared" si="13"/>
        <v>1482</v>
      </c>
      <c r="P54" s="93"/>
      <c r="Q54" s="52">
        <f t="shared" si="1"/>
        <v>1482</v>
      </c>
    </row>
    <row r="55" spans="1:17" ht="12.75" hidden="1">
      <c r="A55" s="17" t="s">
        <v>196</v>
      </c>
      <c r="B55" s="60"/>
      <c r="C55" s="134"/>
      <c r="D55" s="99"/>
      <c r="E55" s="99"/>
      <c r="F55" s="89">
        <f t="shared" si="10"/>
        <v>0</v>
      </c>
      <c r="G55" s="169"/>
      <c r="H55" s="210"/>
      <c r="I55" s="230">
        <f t="shared" si="11"/>
        <v>0</v>
      </c>
      <c r="J55" s="175"/>
      <c r="K55" s="249"/>
      <c r="L55" s="248">
        <f t="shared" si="12"/>
        <v>0</v>
      </c>
      <c r="M55" s="292"/>
      <c r="N55" s="249"/>
      <c r="O55" s="248"/>
      <c r="P55" s="93"/>
      <c r="Q55" s="52"/>
    </row>
    <row r="56" spans="1:17" ht="12.75" hidden="1">
      <c r="A56" s="17" t="s">
        <v>151</v>
      </c>
      <c r="B56" s="60"/>
      <c r="C56" s="134"/>
      <c r="D56" s="99"/>
      <c r="E56" s="99"/>
      <c r="F56" s="89">
        <f t="shared" si="10"/>
        <v>0</v>
      </c>
      <c r="G56" s="169"/>
      <c r="H56" s="210"/>
      <c r="I56" s="230">
        <f t="shared" si="11"/>
        <v>0</v>
      </c>
      <c r="J56" s="175"/>
      <c r="K56" s="249"/>
      <c r="L56" s="248">
        <f t="shared" si="12"/>
        <v>0</v>
      </c>
      <c r="M56" s="292"/>
      <c r="N56" s="249"/>
      <c r="O56" s="248">
        <f t="shared" si="13"/>
        <v>0</v>
      </c>
      <c r="P56" s="93"/>
      <c r="Q56" s="52">
        <f t="shared" si="1"/>
        <v>0</v>
      </c>
    </row>
    <row r="57" spans="1:17" ht="12.75" hidden="1">
      <c r="A57" s="17" t="s">
        <v>37</v>
      </c>
      <c r="B57" s="60"/>
      <c r="C57" s="134"/>
      <c r="D57" s="99"/>
      <c r="E57" s="99"/>
      <c r="F57" s="89">
        <f t="shared" si="10"/>
        <v>0</v>
      </c>
      <c r="G57" s="169"/>
      <c r="H57" s="210"/>
      <c r="I57" s="230">
        <f t="shared" si="11"/>
        <v>0</v>
      </c>
      <c r="J57" s="169"/>
      <c r="K57" s="249"/>
      <c r="L57" s="248">
        <f t="shared" si="12"/>
        <v>0</v>
      </c>
      <c r="M57" s="292"/>
      <c r="N57" s="249"/>
      <c r="O57" s="248">
        <f t="shared" si="13"/>
        <v>0</v>
      </c>
      <c r="P57" s="93"/>
      <c r="Q57" s="52">
        <f t="shared" si="1"/>
        <v>0</v>
      </c>
    </row>
    <row r="58" spans="1:17" ht="12.75" hidden="1">
      <c r="A58" s="17" t="s">
        <v>43</v>
      </c>
      <c r="B58" s="60"/>
      <c r="C58" s="134"/>
      <c r="D58" s="99"/>
      <c r="E58" s="99"/>
      <c r="F58" s="89">
        <f t="shared" si="10"/>
        <v>0</v>
      </c>
      <c r="G58" s="169"/>
      <c r="H58" s="210"/>
      <c r="I58" s="230">
        <f t="shared" si="11"/>
        <v>0</v>
      </c>
      <c r="J58" s="169"/>
      <c r="K58" s="249"/>
      <c r="L58" s="248">
        <f t="shared" si="12"/>
        <v>0</v>
      </c>
      <c r="M58" s="292"/>
      <c r="N58" s="249"/>
      <c r="O58" s="248">
        <f t="shared" si="13"/>
        <v>0</v>
      </c>
      <c r="P58" s="93"/>
      <c r="Q58" s="52">
        <f t="shared" si="1"/>
        <v>0</v>
      </c>
    </row>
    <row r="59" spans="1:17" ht="12.75">
      <c r="A59" s="17" t="s">
        <v>38</v>
      </c>
      <c r="B59" s="60"/>
      <c r="C59" s="134"/>
      <c r="D59" s="99"/>
      <c r="E59" s="99"/>
      <c r="F59" s="89">
        <f t="shared" si="10"/>
        <v>0</v>
      </c>
      <c r="G59" s="169"/>
      <c r="H59" s="210"/>
      <c r="I59" s="230">
        <f t="shared" si="11"/>
        <v>0</v>
      </c>
      <c r="J59" s="169">
        <f>89000</f>
        <v>89000</v>
      </c>
      <c r="K59" s="249"/>
      <c r="L59" s="248">
        <f t="shared" si="12"/>
        <v>89000</v>
      </c>
      <c r="M59" s="292">
        <f>18496.6</f>
        <v>18496.6</v>
      </c>
      <c r="N59" s="249"/>
      <c r="O59" s="248">
        <f t="shared" si="13"/>
        <v>107496.6</v>
      </c>
      <c r="P59" s="93"/>
      <c r="Q59" s="52">
        <f t="shared" si="1"/>
        <v>107496.6</v>
      </c>
    </row>
    <row r="60" spans="1:17" ht="12.75">
      <c r="A60" s="17" t="s">
        <v>39</v>
      </c>
      <c r="B60" s="60"/>
      <c r="C60" s="134"/>
      <c r="D60" s="99">
        <f>236.9+159.54+232.42</f>
        <v>628.86</v>
      </c>
      <c r="E60" s="99"/>
      <c r="F60" s="89">
        <f t="shared" si="10"/>
        <v>628.86</v>
      </c>
      <c r="G60" s="169">
        <f>863.99</f>
        <v>863.99</v>
      </c>
      <c r="H60" s="210"/>
      <c r="I60" s="230">
        <f t="shared" si="11"/>
        <v>1492.85</v>
      </c>
      <c r="J60" s="169">
        <f>143.49+593.66+174.97</f>
        <v>912.12</v>
      </c>
      <c r="K60" s="249"/>
      <c r="L60" s="248">
        <f t="shared" si="12"/>
        <v>2404.97</v>
      </c>
      <c r="M60" s="292">
        <f>110.72+1220.1</f>
        <v>1330.82</v>
      </c>
      <c r="N60" s="249"/>
      <c r="O60" s="248">
        <f t="shared" si="13"/>
        <v>3735.79</v>
      </c>
      <c r="P60" s="93"/>
      <c r="Q60" s="52">
        <f t="shared" si="1"/>
        <v>3735.79</v>
      </c>
    </row>
    <row r="61" spans="1:17" ht="12.75">
      <c r="A61" s="17" t="s">
        <v>359</v>
      </c>
      <c r="B61" s="60"/>
      <c r="C61" s="134">
        <v>250</v>
      </c>
      <c r="D61" s="99"/>
      <c r="E61" s="99"/>
      <c r="F61" s="89">
        <f t="shared" si="10"/>
        <v>250</v>
      </c>
      <c r="G61" s="169"/>
      <c r="H61" s="210"/>
      <c r="I61" s="230">
        <f t="shared" si="11"/>
        <v>250</v>
      </c>
      <c r="J61" s="169">
        <f>2049.9</f>
        <v>2049.9</v>
      </c>
      <c r="K61" s="249"/>
      <c r="L61" s="248">
        <f t="shared" si="12"/>
        <v>2299.9</v>
      </c>
      <c r="M61" s="292">
        <f>36.49</f>
        <v>36.49</v>
      </c>
      <c r="N61" s="249"/>
      <c r="O61" s="248">
        <f t="shared" si="13"/>
        <v>2336.39</v>
      </c>
      <c r="P61" s="93"/>
      <c r="Q61" s="52">
        <f t="shared" si="1"/>
        <v>2336.39</v>
      </c>
    </row>
    <row r="62" spans="1:17" ht="12.75">
      <c r="A62" s="17" t="s">
        <v>155</v>
      </c>
      <c r="B62" s="60"/>
      <c r="C62" s="134"/>
      <c r="D62" s="99">
        <f>34402</f>
        <v>34402</v>
      </c>
      <c r="E62" s="99"/>
      <c r="F62" s="89">
        <f t="shared" si="10"/>
        <v>34402</v>
      </c>
      <c r="G62" s="169"/>
      <c r="H62" s="210"/>
      <c r="I62" s="230">
        <f t="shared" si="11"/>
        <v>34402</v>
      </c>
      <c r="J62" s="169"/>
      <c r="K62" s="249"/>
      <c r="L62" s="248">
        <f t="shared" si="12"/>
        <v>34402</v>
      </c>
      <c r="M62" s="292"/>
      <c r="N62" s="249"/>
      <c r="O62" s="248">
        <f t="shared" si="13"/>
        <v>34402</v>
      </c>
      <c r="P62" s="93"/>
      <c r="Q62" s="52">
        <f t="shared" si="1"/>
        <v>34402</v>
      </c>
    </row>
    <row r="63" spans="1:19" ht="12.75">
      <c r="A63" s="14" t="s">
        <v>40</v>
      </c>
      <c r="B63" s="57"/>
      <c r="C63" s="133">
        <f>SUM(C65:C80)</f>
        <v>0</v>
      </c>
      <c r="D63" s="86">
        <f aca="true" t="shared" si="14" ref="D63:Q63">SUM(D65:D80)</f>
        <v>353486.87</v>
      </c>
      <c r="E63" s="86">
        <f t="shared" si="14"/>
        <v>0</v>
      </c>
      <c r="F63" s="94">
        <f t="shared" si="14"/>
        <v>353486.87</v>
      </c>
      <c r="G63" s="168">
        <f t="shared" si="14"/>
        <v>169916.27</v>
      </c>
      <c r="H63" s="209">
        <f t="shared" si="14"/>
        <v>0</v>
      </c>
      <c r="I63" s="229">
        <f t="shared" si="14"/>
        <v>523403.14</v>
      </c>
      <c r="J63" s="168">
        <f t="shared" si="14"/>
        <v>341104.93</v>
      </c>
      <c r="K63" s="246">
        <f t="shared" si="14"/>
        <v>0</v>
      </c>
      <c r="L63" s="247">
        <f t="shared" si="14"/>
        <v>864508.07</v>
      </c>
      <c r="M63" s="309">
        <f t="shared" si="14"/>
        <v>477098.46</v>
      </c>
      <c r="N63" s="246">
        <f t="shared" si="14"/>
        <v>0</v>
      </c>
      <c r="O63" s="247">
        <f t="shared" si="14"/>
        <v>1341606.53</v>
      </c>
      <c r="P63" s="86">
        <f t="shared" si="14"/>
        <v>0</v>
      </c>
      <c r="Q63" s="86">
        <f t="shared" si="14"/>
        <v>1268798.17</v>
      </c>
      <c r="S63" s="288"/>
    </row>
    <row r="64" spans="1:17" ht="12.75">
      <c r="A64" s="19" t="s">
        <v>26</v>
      </c>
      <c r="B64" s="62"/>
      <c r="C64" s="134"/>
      <c r="D64" s="99"/>
      <c r="E64" s="99"/>
      <c r="F64" s="89"/>
      <c r="G64" s="169"/>
      <c r="H64" s="210"/>
      <c r="I64" s="230"/>
      <c r="J64" s="169"/>
      <c r="K64" s="249"/>
      <c r="L64" s="248"/>
      <c r="M64" s="292"/>
      <c r="N64" s="249"/>
      <c r="O64" s="248"/>
      <c r="P64" s="93"/>
      <c r="Q64" s="52"/>
    </row>
    <row r="65" spans="1:17" ht="12.75" hidden="1">
      <c r="A65" s="17" t="s">
        <v>29</v>
      </c>
      <c r="B65" s="60"/>
      <c r="C65" s="134"/>
      <c r="D65" s="99"/>
      <c r="E65" s="99"/>
      <c r="F65" s="89">
        <f aca="true" t="shared" si="15" ref="F65:F80">C65+D65+E65</f>
        <v>0</v>
      </c>
      <c r="G65" s="169"/>
      <c r="H65" s="210"/>
      <c r="I65" s="230">
        <f>F65+G65+H65</f>
        <v>0</v>
      </c>
      <c r="J65" s="169"/>
      <c r="K65" s="249"/>
      <c r="L65" s="248">
        <f>I65+J65+K65</f>
        <v>0</v>
      </c>
      <c r="M65" s="292"/>
      <c r="N65" s="249"/>
      <c r="O65" s="248">
        <f>L65+M65+N65</f>
        <v>0</v>
      </c>
      <c r="P65" s="93"/>
      <c r="Q65" s="52">
        <f t="shared" si="1"/>
        <v>0</v>
      </c>
    </row>
    <row r="66" spans="1:17" ht="12.75">
      <c r="A66" s="21" t="s">
        <v>30</v>
      </c>
      <c r="B66" s="63"/>
      <c r="C66" s="134"/>
      <c r="D66" s="99"/>
      <c r="E66" s="99"/>
      <c r="F66" s="89">
        <f t="shared" si="15"/>
        <v>0</v>
      </c>
      <c r="G66" s="169"/>
      <c r="H66" s="210"/>
      <c r="I66" s="230">
        <f aca="true" t="shared" si="16" ref="I66:I80">F66+G66+H66</f>
        <v>0</v>
      </c>
      <c r="J66" s="169">
        <f>29741.91</f>
        <v>29741.91</v>
      </c>
      <c r="K66" s="249"/>
      <c r="L66" s="248">
        <f aca="true" t="shared" si="17" ref="L66:L80">I66+J66+K66</f>
        <v>29741.91</v>
      </c>
      <c r="M66" s="292">
        <f>25174.91</f>
        <v>25174.91</v>
      </c>
      <c r="N66" s="249"/>
      <c r="O66" s="248">
        <f aca="true" t="shared" si="18" ref="O66:O80">L66+M66+N66</f>
        <v>54916.82</v>
      </c>
      <c r="P66" s="93"/>
      <c r="Q66" s="52">
        <f t="shared" si="1"/>
        <v>54916.82</v>
      </c>
    </row>
    <row r="67" spans="1:17" ht="12.75" hidden="1">
      <c r="A67" s="21" t="s">
        <v>28</v>
      </c>
      <c r="B67" s="63"/>
      <c r="C67" s="134"/>
      <c r="D67" s="99"/>
      <c r="E67" s="99"/>
      <c r="F67" s="89">
        <f t="shared" si="15"/>
        <v>0</v>
      </c>
      <c r="G67" s="169"/>
      <c r="H67" s="210"/>
      <c r="I67" s="230">
        <f t="shared" si="16"/>
        <v>0</v>
      </c>
      <c r="J67" s="169"/>
      <c r="K67" s="249"/>
      <c r="L67" s="248">
        <f t="shared" si="17"/>
        <v>0</v>
      </c>
      <c r="M67" s="292"/>
      <c r="N67" s="249"/>
      <c r="O67" s="248">
        <f t="shared" si="18"/>
        <v>0</v>
      </c>
      <c r="P67" s="93"/>
      <c r="Q67" s="52">
        <f t="shared" si="1"/>
        <v>0</v>
      </c>
    </row>
    <row r="68" spans="1:17" ht="12.75">
      <c r="A68" s="21" t="s">
        <v>41</v>
      </c>
      <c r="B68" s="63"/>
      <c r="C68" s="134"/>
      <c r="D68" s="99"/>
      <c r="E68" s="99"/>
      <c r="F68" s="89">
        <f t="shared" si="15"/>
        <v>0</v>
      </c>
      <c r="G68" s="169">
        <f>41783.61</f>
        <v>41783.61</v>
      </c>
      <c r="H68" s="210"/>
      <c r="I68" s="230">
        <f t="shared" si="16"/>
        <v>41783.61</v>
      </c>
      <c r="J68" s="169">
        <f>1900.88</f>
        <v>1900.88</v>
      </c>
      <c r="K68" s="249"/>
      <c r="L68" s="248">
        <f t="shared" si="17"/>
        <v>43684.49</v>
      </c>
      <c r="M68" s="292">
        <f>3636.99</f>
        <v>3636.99</v>
      </c>
      <c r="N68" s="249"/>
      <c r="O68" s="248">
        <f t="shared" si="18"/>
        <v>47321.479999999996</v>
      </c>
      <c r="P68" s="93"/>
      <c r="Q68" s="52">
        <f t="shared" si="1"/>
        <v>47321.479999999996</v>
      </c>
    </row>
    <row r="69" spans="1:17" ht="12.75">
      <c r="A69" s="17" t="s">
        <v>31</v>
      </c>
      <c r="B69" s="60"/>
      <c r="C69" s="134"/>
      <c r="D69" s="99">
        <f>2568.52+19217.2</f>
        <v>21785.72</v>
      </c>
      <c r="E69" s="99"/>
      <c r="F69" s="89">
        <f t="shared" si="15"/>
        <v>21785.72</v>
      </c>
      <c r="G69" s="169">
        <f>24911.74+16108.22+67.54+2580.64+2469.43+6380.52+22697.25</f>
        <v>75215.34</v>
      </c>
      <c r="H69" s="210"/>
      <c r="I69" s="230">
        <f t="shared" si="16"/>
        <v>97001.06</v>
      </c>
      <c r="J69" s="169">
        <f>18592.58+12944.72+6853.12+2576.91+2269.26+7834.87+27224.83+21667.24</f>
        <v>99963.53000000001</v>
      </c>
      <c r="K69" s="249"/>
      <c r="L69" s="248">
        <f t="shared" si="17"/>
        <v>196964.59000000003</v>
      </c>
      <c r="M69" s="292">
        <f>2007.23+962.49+27295.02+4188.79+43383.6+28140.52+629.91+938.38+1251.77+35750.9+20879.53+48563.67+41135.96+12998.81+33225.89+9930.23+22589.67+40117.24+54960.25+4948.48</f>
        <v>433898.33999999997</v>
      </c>
      <c r="N69" s="249"/>
      <c r="O69" s="248">
        <f t="shared" si="18"/>
        <v>630862.9299999999</v>
      </c>
      <c r="P69" s="93"/>
      <c r="Q69" s="52">
        <f t="shared" si="1"/>
        <v>630862.9299999999</v>
      </c>
    </row>
    <row r="70" spans="1:17" ht="12.75">
      <c r="A70" s="17" t="s">
        <v>32</v>
      </c>
      <c r="B70" s="60"/>
      <c r="C70" s="134"/>
      <c r="D70" s="99"/>
      <c r="E70" s="99"/>
      <c r="F70" s="89">
        <f t="shared" si="15"/>
        <v>0</v>
      </c>
      <c r="G70" s="169">
        <f>93</f>
        <v>93</v>
      </c>
      <c r="H70" s="210"/>
      <c r="I70" s="230">
        <f t="shared" si="16"/>
        <v>93</v>
      </c>
      <c r="J70" s="169"/>
      <c r="K70" s="249"/>
      <c r="L70" s="248">
        <f t="shared" si="17"/>
        <v>93</v>
      </c>
      <c r="M70" s="292">
        <f>496+3011.96</f>
        <v>3507.96</v>
      </c>
      <c r="N70" s="249"/>
      <c r="O70" s="248">
        <f t="shared" si="18"/>
        <v>3600.96</v>
      </c>
      <c r="P70" s="93"/>
      <c r="Q70" s="52"/>
    </row>
    <row r="71" spans="1:17" ht="12.75">
      <c r="A71" s="17" t="s">
        <v>33</v>
      </c>
      <c r="B71" s="60"/>
      <c r="C71" s="134"/>
      <c r="D71" s="99"/>
      <c r="E71" s="99"/>
      <c r="F71" s="89"/>
      <c r="G71" s="169"/>
      <c r="H71" s="210"/>
      <c r="I71" s="230"/>
      <c r="J71" s="169"/>
      <c r="K71" s="249"/>
      <c r="L71" s="248">
        <f t="shared" si="17"/>
        <v>0</v>
      </c>
      <c r="M71" s="313">
        <f>171.82</f>
        <v>171.82</v>
      </c>
      <c r="N71" s="249"/>
      <c r="O71" s="248">
        <f t="shared" si="18"/>
        <v>171.82</v>
      </c>
      <c r="P71" s="93"/>
      <c r="Q71" s="52"/>
    </row>
    <row r="72" spans="1:17" ht="12.75" hidden="1">
      <c r="A72" s="17" t="s">
        <v>213</v>
      </c>
      <c r="B72" s="60"/>
      <c r="C72" s="134"/>
      <c r="D72" s="99"/>
      <c r="E72" s="99"/>
      <c r="F72" s="89">
        <f t="shared" si="15"/>
        <v>0</v>
      </c>
      <c r="G72" s="169"/>
      <c r="H72" s="210"/>
      <c r="I72" s="230">
        <f t="shared" si="16"/>
        <v>0</v>
      </c>
      <c r="J72" s="169"/>
      <c r="K72" s="249"/>
      <c r="L72" s="248">
        <f t="shared" si="17"/>
        <v>0</v>
      </c>
      <c r="M72" s="292"/>
      <c r="N72" s="249"/>
      <c r="O72" s="248">
        <f t="shared" si="18"/>
        <v>0</v>
      </c>
      <c r="P72" s="93"/>
      <c r="Q72" s="52"/>
    </row>
    <row r="73" spans="1:17" ht="12.75">
      <c r="A73" s="17" t="s">
        <v>150</v>
      </c>
      <c r="B73" s="60"/>
      <c r="C73" s="134"/>
      <c r="D73" s="99">
        <f>99736.84</f>
        <v>99736.84</v>
      </c>
      <c r="E73" s="99"/>
      <c r="F73" s="89">
        <f t="shared" si="15"/>
        <v>99736.84</v>
      </c>
      <c r="G73" s="169"/>
      <c r="H73" s="210"/>
      <c r="I73" s="230">
        <f t="shared" si="16"/>
        <v>99736.84</v>
      </c>
      <c r="J73" s="169">
        <f>2286.13</f>
        <v>2286.13</v>
      </c>
      <c r="K73" s="249"/>
      <c r="L73" s="248">
        <f t="shared" si="17"/>
        <v>102022.97</v>
      </c>
      <c r="M73" s="292"/>
      <c r="N73" s="249"/>
      <c r="O73" s="248">
        <f t="shared" si="18"/>
        <v>102022.97</v>
      </c>
      <c r="P73" s="93"/>
      <c r="Q73" s="52">
        <f t="shared" si="1"/>
        <v>102022.97</v>
      </c>
    </row>
    <row r="74" spans="1:17" ht="12.75" hidden="1">
      <c r="A74" s="17" t="s">
        <v>151</v>
      </c>
      <c r="B74" s="60"/>
      <c r="C74" s="134"/>
      <c r="D74" s="99"/>
      <c r="E74" s="99"/>
      <c r="F74" s="89">
        <f t="shared" si="15"/>
        <v>0</v>
      </c>
      <c r="G74" s="169"/>
      <c r="H74" s="210"/>
      <c r="I74" s="230">
        <f t="shared" si="16"/>
        <v>0</v>
      </c>
      <c r="J74" s="169"/>
      <c r="K74" s="249"/>
      <c r="L74" s="248">
        <f t="shared" si="17"/>
        <v>0</v>
      </c>
      <c r="M74" s="292"/>
      <c r="N74" s="249"/>
      <c r="O74" s="248">
        <f t="shared" si="18"/>
        <v>0</v>
      </c>
      <c r="P74" s="93"/>
      <c r="Q74" s="52">
        <f t="shared" si="1"/>
        <v>0</v>
      </c>
    </row>
    <row r="75" spans="1:17" ht="12.75">
      <c r="A75" s="17" t="s">
        <v>42</v>
      </c>
      <c r="B75" s="60"/>
      <c r="C75" s="134"/>
      <c r="D75" s="99">
        <f>183880</f>
        <v>183880</v>
      </c>
      <c r="E75" s="99"/>
      <c r="F75" s="89">
        <f t="shared" si="15"/>
        <v>183880</v>
      </c>
      <c r="G75" s="169">
        <f>8953.48</f>
        <v>8953.48</v>
      </c>
      <c r="H75" s="210"/>
      <c r="I75" s="230">
        <f t="shared" si="16"/>
        <v>192833.48</v>
      </c>
      <c r="J75" s="169">
        <f>149400</f>
        <v>149400</v>
      </c>
      <c r="K75" s="249"/>
      <c r="L75" s="248">
        <f t="shared" si="17"/>
        <v>342233.48</v>
      </c>
      <c r="M75" s="292"/>
      <c r="N75" s="249"/>
      <c r="O75" s="248">
        <f t="shared" si="18"/>
        <v>342233.48</v>
      </c>
      <c r="P75" s="93"/>
      <c r="Q75" s="52">
        <f t="shared" si="1"/>
        <v>342233.48</v>
      </c>
    </row>
    <row r="76" spans="1:17" ht="12.75" hidden="1">
      <c r="A76" s="17" t="s">
        <v>43</v>
      </c>
      <c r="B76" s="60"/>
      <c r="C76" s="134"/>
      <c r="D76" s="99"/>
      <c r="E76" s="99"/>
      <c r="F76" s="89">
        <f t="shared" si="15"/>
        <v>0</v>
      </c>
      <c r="G76" s="169"/>
      <c r="H76" s="210"/>
      <c r="I76" s="230">
        <f t="shared" si="16"/>
        <v>0</v>
      </c>
      <c r="J76" s="169"/>
      <c r="K76" s="249"/>
      <c r="L76" s="248">
        <f t="shared" si="17"/>
        <v>0</v>
      </c>
      <c r="M76" s="292"/>
      <c r="N76" s="249"/>
      <c r="O76" s="248">
        <f t="shared" si="18"/>
        <v>0</v>
      </c>
      <c r="P76" s="93"/>
      <c r="Q76" s="52">
        <f t="shared" si="1"/>
        <v>0</v>
      </c>
    </row>
    <row r="77" spans="1:17" ht="12.75" hidden="1">
      <c r="A77" s="17" t="s">
        <v>44</v>
      </c>
      <c r="B77" s="60"/>
      <c r="C77" s="134"/>
      <c r="D77" s="99"/>
      <c r="E77" s="99"/>
      <c r="F77" s="89">
        <f t="shared" si="15"/>
        <v>0</v>
      </c>
      <c r="G77" s="169"/>
      <c r="H77" s="210"/>
      <c r="I77" s="230">
        <f t="shared" si="16"/>
        <v>0</v>
      </c>
      <c r="J77" s="169"/>
      <c r="K77" s="249"/>
      <c r="L77" s="248">
        <f t="shared" si="17"/>
        <v>0</v>
      </c>
      <c r="M77" s="292"/>
      <c r="N77" s="249"/>
      <c r="O77" s="248">
        <f t="shared" si="18"/>
        <v>0</v>
      </c>
      <c r="P77" s="93"/>
      <c r="Q77" s="52">
        <f t="shared" si="1"/>
        <v>0</v>
      </c>
    </row>
    <row r="78" spans="1:17" ht="12.75">
      <c r="A78" s="17" t="s">
        <v>35</v>
      </c>
      <c r="B78" s="60"/>
      <c r="C78" s="134"/>
      <c r="D78" s="99">
        <f>22919.57</f>
        <v>22919.57</v>
      </c>
      <c r="E78" s="99"/>
      <c r="F78" s="89">
        <f t="shared" si="15"/>
        <v>22919.57</v>
      </c>
      <c r="G78" s="169"/>
      <c r="H78" s="210"/>
      <c r="I78" s="230">
        <f t="shared" si="16"/>
        <v>22919.57</v>
      </c>
      <c r="J78" s="169">
        <f>57812.48</f>
        <v>57812.48</v>
      </c>
      <c r="K78" s="249"/>
      <c r="L78" s="248">
        <f t="shared" si="17"/>
        <v>80732.05</v>
      </c>
      <c r="M78" s="292">
        <f>10708.44</f>
        <v>10708.44</v>
      </c>
      <c r="N78" s="249"/>
      <c r="O78" s="248">
        <f t="shared" si="18"/>
        <v>91440.49</v>
      </c>
      <c r="P78" s="294"/>
      <c r="Q78" s="52">
        <f t="shared" si="1"/>
        <v>91440.49</v>
      </c>
    </row>
    <row r="79" spans="1:17" ht="12.75">
      <c r="A79" s="17" t="s">
        <v>39</v>
      </c>
      <c r="B79" s="60"/>
      <c r="C79" s="134"/>
      <c r="D79" s="99">
        <f>25164.74</f>
        <v>25164.74</v>
      </c>
      <c r="E79" s="99"/>
      <c r="F79" s="89">
        <f t="shared" si="15"/>
        <v>25164.74</v>
      </c>
      <c r="G79" s="169">
        <f>43870.84</f>
        <v>43870.84</v>
      </c>
      <c r="H79" s="210"/>
      <c r="I79" s="230">
        <f t="shared" si="16"/>
        <v>69035.58</v>
      </c>
      <c r="J79" s="169"/>
      <c r="K79" s="249"/>
      <c r="L79" s="248">
        <f t="shared" si="17"/>
        <v>69035.58</v>
      </c>
      <c r="M79" s="292"/>
      <c r="N79" s="249"/>
      <c r="O79" s="248">
        <f t="shared" si="18"/>
        <v>69035.58</v>
      </c>
      <c r="P79" s="294"/>
      <c r="Q79" s="52"/>
    </row>
    <row r="80" spans="1:17" ht="12.75" hidden="1">
      <c r="A80" s="17" t="s">
        <v>155</v>
      </c>
      <c r="B80" s="60"/>
      <c r="C80" s="134"/>
      <c r="D80" s="99"/>
      <c r="E80" s="99"/>
      <c r="F80" s="89">
        <f t="shared" si="15"/>
        <v>0</v>
      </c>
      <c r="G80" s="169"/>
      <c r="H80" s="210"/>
      <c r="I80" s="230">
        <f t="shared" si="16"/>
        <v>0</v>
      </c>
      <c r="J80" s="169"/>
      <c r="K80" s="249"/>
      <c r="L80" s="248">
        <f t="shared" si="17"/>
        <v>0</v>
      </c>
      <c r="M80" s="292"/>
      <c r="N80" s="249"/>
      <c r="O80" s="248">
        <f t="shared" si="18"/>
        <v>0</v>
      </c>
      <c r="P80" s="93"/>
      <c r="Q80" s="52">
        <f aca="true" t="shared" si="19" ref="Q80:Q136">O80+P80</f>
        <v>0</v>
      </c>
    </row>
    <row r="81" spans="1:17" ht="15.75" thickBot="1">
      <c r="A81" s="22" t="s">
        <v>45</v>
      </c>
      <c r="B81" s="64"/>
      <c r="C81" s="194">
        <f>C11+C17+C41+C63+C33</f>
        <v>5004513</v>
      </c>
      <c r="D81" s="101">
        <f>D11+D17+D41+D63+D33</f>
        <v>9728752.120000001</v>
      </c>
      <c r="E81" s="101">
        <f>E11+E17+E41+E63+E33</f>
        <v>0</v>
      </c>
      <c r="F81" s="119">
        <f>F11+F17+F41+F63+F33</f>
        <v>14733265.12</v>
      </c>
      <c r="G81" s="170">
        <f aca="true" t="shared" si="20" ref="G81:Q81">G11+G17+G41+G63+G33</f>
        <v>392302.08999999997</v>
      </c>
      <c r="H81" s="213">
        <f t="shared" si="20"/>
        <v>89596.20999999999</v>
      </c>
      <c r="I81" s="232">
        <f t="shared" si="20"/>
        <v>15215163.420000002</v>
      </c>
      <c r="J81" s="170">
        <f t="shared" si="20"/>
        <v>728413.95</v>
      </c>
      <c r="K81" s="252">
        <f t="shared" si="20"/>
        <v>0</v>
      </c>
      <c r="L81" s="253">
        <f t="shared" si="20"/>
        <v>15943577.370000005</v>
      </c>
      <c r="M81" s="314">
        <f t="shared" si="20"/>
        <v>836252.0599999999</v>
      </c>
      <c r="N81" s="252">
        <f t="shared" si="20"/>
        <v>0</v>
      </c>
      <c r="O81" s="253">
        <f t="shared" si="20"/>
        <v>16779829.43</v>
      </c>
      <c r="P81" s="111">
        <f t="shared" si="20"/>
        <v>0</v>
      </c>
      <c r="Q81" s="111">
        <f t="shared" si="20"/>
        <v>12100395.769999998</v>
      </c>
    </row>
    <row r="82" spans="1:17" ht="15" customHeight="1">
      <c r="A82" s="14" t="s">
        <v>46</v>
      </c>
      <c r="B82" s="57"/>
      <c r="C82" s="133"/>
      <c r="D82" s="99"/>
      <c r="E82" s="99"/>
      <c r="F82" s="89"/>
      <c r="G82" s="169"/>
      <c r="H82" s="210"/>
      <c r="I82" s="230"/>
      <c r="J82" s="169"/>
      <c r="K82" s="249"/>
      <c r="L82" s="248"/>
      <c r="M82" s="292"/>
      <c r="N82" s="249"/>
      <c r="O82" s="248"/>
      <c r="P82" s="93"/>
      <c r="Q82" s="52"/>
    </row>
    <row r="83" spans="1:17" ht="12.75">
      <c r="A83" s="14" t="s">
        <v>61</v>
      </c>
      <c r="B83" s="69"/>
      <c r="C83" s="133">
        <f>C84+C93</f>
        <v>103319</v>
      </c>
      <c r="D83" s="86">
        <f>D84+D93</f>
        <v>65537.51000000001</v>
      </c>
      <c r="E83" s="86">
        <f>E84+E93</f>
        <v>0</v>
      </c>
      <c r="F83" s="94">
        <f>F84+F93</f>
        <v>168856.51</v>
      </c>
      <c r="G83" s="168">
        <f aca="true" t="shared" si="21" ref="G83:Q83">G84+G93</f>
        <v>24187.95</v>
      </c>
      <c r="H83" s="209">
        <f t="shared" si="21"/>
        <v>4042.8200000000006</v>
      </c>
      <c r="I83" s="229">
        <f t="shared" si="21"/>
        <v>197087.27999999997</v>
      </c>
      <c r="J83" s="168">
        <f t="shared" si="21"/>
        <v>1651.2399999999998</v>
      </c>
      <c r="K83" s="246">
        <f t="shared" si="21"/>
        <v>0</v>
      </c>
      <c r="L83" s="247">
        <f t="shared" si="21"/>
        <v>198738.52</v>
      </c>
      <c r="M83" s="309">
        <f>M84+M93</f>
        <v>609.26</v>
      </c>
      <c r="N83" s="246">
        <f>N84+N93</f>
        <v>0</v>
      </c>
      <c r="O83" s="247">
        <f>O84+O93</f>
        <v>199347.77999999997</v>
      </c>
      <c r="P83" s="106">
        <f t="shared" si="21"/>
        <v>0</v>
      </c>
      <c r="Q83" s="106">
        <f t="shared" si="21"/>
        <v>98529.78000000001</v>
      </c>
    </row>
    <row r="84" spans="1:17" ht="12.75">
      <c r="A84" s="23" t="s">
        <v>48</v>
      </c>
      <c r="B84" s="69"/>
      <c r="C84" s="137">
        <f>SUM(C86:C91)</f>
        <v>71319</v>
      </c>
      <c r="D84" s="102">
        <f>SUM(D86:D91)</f>
        <v>5253.35</v>
      </c>
      <c r="E84" s="102">
        <f>SUM(E86:E91)</f>
        <v>0</v>
      </c>
      <c r="F84" s="120">
        <f>SUM(F86:F91)</f>
        <v>76572.34999999999</v>
      </c>
      <c r="G84" s="171">
        <f aca="true" t="shared" si="22" ref="G84:Q84">SUM(G86:G91)</f>
        <v>14187.95</v>
      </c>
      <c r="H84" s="214">
        <f t="shared" si="22"/>
        <v>8389.61</v>
      </c>
      <c r="I84" s="233">
        <f t="shared" si="22"/>
        <v>99149.90999999999</v>
      </c>
      <c r="J84" s="171">
        <f t="shared" si="22"/>
        <v>1240.8099999999997</v>
      </c>
      <c r="K84" s="254">
        <f t="shared" si="22"/>
        <v>0</v>
      </c>
      <c r="L84" s="255">
        <f t="shared" si="22"/>
        <v>100390.72</v>
      </c>
      <c r="M84" s="315">
        <f>SUM(M86:M91)</f>
        <v>516.3299999999999</v>
      </c>
      <c r="N84" s="254">
        <f>SUM(N86:N91)</f>
        <v>0</v>
      </c>
      <c r="O84" s="255">
        <f>SUM(O86:O91)</f>
        <v>100907.04999999999</v>
      </c>
      <c r="P84" s="112">
        <f t="shared" si="22"/>
        <v>0</v>
      </c>
      <c r="Q84" s="112">
        <f t="shared" si="22"/>
        <v>26089.050000000003</v>
      </c>
    </row>
    <row r="85" spans="1:17" ht="12.75">
      <c r="A85" s="19" t="s">
        <v>26</v>
      </c>
      <c r="B85" s="65"/>
      <c r="C85" s="134"/>
      <c r="D85" s="99"/>
      <c r="E85" s="99"/>
      <c r="F85" s="94"/>
      <c r="G85" s="169"/>
      <c r="H85" s="210"/>
      <c r="I85" s="229"/>
      <c r="J85" s="169"/>
      <c r="K85" s="249"/>
      <c r="L85" s="247"/>
      <c r="M85" s="292"/>
      <c r="N85" s="249"/>
      <c r="O85" s="247"/>
      <c r="P85" s="93"/>
      <c r="Q85" s="52"/>
    </row>
    <row r="86" spans="1:17" ht="12.75">
      <c r="A86" s="17" t="s">
        <v>50</v>
      </c>
      <c r="B86" s="65"/>
      <c r="C86" s="134">
        <v>9931</v>
      </c>
      <c r="D86" s="99"/>
      <c r="E86" s="99"/>
      <c r="F86" s="89">
        <f aca="true" t="shared" si="23" ref="F86:F92">C86+D86+E86</f>
        <v>9931</v>
      </c>
      <c r="G86" s="169"/>
      <c r="H86" s="210">
        <f>-2383.75</f>
        <v>-2383.75</v>
      </c>
      <c r="I86" s="230">
        <f aca="true" t="shared" si="24" ref="I86:I92">F86+G86+H86</f>
        <v>7547.25</v>
      </c>
      <c r="J86" s="169">
        <f>453.75-500</f>
        <v>-46.25</v>
      </c>
      <c r="K86" s="249"/>
      <c r="L86" s="248">
        <f aca="true" t="shared" si="25" ref="L86:L92">I86+J86+K86</f>
        <v>7501</v>
      </c>
      <c r="M86" s="292"/>
      <c r="N86" s="249"/>
      <c r="O86" s="248">
        <f aca="true" t="shared" si="26" ref="O86:O92">L86+M86+N86</f>
        <v>7501</v>
      </c>
      <c r="P86" s="93"/>
      <c r="Q86" s="52">
        <f t="shared" si="19"/>
        <v>7501</v>
      </c>
    </row>
    <row r="87" spans="1:17" ht="12.75" hidden="1">
      <c r="A87" s="17" t="s">
        <v>63</v>
      </c>
      <c r="B87" s="65"/>
      <c r="C87" s="134"/>
      <c r="D87" s="99"/>
      <c r="E87" s="99"/>
      <c r="F87" s="89">
        <f t="shared" si="23"/>
        <v>0</v>
      </c>
      <c r="G87" s="169"/>
      <c r="H87" s="210"/>
      <c r="I87" s="230">
        <f t="shared" si="24"/>
        <v>0</v>
      </c>
      <c r="J87" s="169"/>
      <c r="K87" s="249"/>
      <c r="L87" s="248">
        <f t="shared" si="25"/>
        <v>0</v>
      </c>
      <c r="M87" s="292"/>
      <c r="N87" s="249"/>
      <c r="O87" s="248">
        <f t="shared" si="26"/>
        <v>0</v>
      </c>
      <c r="P87" s="93"/>
      <c r="Q87" s="52">
        <f t="shared" si="19"/>
        <v>0</v>
      </c>
    </row>
    <row r="88" spans="1:17" ht="12.75">
      <c r="A88" s="21" t="s">
        <v>203</v>
      </c>
      <c r="B88" s="65"/>
      <c r="C88" s="134">
        <v>61388</v>
      </c>
      <c r="D88" s="99"/>
      <c r="E88" s="99"/>
      <c r="F88" s="109">
        <f t="shared" si="23"/>
        <v>61388</v>
      </c>
      <c r="G88" s="169">
        <f>13430</f>
        <v>13430</v>
      </c>
      <c r="H88" s="210"/>
      <c r="I88" s="230">
        <f t="shared" si="24"/>
        <v>74818</v>
      </c>
      <c r="J88" s="169"/>
      <c r="K88" s="249"/>
      <c r="L88" s="248">
        <f t="shared" si="25"/>
        <v>74818</v>
      </c>
      <c r="M88" s="292"/>
      <c r="N88" s="249"/>
      <c r="O88" s="248">
        <f t="shared" si="26"/>
        <v>74818</v>
      </c>
      <c r="P88" s="93"/>
      <c r="Q88" s="52"/>
    </row>
    <row r="89" spans="1:17" ht="12.75">
      <c r="A89" s="17" t="s">
        <v>64</v>
      </c>
      <c r="B89" s="65">
        <v>98278</v>
      </c>
      <c r="C89" s="134"/>
      <c r="D89" s="99">
        <f>65.31+3.5+59.04+89.73+48+59.26+24+22.5+24</f>
        <v>395.34</v>
      </c>
      <c r="E89" s="99"/>
      <c r="F89" s="89">
        <f t="shared" si="23"/>
        <v>395.34</v>
      </c>
      <c r="G89" s="169">
        <f>45.68+40.61+12+32.99+53.3+6+19+12+3.5+14+23.59+126.55+48+39.36+39+12+20.44+44.11+23.01+30+6+68+38.81</f>
        <v>757.95</v>
      </c>
      <c r="H89" s="210"/>
      <c r="I89" s="230">
        <f t="shared" si="24"/>
        <v>1153.29</v>
      </c>
      <c r="J89" s="169">
        <f>5+15+51.51+3.5+15+15+24+45+58.97+36.07+18.28+13+16+113.73+24+391.7+15+9.5+72+60.88+47+71.06+40.61+9.18+23.59+56.48+15+15+6</f>
        <v>1287.0599999999997</v>
      </c>
      <c r="K89" s="249"/>
      <c r="L89" s="248">
        <f t="shared" si="25"/>
        <v>2440.3499999999995</v>
      </c>
      <c r="M89" s="292">
        <f>26.65+218.18+20.54+17.5+9.5+15.4+40.61+33.45+15.5+52.5+39+12+12+3.5</f>
        <v>516.3299999999999</v>
      </c>
      <c r="N89" s="249"/>
      <c r="O89" s="248">
        <f t="shared" si="26"/>
        <v>2956.6799999999994</v>
      </c>
      <c r="P89" s="93"/>
      <c r="Q89" s="52">
        <f t="shared" si="19"/>
        <v>2956.6799999999994</v>
      </c>
    </row>
    <row r="90" spans="1:17" ht="12.75" hidden="1">
      <c r="A90" s="17" t="s">
        <v>75</v>
      </c>
      <c r="B90" s="65"/>
      <c r="C90" s="134"/>
      <c r="D90" s="99"/>
      <c r="E90" s="99"/>
      <c r="F90" s="89">
        <f t="shared" si="23"/>
        <v>0</v>
      </c>
      <c r="G90" s="169"/>
      <c r="H90" s="210"/>
      <c r="I90" s="230">
        <f t="shared" si="24"/>
        <v>0</v>
      </c>
      <c r="J90" s="169"/>
      <c r="K90" s="249"/>
      <c r="L90" s="248">
        <f t="shared" si="25"/>
        <v>0</v>
      </c>
      <c r="M90" s="292"/>
      <c r="N90" s="249"/>
      <c r="O90" s="248">
        <f t="shared" si="26"/>
        <v>0</v>
      </c>
      <c r="P90" s="93"/>
      <c r="Q90" s="52">
        <f t="shared" si="19"/>
        <v>0</v>
      </c>
    </row>
    <row r="91" spans="1:17" ht="13.5" thickBot="1">
      <c r="A91" s="329" t="s">
        <v>65</v>
      </c>
      <c r="B91" s="330"/>
      <c r="C91" s="331"/>
      <c r="D91" s="332">
        <f>3124.33+1733.68</f>
        <v>4858.01</v>
      </c>
      <c r="E91" s="332"/>
      <c r="F91" s="333">
        <f t="shared" si="23"/>
        <v>4858.01</v>
      </c>
      <c r="G91" s="334"/>
      <c r="H91" s="335">
        <f>10773.36</f>
        <v>10773.36</v>
      </c>
      <c r="I91" s="336">
        <f t="shared" si="24"/>
        <v>15631.37</v>
      </c>
      <c r="J91" s="334"/>
      <c r="K91" s="337"/>
      <c r="L91" s="338">
        <f t="shared" si="25"/>
        <v>15631.37</v>
      </c>
      <c r="M91" s="339"/>
      <c r="N91" s="337"/>
      <c r="O91" s="338">
        <f t="shared" si="26"/>
        <v>15631.37</v>
      </c>
      <c r="P91" s="93"/>
      <c r="Q91" s="52">
        <f t="shared" si="19"/>
        <v>15631.37</v>
      </c>
    </row>
    <row r="92" spans="1:17" ht="12.75" hidden="1">
      <c r="A92" s="16" t="s">
        <v>66</v>
      </c>
      <c r="B92" s="65"/>
      <c r="C92" s="134"/>
      <c r="D92" s="99">
        <f>3124.33+1733.68</f>
        <v>4858.01</v>
      </c>
      <c r="E92" s="99"/>
      <c r="F92" s="89">
        <f t="shared" si="23"/>
        <v>4858.01</v>
      </c>
      <c r="G92" s="169"/>
      <c r="H92" s="210"/>
      <c r="I92" s="230">
        <f t="shared" si="24"/>
        <v>4858.01</v>
      </c>
      <c r="J92" s="169"/>
      <c r="K92" s="249"/>
      <c r="L92" s="248">
        <f t="shared" si="25"/>
        <v>4858.01</v>
      </c>
      <c r="M92" s="292"/>
      <c r="N92" s="249"/>
      <c r="O92" s="248">
        <f t="shared" si="26"/>
        <v>4858.01</v>
      </c>
      <c r="P92" s="93"/>
      <c r="Q92" s="52">
        <f t="shared" si="19"/>
        <v>4858.01</v>
      </c>
    </row>
    <row r="93" spans="1:17" ht="12.75">
      <c r="A93" s="24" t="s">
        <v>52</v>
      </c>
      <c r="B93" s="69"/>
      <c r="C93" s="138">
        <f>SUM(C95:C101)</f>
        <v>32000</v>
      </c>
      <c r="D93" s="103">
        <f aca="true" t="shared" si="27" ref="D93:Q93">SUM(D95:D101)</f>
        <v>60284.16</v>
      </c>
      <c r="E93" s="103">
        <f t="shared" si="27"/>
        <v>0</v>
      </c>
      <c r="F93" s="121">
        <f t="shared" si="27"/>
        <v>92284.16</v>
      </c>
      <c r="G93" s="172">
        <f t="shared" si="27"/>
        <v>10000</v>
      </c>
      <c r="H93" s="215">
        <f t="shared" si="27"/>
        <v>-4346.79</v>
      </c>
      <c r="I93" s="234">
        <f t="shared" si="27"/>
        <v>97937.37</v>
      </c>
      <c r="J93" s="172">
        <f t="shared" si="27"/>
        <v>410.43</v>
      </c>
      <c r="K93" s="256">
        <f t="shared" si="27"/>
        <v>0</v>
      </c>
      <c r="L93" s="257">
        <f t="shared" si="27"/>
        <v>98347.79999999999</v>
      </c>
      <c r="M93" s="316">
        <f t="shared" si="27"/>
        <v>92.93</v>
      </c>
      <c r="N93" s="256">
        <f t="shared" si="27"/>
        <v>0</v>
      </c>
      <c r="O93" s="257">
        <f t="shared" si="27"/>
        <v>98440.73</v>
      </c>
      <c r="P93" s="113">
        <f t="shared" si="27"/>
        <v>0</v>
      </c>
      <c r="Q93" s="113">
        <f t="shared" si="27"/>
        <v>72440.73000000001</v>
      </c>
    </row>
    <row r="94" spans="1:17" ht="12.75">
      <c r="A94" s="15" t="s">
        <v>26</v>
      </c>
      <c r="B94" s="65"/>
      <c r="C94" s="136"/>
      <c r="D94" s="100"/>
      <c r="E94" s="100"/>
      <c r="F94" s="87"/>
      <c r="G94" s="173"/>
      <c r="H94" s="212"/>
      <c r="I94" s="231"/>
      <c r="J94" s="173"/>
      <c r="K94" s="251"/>
      <c r="L94" s="158"/>
      <c r="M94" s="312"/>
      <c r="N94" s="251"/>
      <c r="O94" s="158"/>
      <c r="P94" s="93"/>
      <c r="Q94" s="52"/>
    </row>
    <row r="95" spans="1:17" ht="12.75">
      <c r="A95" s="66" t="s">
        <v>292</v>
      </c>
      <c r="B95" s="65"/>
      <c r="C95" s="134"/>
      <c r="D95" s="99">
        <f>24251.16+5500</f>
        <v>29751.16</v>
      </c>
      <c r="E95" s="99"/>
      <c r="F95" s="89">
        <f aca="true" t="shared" si="28" ref="F95:F102">C95+D95+E95</f>
        <v>29751.16</v>
      </c>
      <c r="G95" s="169">
        <f>10000</f>
        <v>10000</v>
      </c>
      <c r="H95" s="210">
        <f>4488.62</f>
        <v>4488.62</v>
      </c>
      <c r="I95" s="230">
        <f aca="true" t="shared" si="29" ref="I95:I102">F95+G95+H95</f>
        <v>44239.780000000006</v>
      </c>
      <c r="J95" s="169"/>
      <c r="K95" s="249"/>
      <c r="L95" s="248">
        <f>I95+J95+K95</f>
        <v>44239.780000000006</v>
      </c>
      <c r="M95" s="292"/>
      <c r="N95" s="249"/>
      <c r="O95" s="248">
        <f aca="true" t="shared" si="30" ref="O95:O102">L95+M95+N95</f>
        <v>44239.780000000006</v>
      </c>
      <c r="P95" s="93"/>
      <c r="Q95" s="52">
        <f t="shared" si="19"/>
        <v>44239.780000000006</v>
      </c>
    </row>
    <row r="96" spans="1:17" ht="12.75">
      <c r="A96" s="21" t="s">
        <v>239</v>
      </c>
      <c r="B96" s="65"/>
      <c r="C96" s="134"/>
      <c r="D96" s="99">
        <f>20000+4000</f>
        <v>24000</v>
      </c>
      <c r="E96" s="99"/>
      <c r="F96" s="89">
        <f t="shared" si="28"/>
        <v>24000</v>
      </c>
      <c r="G96" s="169"/>
      <c r="H96" s="210"/>
      <c r="I96" s="230">
        <f t="shared" si="29"/>
        <v>24000</v>
      </c>
      <c r="J96" s="169"/>
      <c r="K96" s="249"/>
      <c r="L96" s="248">
        <f aca="true" t="shared" si="31" ref="L96:L101">I96+J96+K96</f>
        <v>24000</v>
      </c>
      <c r="M96" s="292"/>
      <c r="N96" s="249"/>
      <c r="O96" s="248">
        <f t="shared" si="30"/>
        <v>24000</v>
      </c>
      <c r="P96" s="93"/>
      <c r="Q96" s="52"/>
    </row>
    <row r="97" spans="1:17" ht="12.75" hidden="1">
      <c r="A97" s="16" t="s">
        <v>53</v>
      </c>
      <c r="B97" s="65"/>
      <c r="C97" s="134"/>
      <c r="D97" s="99"/>
      <c r="E97" s="99"/>
      <c r="F97" s="89">
        <f t="shared" si="28"/>
        <v>0</v>
      </c>
      <c r="G97" s="169"/>
      <c r="H97" s="210"/>
      <c r="I97" s="230">
        <f t="shared" si="29"/>
        <v>0</v>
      </c>
      <c r="J97" s="169"/>
      <c r="K97" s="249"/>
      <c r="L97" s="248">
        <f t="shared" si="31"/>
        <v>0</v>
      </c>
      <c r="M97" s="292"/>
      <c r="N97" s="249"/>
      <c r="O97" s="248">
        <f t="shared" si="30"/>
        <v>0</v>
      </c>
      <c r="P97" s="93"/>
      <c r="Q97" s="52"/>
    </row>
    <row r="98" spans="1:17" ht="12.75" hidden="1">
      <c r="A98" s="17" t="s">
        <v>201</v>
      </c>
      <c r="B98" s="65"/>
      <c r="C98" s="134"/>
      <c r="D98" s="99"/>
      <c r="E98" s="99"/>
      <c r="F98" s="89">
        <f t="shared" si="28"/>
        <v>0</v>
      </c>
      <c r="G98" s="169"/>
      <c r="H98" s="210"/>
      <c r="I98" s="230">
        <f t="shared" si="29"/>
        <v>0</v>
      </c>
      <c r="J98" s="169"/>
      <c r="K98" s="249"/>
      <c r="L98" s="248">
        <f t="shared" si="31"/>
        <v>0</v>
      </c>
      <c r="M98" s="292"/>
      <c r="N98" s="249"/>
      <c r="O98" s="248">
        <f t="shared" si="30"/>
        <v>0</v>
      </c>
      <c r="P98" s="93"/>
      <c r="Q98" s="52"/>
    </row>
    <row r="99" spans="1:17" ht="12.75">
      <c r="A99" s="17" t="s">
        <v>75</v>
      </c>
      <c r="B99" s="65"/>
      <c r="C99" s="134"/>
      <c r="D99" s="99"/>
      <c r="E99" s="99"/>
      <c r="F99" s="89">
        <f t="shared" si="28"/>
        <v>0</v>
      </c>
      <c r="G99" s="169"/>
      <c r="H99" s="210"/>
      <c r="I99" s="230">
        <f t="shared" si="29"/>
        <v>0</v>
      </c>
      <c r="J99" s="169">
        <f>410.43</f>
        <v>410.43</v>
      </c>
      <c r="K99" s="249"/>
      <c r="L99" s="248">
        <f t="shared" si="31"/>
        <v>410.43</v>
      </c>
      <c r="M99" s="292">
        <f>92.93</f>
        <v>92.93</v>
      </c>
      <c r="N99" s="249"/>
      <c r="O99" s="248">
        <f t="shared" si="30"/>
        <v>503.36</v>
      </c>
      <c r="P99" s="93"/>
      <c r="Q99" s="52">
        <f t="shared" si="19"/>
        <v>503.36</v>
      </c>
    </row>
    <row r="100" spans="1:17" ht="12.75">
      <c r="A100" s="17" t="s">
        <v>245</v>
      </c>
      <c r="B100" s="65"/>
      <c r="C100" s="134">
        <v>2000</v>
      </c>
      <c r="D100" s="99"/>
      <c r="E100" s="99"/>
      <c r="F100" s="89">
        <f t="shared" si="28"/>
        <v>2000</v>
      </c>
      <c r="G100" s="169"/>
      <c r="H100" s="210"/>
      <c r="I100" s="230">
        <f t="shared" si="29"/>
        <v>2000</v>
      </c>
      <c r="J100" s="169"/>
      <c r="K100" s="249"/>
      <c r="L100" s="248">
        <f t="shared" si="31"/>
        <v>2000</v>
      </c>
      <c r="M100" s="292"/>
      <c r="N100" s="249"/>
      <c r="O100" s="248">
        <f t="shared" si="30"/>
        <v>2000</v>
      </c>
      <c r="P100" s="93"/>
      <c r="Q100" s="52"/>
    </row>
    <row r="101" spans="1:17" ht="12.75">
      <c r="A101" s="25" t="s">
        <v>65</v>
      </c>
      <c r="B101" s="68"/>
      <c r="C101" s="195">
        <v>30000</v>
      </c>
      <c r="D101" s="148">
        <f>-3124.33+9657.33</f>
        <v>6533</v>
      </c>
      <c r="E101" s="148"/>
      <c r="F101" s="159">
        <f t="shared" si="28"/>
        <v>36533</v>
      </c>
      <c r="G101" s="174"/>
      <c r="H101" s="216">
        <f>1937.95-10773.36</f>
        <v>-8835.41</v>
      </c>
      <c r="I101" s="235">
        <f t="shared" si="29"/>
        <v>27697.59</v>
      </c>
      <c r="J101" s="174"/>
      <c r="K101" s="258"/>
      <c r="L101" s="259">
        <f t="shared" si="31"/>
        <v>27697.59</v>
      </c>
      <c r="M101" s="302"/>
      <c r="N101" s="258"/>
      <c r="O101" s="259">
        <f t="shared" si="30"/>
        <v>27697.59</v>
      </c>
      <c r="P101" s="93"/>
      <c r="Q101" s="52">
        <f t="shared" si="19"/>
        <v>27697.59</v>
      </c>
    </row>
    <row r="102" spans="1:17" ht="12.75" hidden="1">
      <c r="A102" s="25" t="s">
        <v>68</v>
      </c>
      <c r="B102" s="68"/>
      <c r="C102" s="195"/>
      <c r="D102" s="148"/>
      <c r="E102" s="148"/>
      <c r="F102" s="159">
        <f t="shared" si="28"/>
        <v>0</v>
      </c>
      <c r="G102" s="174"/>
      <c r="H102" s="216"/>
      <c r="I102" s="235">
        <f t="shared" si="29"/>
        <v>0</v>
      </c>
      <c r="J102" s="174"/>
      <c r="K102" s="258">
        <f>25145</f>
        <v>25145</v>
      </c>
      <c r="L102" s="259">
        <f>I102+J102+K102</f>
        <v>25145</v>
      </c>
      <c r="M102" s="302"/>
      <c r="N102" s="258"/>
      <c r="O102" s="259">
        <f t="shared" si="30"/>
        <v>25145</v>
      </c>
      <c r="P102" s="295"/>
      <c r="Q102" s="54">
        <f t="shared" si="19"/>
        <v>25145</v>
      </c>
    </row>
    <row r="103" spans="1:17" ht="12.75">
      <c r="A103" s="18" t="s">
        <v>69</v>
      </c>
      <c r="B103" s="69"/>
      <c r="C103" s="136">
        <f aca="true" t="shared" si="32" ref="C103:Q103">C104+C111</f>
        <v>17757</v>
      </c>
      <c r="D103" s="100">
        <f t="shared" si="32"/>
        <v>0</v>
      </c>
      <c r="E103" s="100">
        <f t="shared" si="32"/>
        <v>0</v>
      </c>
      <c r="F103" s="87">
        <f t="shared" si="32"/>
        <v>17757</v>
      </c>
      <c r="G103" s="173">
        <f t="shared" si="32"/>
        <v>2996</v>
      </c>
      <c r="H103" s="212">
        <f t="shared" si="32"/>
        <v>-1500</v>
      </c>
      <c r="I103" s="231">
        <f t="shared" si="32"/>
        <v>19253</v>
      </c>
      <c r="J103" s="173">
        <f t="shared" si="32"/>
        <v>-453.75</v>
      </c>
      <c r="K103" s="251">
        <f t="shared" si="32"/>
        <v>0</v>
      </c>
      <c r="L103" s="158">
        <f t="shared" si="32"/>
        <v>18799.25</v>
      </c>
      <c r="M103" s="312">
        <f>M104+M111</f>
        <v>0</v>
      </c>
      <c r="N103" s="251">
        <f>N104+N111</f>
        <v>0</v>
      </c>
      <c r="O103" s="158">
        <f>O104+O111</f>
        <v>18799.25</v>
      </c>
      <c r="P103" s="100">
        <f t="shared" si="32"/>
        <v>0</v>
      </c>
      <c r="Q103" s="82">
        <f t="shared" si="32"/>
        <v>18799.25</v>
      </c>
    </row>
    <row r="104" spans="1:17" ht="12.75">
      <c r="A104" s="23" t="s">
        <v>48</v>
      </c>
      <c r="B104" s="69"/>
      <c r="C104" s="137">
        <f aca="true" t="shared" si="33" ref="C104:Q104">SUM(C106:C110)</f>
        <v>17757</v>
      </c>
      <c r="D104" s="102">
        <f t="shared" si="33"/>
        <v>0</v>
      </c>
      <c r="E104" s="102">
        <f t="shared" si="33"/>
        <v>0</v>
      </c>
      <c r="F104" s="120">
        <f t="shared" si="33"/>
        <v>17757</v>
      </c>
      <c r="G104" s="171">
        <f t="shared" si="33"/>
        <v>2996</v>
      </c>
      <c r="H104" s="214">
        <f t="shared" si="33"/>
        <v>-1500</v>
      </c>
      <c r="I104" s="233">
        <f t="shared" si="33"/>
        <v>19253</v>
      </c>
      <c r="J104" s="171">
        <f t="shared" si="33"/>
        <v>-453.75</v>
      </c>
      <c r="K104" s="254">
        <f t="shared" si="33"/>
        <v>0</v>
      </c>
      <c r="L104" s="255">
        <f t="shared" si="33"/>
        <v>18799.25</v>
      </c>
      <c r="M104" s="315">
        <f>SUM(M106:M110)</f>
        <v>0</v>
      </c>
      <c r="N104" s="254">
        <f>SUM(N106:N110)</f>
        <v>0</v>
      </c>
      <c r="O104" s="255">
        <f>SUM(O106:O110)</f>
        <v>18799.25</v>
      </c>
      <c r="P104" s="102">
        <f t="shared" si="33"/>
        <v>0</v>
      </c>
      <c r="Q104" s="83">
        <f t="shared" si="33"/>
        <v>18799.25</v>
      </c>
    </row>
    <row r="105" spans="1:17" ht="12.75">
      <c r="A105" s="19" t="s">
        <v>26</v>
      </c>
      <c r="B105" s="65"/>
      <c r="C105" s="134"/>
      <c r="D105" s="99"/>
      <c r="E105" s="99"/>
      <c r="F105" s="94"/>
      <c r="G105" s="169"/>
      <c r="H105" s="210"/>
      <c r="I105" s="229"/>
      <c r="J105" s="169"/>
      <c r="K105" s="249"/>
      <c r="L105" s="247"/>
      <c r="M105" s="292"/>
      <c r="N105" s="249"/>
      <c r="O105" s="247"/>
      <c r="P105" s="93"/>
      <c r="Q105" s="52"/>
    </row>
    <row r="106" spans="1:17" ht="12.75">
      <c r="A106" s="17" t="s">
        <v>50</v>
      </c>
      <c r="B106" s="65"/>
      <c r="C106" s="134">
        <v>17093</v>
      </c>
      <c r="D106" s="99"/>
      <c r="E106" s="99"/>
      <c r="F106" s="89">
        <f>C106+D106+E106</f>
        <v>17093</v>
      </c>
      <c r="G106" s="169"/>
      <c r="H106" s="210">
        <f>-836</f>
        <v>-836</v>
      </c>
      <c r="I106" s="230">
        <f>SUM(F106:H106)</f>
        <v>16257</v>
      </c>
      <c r="J106" s="169">
        <f>-453.75</f>
        <v>-453.75</v>
      </c>
      <c r="K106" s="249"/>
      <c r="L106" s="248">
        <f>I106+J106+K106</f>
        <v>15803.25</v>
      </c>
      <c r="M106" s="292"/>
      <c r="N106" s="249"/>
      <c r="O106" s="248">
        <f>L106+M106+N106</f>
        <v>15803.25</v>
      </c>
      <c r="P106" s="93"/>
      <c r="Q106" s="52">
        <f t="shared" si="19"/>
        <v>15803.25</v>
      </c>
    </row>
    <row r="107" spans="1:17" ht="12.75">
      <c r="A107" s="167" t="s">
        <v>76</v>
      </c>
      <c r="B107" s="65">
        <v>1245</v>
      </c>
      <c r="C107" s="134">
        <v>664</v>
      </c>
      <c r="D107" s="99"/>
      <c r="E107" s="99"/>
      <c r="F107" s="89">
        <f>C107+D107+E107</f>
        <v>664</v>
      </c>
      <c r="G107" s="169"/>
      <c r="H107" s="210">
        <f>-664</f>
        <v>-664</v>
      </c>
      <c r="I107" s="230">
        <f>SUM(F107:H107)</f>
        <v>0</v>
      </c>
      <c r="J107" s="169"/>
      <c r="K107" s="249"/>
      <c r="L107" s="248">
        <f>I107+J107+K107</f>
        <v>0</v>
      </c>
      <c r="M107" s="292"/>
      <c r="N107" s="249"/>
      <c r="O107" s="248">
        <f>L107+M107+N107</f>
        <v>0</v>
      </c>
      <c r="P107" s="93"/>
      <c r="Q107" s="52"/>
    </row>
    <row r="108" spans="1:17" ht="12.75">
      <c r="A108" s="28" t="s">
        <v>70</v>
      </c>
      <c r="B108" s="68">
        <v>33166</v>
      </c>
      <c r="C108" s="195"/>
      <c r="D108" s="148"/>
      <c r="E108" s="148"/>
      <c r="F108" s="159">
        <f>C108+D108+E108</f>
        <v>0</v>
      </c>
      <c r="G108" s="174">
        <f>2996</f>
        <v>2996</v>
      </c>
      <c r="H108" s="216"/>
      <c r="I108" s="235">
        <f>SUM(F108:H108)</f>
        <v>2996</v>
      </c>
      <c r="J108" s="174"/>
      <c r="K108" s="258"/>
      <c r="L108" s="259">
        <f>I108+J108+K108</f>
        <v>2996</v>
      </c>
      <c r="M108" s="302"/>
      <c r="N108" s="258"/>
      <c r="O108" s="259">
        <f>L108+M108+N108</f>
        <v>2996</v>
      </c>
      <c r="P108" s="93"/>
      <c r="Q108" s="52">
        <f t="shared" si="19"/>
        <v>2996</v>
      </c>
    </row>
    <row r="109" spans="1:17" ht="12.75" hidden="1">
      <c r="A109" s="28" t="s">
        <v>275</v>
      </c>
      <c r="B109" s="68">
        <v>33064</v>
      </c>
      <c r="C109" s="195"/>
      <c r="D109" s="148"/>
      <c r="E109" s="148"/>
      <c r="F109" s="159">
        <f>C109+D109+E109</f>
        <v>0</v>
      </c>
      <c r="G109" s="169"/>
      <c r="H109" s="210"/>
      <c r="I109" s="230"/>
      <c r="J109" s="169"/>
      <c r="K109" s="249"/>
      <c r="L109" s="248"/>
      <c r="M109" s="292"/>
      <c r="N109" s="249"/>
      <c r="O109" s="248"/>
      <c r="P109" s="93"/>
      <c r="Q109" s="52"/>
    </row>
    <row r="110" spans="1:17" ht="12.75" hidden="1">
      <c r="A110" s="21" t="s">
        <v>63</v>
      </c>
      <c r="B110" s="65"/>
      <c r="C110" s="134"/>
      <c r="D110" s="99"/>
      <c r="E110" s="99"/>
      <c r="F110" s="89">
        <f>C110+D110+E110</f>
        <v>0</v>
      </c>
      <c r="G110" s="169"/>
      <c r="H110" s="210"/>
      <c r="I110" s="230">
        <f>SUM(F110:H110)</f>
        <v>0</v>
      </c>
      <c r="J110" s="169"/>
      <c r="K110" s="249"/>
      <c r="L110" s="248">
        <f>I110+J110+K110</f>
        <v>0</v>
      </c>
      <c r="M110" s="292"/>
      <c r="N110" s="249"/>
      <c r="O110" s="248">
        <f>L110+M110+N110</f>
        <v>0</v>
      </c>
      <c r="P110" s="93"/>
      <c r="Q110" s="52">
        <f t="shared" si="19"/>
        <v>0</v>
      </c>
    </row>
    <row r="111" spans="1:17" ht="12.75" hidden="1">
      <c r="A111" s="23" t="s">
        <v>52</v>
      </c>
      <c r="B111" s="69"/>
      <c r="C111" s="137">
        <f>C113</f>
        <v>0</v>
      </c>
      <c r="D111" s="102">
        <f aca="true" t="shared" si="34" ref="D111:Q111">D113</f>
        <v>0</v>
      </c>
      <c r="E111" s="102">
        <f t="shared" si="34"/>
        <v>0</v>
      </c>
      <c r="F111" s="120">
        <f t="shared" si="34"/>
        <v>0</v>
      </c>
      <c r="G111" s="171">
        <f t="shared" si="34"/>
        <v>0</v>
      </c>
      <c r="H111" s="214">
        <f t="shared" si="34"/>
        <v>0</v>
      </c>
      <c r="I111" s="233">
        <f t="shared" si="34"/>
        <v>0</v>
      </c>
      <c r="J111" s="171">
        <f t="shared" si="34"/>
        <v>0</v>
      </c>
      <c r="K111" s="254">
        <f t="shared" si="34"/>
        <v>0</v>
      </c>
      <c r="L111" s="255">
        <f t="shared" si="34"/>
        <v>0</v>
      </c>
      <c r="M111" s="315">
        <f t="shared" si="34"/>
        <v>0</v>
      </c>
      <c r="N111" s="254">
        <f t="shared" si="34"/>
        <v>0</v>
      </c>
      <c r="O111" s="255">
        <f t="shared" si="34"/>
        <v>0</v>
      </c>
      <c r="P111" s="102">
        <f t="shared" si="34"/>
        <v>0</v>
      </c>
      <c r="Q111" s="137">
        <f t="shared" si="34"/>
        <v>0</v>
      </c>
    </row>
    <row r="112" spans="1:17" ht="12.75" hidden="1">
      <c r="A112" s="19" t="s">
        <v>26</v>
      </c>
      <c r="B112" s="65"/>
      <c r="C112" s="134"/>
      <c r="D112" s="99"/>
      <c r="E112" s="99"/>
      <c r="F112" s="94"/>
      <c r="G112" s="169"/>
      <c r="H112" s="210"/>
      <c r="I112" s="229"/>
      <c r="J112" s="169"/>
      <c r="K112" s="249"/>
      <c r="L112" s="247"/>
      <c r="M112" s="292"/>
      <c r="N112" s="249"/>
      <c r="O112" s="247"/>
      <c r="P112" s="93"/>
      <c r="Q112" s="52"/>
    </row>
    <row r="113" spans="1:17" ht="12.75" hidden="1">
      <c r="A113" s="20" t="s">
        <v>161</v>
      </c>
      <c r="B113" s="68"/>
      <c r="C113" s="195"/>
      <c r="D113" s="148"/>
      <c r="E113" s="148"/>
      <c r="F113" s="159">
        <f>C113+D113+E113</f>
        <v>0</v>
      </c>
      <c r="G113" s="174"/>
      <c r="H113" s="216"/>
      <c r="I113" s="236"/>
      <c r="J113" s="174"/>
      <c r="K113" s="258"/>
      <c r="L113" s="259">
        <f>I113+J113+K113</f>
        <v>0</v>
      </c>
      <c r="M113" s="302"/>
      <c r="N113" s="258"/>
      <c r="O113" s="259">
        <f>L113+M113+N113</f>
        <v>0</v>
      </c>
      <c r="P113" s="295"/>
      <c r="Q113" s="54">
        <f t="shared" si="19"/>
        <v>0</v>
      </c>
    </row>
    <row r="114" spans="1:17" ht="12.75">
      <c r="A114" s="14" t="s">
        <v>71</v>
      </c>
      <c r="B114" s="69"/>
      <c r="C114" s="133">
        <f aca="true" t="shared" si="35" ref="C114:Q114">C115+C127</f>
        <v>1419650</v>
      </c>
      <c r="D114" s="86">
        <f t="shared" si="35"/>
        <v>285470.35</v>
      </c>
      <c r="E114" s="86">
        <f t="shared" si="35"/>
        <v>0</v>
      </c>
      <c r="F114" s="94">
        <f t="shared" si="35"/>
        <v>1705120.35</v>
      </c>
      <c r="G114" s="168">
        <f t="shared" si="35"/>
        <v>42092.13</v>
      </c>
      <c r="H114" s="209">
        <f t="shared" si="35"/>
        <v>-27796</v>
      </c>
      <c r="I114" s="229">
        <f t="shared" si="35"/>
        <v>1719416.48</v>
      </c>
      <c r="J114" s="168">
        <f t="shared" si="35"/>
        <v>113395.91</v>
      </c>
      <c r="K114" s="246">
        <f t="shared" si="35"/>
        <v>-646</v>
      </c>
      <c r="L114" s="247">
        <f t="shared" si="35"/>
        <v>1832166.3900000001</v>
      </c>
      <c r="M114" s="309">
        <f>M115+M127</f>
        <v>25541.42</v>
      </c>
      <c r="N114" s="246">
        <f>N115+N127</f>
        <v>0</v>
      </c>
      <c r="O114" s="247">
        <f>O115+O127</f>
        <v>1857707.8099999998</v>
      </c>
      <c r="P114" s="86">
        <f t="shared" si="35"/>
        <v>0</v>
      </c>
      <c r="Q114" s="80">
        <f t="shared" si="35"/>
        <v>1857707.8099999998</v>
      </c>
    </row>
    <row r="115" spans="1:17" ht="12.75">
      <c r="A115" s="23" t="s">
        <v>48</v>
      </c>
      <c r="B115" s="69"/>
      <c r="C115" s="137">
        <f aca="true" t="shared" si="36" ref="C115:Q115">SUM(C118:C126)</f>
        <v>1417150</v>
      </c>
      <c r="D115" s="102">
        <f t="shared" si="36"/>
        <v>285470.35</v>
      </c>
      <c r="E115" s="102">
        <f t="shared" si="36"/>
        <v>0</v>
      </c>
      <c r="F115" s="120">
        <f t="shared" si="36"/>
        <v>1702620.35</v>
      </c>
      <c r="G115" s="171">
        <f t="shared" si="36"/>
        <v>42092.13</v>
      </c>
      <c r="H115" s="214">
        <f t="shared" si="36"/>
        <v>-27796</v>
      </c>
      <c r="I115" s="233">
        <f t="shared" si="36"/>
        <v>1716916.48</v>
      </c>
      <c r="J115" s="171">
        <f t="shared" si="36"/>
        <v>105895.91</v>
      </c>
      <c r="K115" s="254">
        <f t="shared" si="36"/>
        <v>-646</v>
      </c>
      <c r="L115" s="255">
        <f t="shared" si="36"/>
        <v>1822166.3900000001</v>
      </c>
      <c r="M115" s="315">
        <f>SUM(M118:M126)</f>
        <v>25541.42</v>
      </c>
      <c r="N115" s="254">
        <f>SUM(N118:N126)</f>
        <v>0</v>
      </c>
      <c r="O115" s="255">
        <f>SUM(O118:O126)</f>
        <v>1847707.8099999998</v>
      </c>
      <c r="P115" s="102">
        <f t="shared" si="36"/>
        <v>0</v>
      </c>
      <c r="Q115" s="83">
        <f t="shared" si="36"/>
        <v>1847707.8099999998</v>
      </c>
    </row>
    <row r="116" spans="1:17" ht="12.75">
      <c r="A116" s="19" t="s">
        <v>26</v>
      </c>
      <c r="B116" s="65"/>
      <c r="C116" s="134"/>
      <c r="D116" s="99"/>
      <c r="E116" s="99"/>
      <c r="F116" s="94"/>
      <c r="G116" s="169"/>
      <c r="H116" s="210"/>
      <c r="I116" s="229"/>
      <c r="J116" s="169"/>
      <c r="K116" s="249"/>
      <c r="L116" s="247"/>
      <c r="M116" s="292"/>
      <c r="N116" s="249"/>
      <c r="O116" s="247"/>
      <c r="P116" s="93"/>
      <c r="Q116" s="52"/>
    </row>
    <row r="117" spans="1:17" ht="12.75">
      <c r="A117" s="21" t="s">
        <v>323</v>
      </c>
      <c r="B117" s="65"/>
      <c r="C117" s="134">
        <f>C118+C119</f>
        <v>882300</v>
      </c>
      <c r="D117" s="99">
        <f>D118+D119</f>
        <v>39230.06</v>
      </c>
      <c r="E117" s="99">
        <f>E118+E119</f>
        <v>0</v>
      </c>
      <c r="F117" s="89">
        <f>F118+F119</f>
        <v>921530.06</v>
      </c>
      <c r="G117" s="81">
        <f>G118+G119</f>
        <v>42092.13</v>
      </c>
      <c r="H117" s="210"/>
      <c r="I117" s="230">
        <f>I118+I119</f>
        <v>963601.54</v>
      </c>
      <c r="J117" s="169">
        <f>J118+J119</f>
        <v>13178.04</v>
      </c>
      <c r="K117" s="285"/>
      <c r="L117" s="248">
        <f>L118+L119</f>
        <v>976779.58</v>
      </c>
      <c r="M117" s="292">
        <f>M118+M119</f>
        <v>6793.99</v>
      </c>
      <c r="N117" s="249">
        <f>N118+N119</f>
        <v>0</v>
      </c>
      <c r="O117" s="248">
        <f>O118+O119</f>
        <v>983573.57</v>
      </c>
      <c r="P117" s="93"/>
      <c r="Q117" s="52">
        <f t="shared" si="19"/>
        <v>983573.57</v>
      </c>
    </row>
    <row r="118" spans="1:19" ht="12.75">
      <c r="A118" s="21" t="s">
        <v>324</v>
      </c>
      <c r="B118" s="65"/>
      <c r="C118" s="134">
        <v>417000</v>
      </c>
      <c r="D118" s="150">
        <f>-1621.14+582.5+50.49</f>
        <v>-988.1500000000001</v>
      </c>
      <c r="E118" s="99"/>
      <c r="F118" s="89">
        <f aca="true" t="shared" si="37" ref="F118:F126">C118+D118+E118</f>
        <v>416011.85</v>
      </c>
      <c r="G118" s="169">
        <f>822.13+40000</f>
        <v>40822.13</v>
      </c>
      <c r="H118" s="210">
        <f>-20.65</f>
        <v>-20.65</v>
      </c>
      <c r="I118" s="230">
        <f aca="true" t="shared" si="38" ref="I118:I126">F118+G118+H118</f>
        <v>456813.32999999996</v>
      </c>
      <c r="J118" s="169">
        <f>2250.3+397.74+5000</f>
        <v>7648.04</v>
      </c>
      <c r="K118" s="249"/>
      <c r="L118" s="248">
        <f aca="true" t="shared" si="39" ref="L118:L126">I118+J118+K118</f>
        <v>464461.36999999994</v>
      </c>
      <c r="M118" s="292">
        <f>36.49+6000</f>
        <v>6036.49</v>
      </c>
      <c r="N118" s="249"/>
      <c r="O118" s="248">
        <f aca="true" t="shared" si="40" ref="O118:O126">L118+M118+N118</f>
        <v>470497.8599999999</v>
      </c>
      <c r="P118" s="93"/>
      <c r="Q118" s="52">
        <f t="shared" si="19"/>
        <v>470497.8599999999</v>
      </c>
      <c r="S118" s="131"/>
    </row>
    <row r="119" spans="1:17" ht="12.75">
      <c r="A119" s="17" t="s">
        <v>325</v>
      </c>
      <c r="B119" s="65"/>
      <c r="C119" s="134">
        <v>465300</v>
      </c>
      <c r="D119" s="99">
        <f>5577+34402+239.21</f>
        <v>40218.21</v>
      </c>
      <c r="E119" s="99"/>
      <c r="F119" s="89">
        <f t="shared" si="37"/>
        <v>505518.21</v>
      </c>
      <c r="G119" s="169">
        <f>1270</f>
        <v>1270</v>
      </c>
      <c r="H119" s="217"/>
      <c r="I119" s="230">
        <f t="shared" si="38"/>
        <v>506788.21</v>
      </c>
      <c r="J119" s="169">
        <f>530+5000</f>
        <v>5530</v>
      </c>
      <c r="K119" s="249"/>
      <c r="L119" s="248">
        <f t="shared" si="39"/>
        <v>512318.21</v>
      </c>
      <c r="M119" s="292">
        <f>757.5</f>
        <v>757.5</v>
      </c>
      <c r="N119" s="249"/>
      <c r="O119" s="248">
        <f t="shared" si="40"/>
        <v>513075.71</v>
      </c>
      <c r="P119" s="93"/>
      <c r="Q119" s="52">
        <f t="shared" si="19"/>
        <v>513075.71</v>
      </c>
    </row>
    <row r="120" spans="1:17" ht="12.75">
      <c r="A120" s="21" t="s">
        <v>72</v>
      </c>
      <c r="B120" s="65"/>
      <c r="C120" s="134">
        <v>28000</v>
      </c>
      <c r="D120" s="99"/>
      <c r="E120" s="99"/>
      <c r="F120" s="89">
        <f t="shared" si="37"/>
        <v>28000</v>
      </c>
      <c r="G120" s="169"/>
      <c r="H120" s="210"/>
      <c r="I120" s="230">
        <f t="shared" si="38"/>
        <v>28000</v>
      </c>
      <c r="J120" s="169"/>
      <c r="K120" s="249"/>
      <c r="L120" s="248">
        <f t="shared" si="39"/>
        <v>28000</v>
      </c>
      <c r="M120" s="292">
        <f>-4000</f>
        <v>-4000</v>
      </c>
      <c r="N120" s="249"/>
      <c r="O120" s="248">
        <f t="shared" si="40"/>
        <v>24000</v>
      </c>
      <c r="P120" s="93"/>
      <c r="Q120" s="52">
        <f t="shared" si="19"/>
        <v>24000</v>
      </c>
    </row>
    <row r="121" spans="1:17" ht="12.75">
      <c r="A121" s="17" t="s">
        <v>73</v>
      </c>
      <c r="B121" s="65"/>
      <c r="C121" s="134"/>
      <c r="D121" s="99"/>
      <c r="E121" s="99"/>
      <c r="F121" s="89">
        <f t="shared" si="37"/>
        <v>0</v>
      </c>
      <c r="G121" s="169"/>
      <c r="H121" s="210">
        <f>20.65</f>
        <v>20.65</v>
      </c>
      <c r="I121" s="230">
        <f t="shared" si="38"/>
        <v>20.65</v>
      </c>
      <c r="J121" s="169"/>
      <c r="K121" s="249"/>
      <c r="L121" s="248">
        <f t="shared" si="39"/>
        <v>20.65</v>
      </c>
      <c r="M121" s="292"/>
      <c r="N121" s="249"/>
      <c r="O121" s="248">
        <f t="shared" si="40"/>
        <v>20.65</v>
      </c>
      <c r="P121" s="93"/>
      <c r="Q121" s="52">
        <f t="shared" si="19"/>
        <v>20.65</v>
      </c>
    </row>
    <row r="122" spans="1:17" ht="12.75">
      <c r="A122" s="17" t="s">
        <v>63</v>
      </c>
      <c r="B122" s="65"/>
      <c r="C122" s="134"/>
      <c r="D122" s="99">
        <f>1621.14</f>
        <v>1621.14</v>
      </c>
      <c r="E122" s="99"/>
      <c r="F122" s="89">
        <f t="shared" si="37"/>
        <v>1621.14</v>
      </c>
      <c r="G122" s="169"/>
      <c r="H122" s="210"/>
      <c r="I122" s="230">
        <f t="shared" si="38"/>
        <v>1621.14</v>
      </c>
      <c r="J122" s="169"/>
      <c r="K122" s="249"/>
      <c r="L122" s="248">
        <f t="shared" si="39"/>
        <v>1621.14</v>
      </c>
      <c r="M122" s="292"/>
      <c r="N122" s="249"/>
      <c r="O122" s="248">
        <f t="shared" si="40"/>
        <v>1621.14</v>
      </c>
      <c r="P122" s="93"/>
      <c r="Q122" s="52">
        <f t="shared" si="19"/>
        <v>1621.14</v>
      </c>
    </row>
    <row r="123" spans="1:17" ht="12.75">
      <c r="A123" s="17" t="s">
        <v>74</v>
      </c>
      <c r="B123" s="65">
        <v>91252</v>
      </c>
      <c r="C123" s="134"/>
      <c r="D123" s="99"/>
      <c r="E123" s="99"/>
      <c r="F123" s="89">
        <f t="shared" si="37"/>
        <v>0</v>
      </c>
      <c r="G123" s="169"/>
      <c r="H123" s="210"/>
      <c r="I123" s="230">
        <f t="shared" si="38"/>
        <v>0</v>
      </c>
      <c r="J123" s="169">
        <f>89000</f>
        <v>89000</v>
      </c>
      <c r="K123" s="249"/>
      <c r="L123" s="248">
        <f t="shared" si="39"/>
        <v>89000</v>
      </c>
      <c r="M123" s="292">
        <f>18496.6</f>
        <v>18496.6</v>
      </c>
      <c r="N123" s="249"/>
      <c r="O123" s="248">
        <f t="shared" si="40"/>
        <v>107496.6</v>
      </c>
      <c r="P123" s="93"/>
      <c r="Q123" s="52">
        <f t="shared" si="19"/>
        <v>107496.6</v>
      </c>
    </row>
    <row r="124" spans="1:17" ht="12.75">
      <c r="A124" s="17" t="s">
        <v>138</v>
      </c>
      <c r="B124" s="65">
        <v>27355</v>
      </c>
      <c r="C124" s="134"/>
      <c r="D124" s="99">
        <f>223545.15</f>
        <v>223545.15</v>
      </c>
      <c r="E124" s="99"/>
      <c r="F124" s="89">
        <f t="shared" si="37"/>
        <v>223545.15</v>
      </c>
      <c r="G124" s="169"/>
      <c r="H124" s="210"/>
      <c r="I124" s="230">
        <f t="shared" si="38"/>
        <v>223545.15</v>
      </c>
      <c r="J124" s="169"/>
      <c r="K124" s="249"/>
      <c r="L124" s="248">
        <f t="shared" si="39"/>
        <v>223545.15</v>
      </c>
      <c r="M124" s="292"/>
      <c r="N124" s="249"/>
      <c r="O124" s="248">
        <f t="shared" si="40"/>
        <v>223545.15</v>
      </c>
      <c r="P124" s="93"/>
      <c r="Q124" s="52">
        <f t="shared" si="19"/>
        <v>223545.15</v>
      </c>
    </row>
    <row r="125" spans="1:17" ht="12.75">
      <c r="A125" s="17" t="s">
        <v>50</v>
      </c>
      <c r="B125" s="65"/>
      <c r="C125" s="134">
        <v>506850</v>
      </c>
      <c r="D125" s="99">
        <f>20641.9+432.1</f>
        <v>21074</v>
      </c>
      <c r="E125" s="99"/>
      <c r="F125" s="89">
        <f t="shared" si="37"/>
        <v>527924</v>
      </c>
      <c r="G125" s="169"/>
      <c r="H125" s="210">
        <f>-27796</f>
        <v>-27796</v>
      </c>
      <c r="I125" s="230">
        <f t="shared" si="38"/>
        <v>500128</v>
      </c>
      <c r="J125" s="169">
        <f>335.85+682.02+2700</f>
        <v>3717.87</v>
      </c>
      <c r="K125" s="249">
        <f>-646</f>
        <v>-646</v>
      </c>
      <c r="L125" s="248">
        <f t="shared" si="39"/>
        <v>503199.87</v>
      </c>
      <c r="M125" s="292">
        <f>250.83+4000</f>
        <v>4250.83</v>
      </c>
      <c r="N125" s="249"/>
      <c r="O125" s="248">
        <f t="shared" si="40"/>
        <v>507450.7</v>
      </c>
      <c r="P125" s="93"/>
      <c r="Q125" s="52">
        <f t="shared" si="19"/>
        <v>507450.7</v>
      </c>
    </row>
    <row r="126" spans="1:17" ht="12" customHeight="1" hidden="1">
      <c r="A126" s="17" t="s">
        <v>75</v>
      </c>
      <c r="B126" s="65"/>
      <c r="C126" s="134"/>
      <c r="D126" s="99"/>
      <c r="E126" s="99"/>
      <c r="F126" s="89">
        <f t="shared" si="37"/>
        <v>0</v>
      </c>
      <c r="G126" s="169"/>
      <c r="H126" s="210"/>
      <c r="I126" s="230">
        <f t="shared" si="38"/>
        <v>0</v>
      </c>
      <c r="J126" s="169"/>
      <c r="K126" s="249"/>
      <c r="L126" s="248">
        <f t="shared" si="39"/>
        <v>0</v>
      </c>
      <c r="M126" s="292"/>
      <c r="N126" s="249"/>
      <c r="O126" s="248">
        <f t="shared" si="40"/>
        <v>0</v>
      </c>
      <c r="P126" s="93"/>
      <c r="Q126" s="52">
        <f t="shared" si="19"/>
        <v>0</v>
      </c>
    </row>
    <row r="127" spans="1:17" ht="12.75">
      <c r="A127" s="24" t="s">
        <v>52</v>
      </c>
      <c r="B127" s="69"/>
      <c r="C127" s="138">
        <f>SUM(C129:C131)</f>
        <v>2500</v>
      </c>
      <c r="D127" s="103">
        <f aca="true" t="shared" si="41" ref="D127:Q127">SUM(D129:D131)</f>
        <v>0</v>
      </c>
      <c r="E127" s="103">
        <f t="shared" si="41"/>
        <v>0</v>
      </c>
      <c r="F127" s="121">
        <f t="shared" si="41"/>
        <v>2500</v>
      </c>
      <c r="G127" s="172">
        <f t="shared" si="41"/>
        <v>0</v>
      </c>
      <c r="H127" s="215">
        <f t="shared" si="41"/>
        <v>0</v>
      </c>
      <c r="I127" s="234">
        <f t="shared" si="41"/>
        <v>2500</v>
      </c>
      <c r="J127" s="172">
        <f t="shared" si="41"/>
        <v>7500</v>
      </c>
      <c r="K127" s="256">
        <f t="shared" si="41"/>
        <v>0</v>
      </c>
      <c r="L127" s="257">
        <f t="shared" si="41"/>
        <v>10000</v>
      </c>
      <c r="M127" s="316">
        <f t="shared" si="41"/>
        <v>0</v>
      </c>
      <c r="N127" s="256">
        <f t="shared" si="41"/>
        <v>0</v>
      </c>
      <c r="O127" s="257">
        <f t="shared" si="41"/>
        <v>10000</v>
      </c>
      <c r="P127" s="113">
        <f t="shared" si="41"/>
        <v>0</v>
      </c>
      <c r="Q127" s="113">
        <f t="shared" si="41"/>
        <v>10000</v>
      </c>
    </row>
    <row r="128" spans="1:17" ht="12.75">
      <c r="A128" s="15" t="s">
        <v>26</v>
      </c>
      <c r="B128" s="65"/>
      <c r="C128" s="136"/>
      <c r="D128" s="100"/>
      <c r="E128" s="100"/>
      <c r="F128" s="87"/>
      <c r="G128" s="173"/>
      <c r="H128" s="212"/>
      <c r="I128" s="231"/>
      <c r="J128" s="173"/>
      <c r="K128" s="251"/>
      <c r="L128" s="158"/>
      <c r="M128" s="312"/>
      <c r="N128" s="251"/>
      <c r="O128" s="158"/>
      <c r="P128" s="93"/>
      <c r="Q128" s="52"/>
    </row>
    <row r="129" spans="1:17" ht="12.75" hidden="1">
      <c r="A129" s="25" t="s">
        <v>53</v>
      </c>
      <c r="B129" s="68"/>
      <c r="C129" s="195"/>
      <c r="D129" s="148"/>
      <c r="E129" s="148"/>
      <c r="F129" s="159">
        <f>C129+D129+E129</f>
        <v>0</v>
      </c>
      <c r="G129" s="169"/>
      <c r="H129" s="210"/>
      <c r="I129" s="230">
        <f>F129+G129+H129</f>
        <v>0</v>
      </c>
      <c r="J129" s="169"/>
      <c r="K129" s="249"/>
      <c r="L129" s="248">
        <f>I129+J129+K129</f>
        <v>0</v>
      </c>
      <c r="M129" s="292"/>
      <c r="N129" s="249"/>
      <c r="O129" s="248">
        <f>L129+M129+N129</f>
        <v>0</v>
      </c>
      <c r="P129" s="93"/>
      <c r="Q129" s="52">
        <f t="shared" si="19"/>
        <v>0</v>
      </c>
    </row>
    <row r="130" spans="1:17" ht="12.75">
      <c r="A130" s="20" t="s">
        <v>83</v>
      </c>
      <c r="B130" s="68"/>
      <c r="C130" s="195">
        <v>2500</v>
      </c>
      <c r="D130" s="148"/>
      <c r="E130" s="148"/>
      <c r="F130" s="159">
        <f>C130+D130+E130</f>
        <v>2500</v>
      </c>
      <c r="G130" s="174"/>
      <c r="H130" s="216"/>
      <c r="I130" s="235">
        <f>F130+G130+H130</f>
        <v>2500</v>
      </c>
      <c r="J130" s="174">
        <f>7500</f>
        <v>7500</v>
      </c>
      <c r="K130" s="258"/>
      <c r="L130" s="259">
        <f>I130+J130+K130</f>
        <v>10000</v>
      </c>
      <c r="M130" s="302"/>
      <c r="N130" s="258"/>
      <c r="O130" s="259">
        <f>L130+M130+N130</f>
        <v>10000</v>
      </c>
      <c r="P130" s="93"/>
      <c r="Q130" s="52">
        <f t="shared" si="19"/>
        <v>10000</v>
      </c>
    </row>
    <row r="131" spans="1:17" ht="12.75" hidden="1">
      <c r="A131" s="20" t="s">
        <v>76</v>
      </c>
      <c r="B131" s="68"/>
      <c r="C131" s="195"/>
      <c r="D131" s="148"/>
      <c r="E131" s="148"/>
      <c r="F131" s="159">
        <f>C131+D131+E131</f>
        <v>0</v>
      </c>
      <c r="G131" s="174"/>
      <c r="H131" s="216"/>
      <c r="I131" s="235">
        <f>F131+G131+H131</f>
        <v>0</v>
      </c>
      <c r="J131" s="174"/>
      <c r="K131" s="258"/>
      <c r="L131" s="259">
        <f>I131+J131+K131</f>
        <v>0</v>
      </c>
      <c r="M131" s="302"/>
      <c r="N131" s="258"/>
      <c r="O131" s="259">
        <f>L131+M131+N131</f>
        <v>0</v>
      </c>
      <c r="P131" s="295"/>
      <c r="Q131" s="54">
        <f t="shared" si="19"/>
        <v>0</v>
      </c>
    </row>
    <row r="132" spans="1:17" ht="12.75">
      <c r="A132" s="18" t="s">
        <v>77</v>
      </c>
      <c r="B132" s="69"/>
      <c r="C132" s="136">
        <f>C133+C138</f>
        <v>64210</v>
      </c>
      <c r="D132" s="100">
        <f>D133+D138</f>
        <v>26046.79</v>
      </c>
      <c r="E132" s="100">
        <f>E133+E138</f>
        <v>0</v>
      </c>
      <c r="F132" s="87">
        <f>F133+F138</f>
        <v>90256.79</v>
      </c>
      <c r="G132" s="173">
        <f aca="true" t="shared" si="42" ref="G132:Q132">G133+G138</f>
        <v>1251.29</v>
      </c>
      <c r="H132" s="212">
        <f t="shared" si="42"/>
        <v>-3737.05</v>
      </c>
      <c r="I132" s="231">
        <f t="shared" si="42"/>
        <v>87771.03</v>
      </c>
      <c r="J132" s="173">
        <f t="shared" si="42"/>
        <v>-9878.34</v>
      </c>
      <c r="K132" s="251">
        <f t="shared" si="42"/>
        <v>0</v>
      </c>
      <c r="L132" s="158">
        <f t="shared" si="42"/>
        <v>77892.69</v>
      </c>
      <c r="M132" s="312">
        <f>M133+M138</f>
        <v>1168.8799999999999</v>
      </c>
      <c r="N132" s="251">
        <f>N133+N138</f>
        <v>0</v>
      </c>
      <c r="O132" s="158">
        <f>O133+O138</f>
        <v>79061.57</v>
      </c>
      <c r="P132" s="110">
        <f t="shared" si="42"/>
        <v>0</v>
      </c>
      <c r="Q132" s="110">
        <f t="shared" si="42"/>
        <v>79061.57</v>
      </c>
    </row>
    <row r="133" spans="1:17" ht="12.75">
      <c r="A133" s="23" t="s">
        <v>48</v>
      </c>
      <c r="B133" s="69"/>
      <c r="C133" s="137">
        <f>SUM(C135:C137)</f>
        <v>47210</v>
      </c>
      <c r="D133" s="102">
        <f>SUM(D135:D137)</f>
        <v>11526.31</v>
      </c>
      <c r="E133" s="102">
        <f>SUM(E135:E137)</f>
        <v>0</v>
      </c>
      <c r="F133" s="120">
        <f>SUM(F135:F137)</f>
        <v>58736.31</v>
      </c>
      <c r="G133" s="171">
        <f aca="true" t="shared" si="43" ref="G133:Q133">SUM(G135:G137)</f>
        <v>0</v>
      </c>
      <c r="H133" s="214">
        <f t="shared" si="43"/>
        <v>-2667.05</v>
      </c>
      <c r="I133" s="233">
        <f t="shared" si="43"/>
        <v>56069.259999999995</v>
      </c>
      <c r="J133" s="171">
        <f t="shared" si="43"/>
        <v>6132.14</v>
      </c>
      <c r="K133" s="254">
        <f t="shared" si="43"/>
        <v>0</v>
      </c>
      <c r="L133" s="255">
        <f t="shared" si="43"/>
        <v>62201.4</v>
      </c>
      <c r="M133" s="315">
        <f>SUM(M135:M137)</f>
        <v>1716.12</v>
      </c>
      <c r="N133" s="254">
        <f>SUM(N135:N137)</f>
        <v>0</v>
      </c>
      <c r="O133" s="255">
        <f>SUM(O135:O137)</f>
        <v>63917.520000000004</v>
      </c>
      <c r="P133" s="112">
        <f t="shared" si="43"/>
        <v>0</v>
      </c>
      <c r="Q133" s="112">
        <f t="shared" si="43"/>
        <v>63917.520000000004</v>
      </c>
    </row>
    <row r="134" spans="1:17" ht="12.75">
      <c r="A134" s="19" t="s">
        <v>26</v>
      </c>
      <c r="B134" s="65"/>
      <c r="C134" s="134"/>
      <c r="D134" s="99"/>
      <c r="E134" s="99"/>
      <c r="F134" s="94"/>
      <c r="G134" s="169"/>
      <c r="H134" s="210"/>
      <c r="I134" s="229"/>
      <c r="J134" s="169"/>
      <c r="K134" s="249"/>
      <c r="L134" s="247"/>
      <c r="M134" s="292"/>
      <c r="N134" s="249"/>
      <c r="O134" s="247"/>
      <c r="P134" s="93"/>
      <c r="Q134" s="52"/>
    </row>
    <row r="135" spans="1:17" ht="12.75">
      <c r="A135" s="17" t="s">
        <v>50</v>
      </c>
      <c r="B135" s="65"/>
      <c r="C135" s="134">
        <v>23210</v>
      </c>
      <c r="D135" s="99">
        <f>10326.31</f>
        <v>10326.31</v>
      </c>
      <c r="E135" s="99"/>
      <c r="F135" s="89">
        <f>C135+D135+E135</f>
        <v>33536.31</v>
      </c>
      <c r="G135" s="169"/>
      <c r="H135" s="210">
        <f>-2517.05</f>
        <v>-2517.05</v>
      </c>
      <c r="I135" s="230">
        <f>F135+G135+H135</f>
        <v>31019.26</v>
      </c>
      <c r="J135" s="169">
        <f>1132.14+5000</f>
        <v>6132.14</v>
      </c>
      <c r="K135" s="249"/>
      <c r="L135" s="248">
        <f>I135+J135+K135</f>
        <v>37151.4</v>
      </c>
      <c r="M135" s="292">
        <f>1290.61+425.51</f>
        <v>1716.12</v>
      </c>
      <c r="N135" s="249"/>
      <c r="O135" s="248">
        <f>L135+M135+N135</f>
        <v>38867.520000000004</v>
      </c>
      <c r="P135" s="93"/>
      <c r="Q135" s="52">
        <f t="shared" si="19"/>
        <v>38867.520000000004</v>
      </c>
    </row>
    <row r="136" spans="1:17" ht="12.75" hidden="1">
      <c r="A136" s="17" t="s">
        <v>76</v>
      </c>
      <c r="B136" s="65"/>
      <c r="C136" s="134"/>
      <c r="D136" s="99"/>
      <c r="E136" s="99"/>
      <c r="F136" s="89">
        <f>C136+D136+E136</f>
        <v>0</v>
      </c>
      <c r="G136" s="169"/>
      <c r="H136" s="210"/>
      <c r="I136" s="230"/>
      <c r="J136" s="169"/>
      <c r="K136" s="249"/>
      <c r="L136" s="248"/>
      <c r="M136" s="292"/>
      <c r="N136" s="249"/>
      <c r="O136" s="248">
        <f>L136+M136+N136</f>
        <v>0</v>
      </c>
      <c r="P136" s="93"/>
      <c r="Q136" s="52">
        <f t="shared" si="19"/>
        <v>0</v>
      </c>
    </row>
    <row r="137" spans="1:17" ht="12.75">
      <c r="A137" s="17" t="s">
        <v>78</v>
      </c>
      <c r="B137" s="65"/>
      <c r="C137" s="134">
        <v>24000</v>
      </c>
      <c r="D137" s="99">
        <f>1200</f>
        <v>1200</v>
      </c>
      <c r="E137" s="99"/>
      <c r="F137" s="89">
        <f>C137+D137+E137</f>
        <v>25200</v>
      </c>
      <c r="G137" s="169"/>
      <c r="H137" s="210">
        <f>-150</f>
        <v>-150</v>
      </c>
      <c r="I137" s="230">
        <f>F137+G137+H137</f>
        <v>25050</v>
      </c>
      <c r="J137" s="169"/>
      <c r="K137" s="249"/>
      <c r="L137" s="248">
        <f>I137+J137+K137</f>
        <v>25050</v>
      </c>
      <c r="M137" s="292"/>
      <c r="N137" s="249"/>
      <c r="O137" s="248">
        <f>L137+M137+N137</f>
        <v>25050</v>
      </c>
      <c r="P137" s="93"/>
      <c r="Q137" s="52">
        <f>O137+P137</f>
        <v>25050</v>
      </c>
    </row>
    <row r="138" spans="1:17" ht="12.75">
      <c r="A138" s="24" t="s">
        <v>52</v>
      </c>
      <c r="B138" s="69"/>
      <c r="C138" s="138">
        <f>SUM(C140:C143)</f>
        <v>17000</v>
      </c>
      <c r="D138" s="103">
        <f aca="true" t="shared" si="44" ref="D138:Q138">SUM(D140:D143)</f>
        <v>14520.48</v>
      </c>
      <c r="E138" s="103">
        <f t="shared" si="44"/>
        <v>0</v>
      </c>
      <c r="F138" s="121">
        <f t="shared" si="44"/>
        <v>31520.48</v>
      </c>
      <c r="G138" s="172">
        <f t="shared" si="44"/>
        <v>1251.29</v>
      </c>
      <c r="H138" s="215">
        <f t="shared" si="44"/>
        <v>-1070</v>
      </c>
      <c r="I138" s="234">
        <f t="shared" si="44"/>
        <v>31701.769999999997</v>
      </c>
      <c r="J138" s="172">
        <f t="shared" si="44"/>
        <v>-16010.48</v>
      </c>
      <c r="K138" s="256">
        <f t="shared" si="44"/>
        <v>0</v>
      </c>
      <c r="L138" s="257">
        <f t="shared" si="44"/>
        <v>15691.289999999997</v>
      </c>
      <c r="M138" s="316">
        <f t="shared" si="44"/>
        <v>-547.24</v>
      </c>
      <c r="N138" s="256">
        <f t="shared" si="44"/>
        <v>0</v>
      </c>
      <c r="O138" s="257">
        <f t="shared" si="44"/>
        <v>15144.049999999997</v>
      </c>
      <c r="P138" s="113">
        <f t="shared" si="44"/>
        <v>0</v>
      </c>
      <c r="Q138" s="113">
        <f t="shared" si="44"/>
        <v>15144.049999999997</v>
      </c>
    </row>
    <row r="139" spans="1:17" ht="12.75">
      <c r="A139" s="15" t="s">
        <v>26</v>
      </c>
      <c r="B139" s="65"/>
      <c r="C139" s="136"/>
      <c r="D139" s="100"/>
      <c r="E139" s="100"/>
      <c r="F139" s="87"/>
      <c r="G139" s="173"/>
      <c r="H139" s="212"/>
      <c r="I139" s="231"/>
      <c r="J139" s="173"/>
      <c r="K139" s="251"/>
      <c r="L139" s="158"/>
      <c r="M139" s="312"/>
      <c r="N139" s="251"/>
      <c r="O139" s="158"/>
      <c r="P139" s="93"/>
      <c r="Q139" s="52"/>
    </row>
    <row r="140" spans="1:17" ht="12.75" hidden="1">
      <c r="A140" s="17" t="s">
        <v>159</v>
      </c>
      <c r="B140" s="65">
        <v>98861</v>
      </c>
      <c r="C140" s="134"/>
      <c r="D140" s="99"/>
      <c r="E140" s="99"/>
      <c r="F140" s="89">
        <f>C140+D140+E140</f>
        <v>0</v>
      </c>
      <c r="G140" s="173"/>
      <c r="H140" s="212"/>
      <c r="I140" s="230"/>
      <c r="J140" s="173"/>
      <c r="K140" s="251"/>
      <c r="L140" s="248"/>
      <c r="M140" s="312"/>
      <c r="N140" s="251"/>
      <c r="O140" s="248">
        <f>L140+M140+N140</f>
        <v>0</v>
      </c>
      <c r="P140" s="93"/>
      <c r="Q140" s="52">
        <f>O140+P140</f>
        <v>0</v>
      </c>
    </row>
    <row r="141" spans="1:17" ht="12.75" hidden="1">
      <c r="A141" s="17" t="s">
        <v>214</v>
      </c>
      <c r="B141" s="65">
        <v>7938</v>
      </c>
      <c r="C141" s="134"/>
      <c r="D141" s="99"/>
      <c r="E141" s="99"/>
      <c r="F141" s="89">
        <f>C141+D141+E141</f>
        <v>0</v>
      </c>
      <c r="G141" s="173"/>
      <c r="H141" s="212"/>
      <c r="I141" s="230"/>
      <c r="J141" s="173"/>
      <c r="K141" s="251"/>
      <c r="L141" s="248"/>
      <c r="M141" s="312"/>
      <c r="N141" s="251"/>
      <c r="O141" s="248"/>
      <c r="P141" s="93"/>
      <c r="Q141" s="52"/>
    </row>
    <row r="142" spans="1:17" ht="12.75" hidden="1">
      <c r="A142" s="17" t="s">
        <v>241</v>
      </c>
      <c r="B142" s="65"/>
      <c r="C142" s="134"/>
      <c r="D142" s="99"/>
      <c r="E142" s="99"/>
      <c r="F142" s="89">
        <f>C142+D142+E142</f>
        <v>0</v>
      </c>
      <c r="G142" s="173"/>
      <c r="H142" s="212"/>
      <c r="I142" s="230"/>
      <c r="J142" s="173"/>
      <c r="K142" s="251"/>
      <c r="L142" s="248"/>
      <c r="M142" s="312"/>
      <c r="N142" s="251"/>
      <c r="O142" s="248"/>
      <c r="P142" s="93"/>
      <c r="Q142" s="52"/>
    </row>
    <row r="143" spans="1:17" ht="12.75">
      <c r="A143" s="28" t="s">
        <v>53</v>
      </c>
      <c r="B143" s="68"/>
      <c r="C143" s="195">
        <v>17000</v>
      </c>
      <c r="D143" s="148">
        <f>14520.48</f>
        <v>14520.48</v>
      </c>
      <c r="E143" s="148"/>
      <c r="F143" s="159">
        <f>C143+D143+E143</f>
        <v>31520.48</v>
      </c>
      <c r="G143" s="174">
        <f>1251.29</f>
        <v>1251.29</v>
      </c>
      <c r="H143" s="216">
        <f>-1070</f>
        <v>-1070</v>
      </c>
      <c r="I143" s="235">
        <f>F143+G143+H143</f>
        <v>31701.769999999997</v>
      </c>
      <c r="J143" s="174">
        <f>-16410.48+400</f>
        <v>-16010.48</v>
      </c>
      <c r="K143" s="258"/>
      <c r="L143" s="259">
        <f>I143+J143+K143</f>
        <v>15691.289999999997</v>
      </c>
      <c r="M143" s="302">
        <f>-121.73-425.51</f>
        <v>-547.24</v>
      </c>
      <c r="N143" s="258"/>
      <c r="O143" s="259">
        <f>L143+M143+N143</f>
        <v>15144.049999999997</v>
      </c>
      <c r="P143" s="295"/>
      <c r="Q143" s="54">
        <f>O143+P143</f>
        <v>15144.049999999997</v>
      </c>
    </row>
    <row r="144" spans="1:17" ht="12.75">
      <c r="A144" s="14" t="s">
        <v>261</v>
      </c>
      <c r="B144" s="69"/>
      <c r="C144" s="133">
        <f>C145+C166</f>
        <v>4910.1</v>
      </c>
      <c r="D144" s="86">
        <f>D145+D166</f>
        <v>239884.70999999996</v>
      </c>
      <c r="E144" s="86">
        <f>E145+E166</f>
        <v>0</v>
      </c>
      <c r="F144" s="94">
        <f>F145+F166</f>
        <v>244794.81</v>
      </c>
      <c r="G144" s="168">
        <f aca="true" t="shared" si="45" ref="G144:Q144">G145+G166</f>
        <v>-2715.88</v>
      </c>
      <c r="H144" s="209">
        <f t="shared" si="45"/>
        <v>0</v>
      </c>
      <c r="I144" s="229">
        <f t="shared" si="45"/>
        <v>242078.93</v>
      </c>
      <c r="J144" s="168">
        <f t="shared" si="45"/>
        <v>9248.869999999999</v>
      </c>
      <c r="K144" s="246">
        <f t="shared" si="45"/>
        <v>0</v>
      </c>
      <c r="L144" s="247">
        <f t="shared" si="45"/>
        <v>251327.8</v>
      </c>
      <c r="M144" s="309">
        <f>M145+M166</f>
        <v>8175.48</v>
      </c>
      <c r="N144" s="246">
        <f>N145+N166</f>
        <v>0</v>
      </c>
      <c r="O144" s="247">
        <f>O145+O166</f>
        <v>259503.28</v>
      </c>
      <c r="P144" s="106">
        <f t="shared" si="45"/>
        <v>0</v>
      </c>
      <c r="Q144" s="106">
        <f t="shared" si="45"/>
        <v>3710.7</v>
      </c>
    </row>
    <row r="145" spans="1:17" ht="12.75">
      <c r="A145" s="23" t="s">
        <v>48</v>
      </c>
      <c r="B145" s="69"/>
      <c r="C145" s="137">
        <f>SUM(C147:C165)</f>
        <v>4910.1</v>
      </c>
      <c r="D145" s="102">
        <f>SUM(D147:D165)</f>
        <v>40411.03999999999</v>
      </c>
      <c r="E145" s="102">
        <f>SUM(E147:E165)</f>
        <v>0</v>
      </c>
      <c r="F145" s="120">
        <f>SUM(F147:F165)</f>
        <v>45321.14</v>
      </c>
      <c r="G145" s="171">
        <f aca="true" t="shared" si="46" ref="G145:Q145">SUM(G147:G165)</f>
        <v>-2715.88</v>
      </c>
      <c r="H145" s="214">
        <f t="shared" si="46"/>
        <v>0</v>
      </c>
      <c r="I145" s="233">
        <f t="shared" si="46"/>
        <v>42605.26</v>
      </c>
      <c r="J145" s="171">
        <f t="shared" si="46"/>
        <v>9248.869999999999</v>
      </c>
      <c r="K145" s="254">
        <f t="shared" si="46"/>
        <v>0</v>
      </c>
      <c r="L145" s="255">
        <f t="shared" si="46"/>
        <v>51854.130000000005</v>
      </c>
      <c r="M145" s="315">
        <f>SUM(M147:M165)</f>
        <v>8175.48</v>
      </c>
      <c r="N145" s="254">
        <f>SUM(N147:N165)</f>
        <v>0</v>
      </c>
      <c r="O145" s="255">
        <f>SUM(O147:O165)</f>
        <v>60029.61000000001</v>
      </c>
      <c r="P145" s="112">
        <f t="shared" si="46"/>
        <v>0</v>
      </c>
      <c r="Q145" s="112">
        <f t="shared" si="46"/>
        <v>3710.7</v>
      </c>
    </row>
    <row r="146" spans="1:17" ht="12.75">
      <c r="A146" s="15" t="s">
        <v>26</v>
      </c>
      <c r="B146" s="65"/>
      <c r="C146" s="136"/>
      <c r="D146" s="100"/>
      <c r="E146" s="100"/>
      <c r="F146" s="87"/>
      <c r="G146" s="173"/>
      <c r="H146" s="212"/>
      <c r="I146" s="231"/>
      <c r="J146" s="173"/>
      <c r="K146" s="251"/>
      <c r="L146" s="158"/>
      <c r="M146" s="312"/>
      <c r="N146" s="251"/>
      <c r="O146" s="158"/>
      <c r="P146" s="93"/>
      <c r="Q146" s="52"/>
    </row>
    <row r="147" spans="1:17" ht="12.75">
      <c r="A147" s="17" t="s">
        <v>50</v>
      </c>
      <c r="B147" s="65"/>
      <c r="C147" s="134">
        <v>3350.7</v>
      </c>
      <c r="D147" s="99">
        <f>360</f>
        <v>360</v>
      </c>
      <c r="E147" s="99"/>
      <c r="F147" s="89">
        <f aca="true" t="shared" si="47" ref="F147:F165">C147+D147+E147</f>
        <v>3710.7</v>
      </c>
      <c r="G147" s="169"/>
      <c r="H147" s="210"/>
      <c r="I147" s="230">
        <f>F147+G147+H147</f>
        <v>3710.7</v>
      </c>
      <c r="J147" s="175"/>
      <c r="K147" s="249"/>
      <c r="L147" s="248">
        <f>I147+J147+K147</f>
        <v>3710.7</v>
      </c>
      <c r="M147" s="292"/>
      <c r="N147" s="249"/>
      <c r="O147" s="248">
        <f>L147+M147+N147</f>
        <v>3710.7</v>
      </c>
      <c r="P147" s="93"/>
      <c r="Q147" s="52">
        <f>O147+P147</f>
        <v>3710.7</v>
      </c>
    </row>
    <row r="148" spans="1:17" ht="12.75" hidden="1">
      <c r="A148" s="66" t="s">
        <v>294</v>
      </c>
      <c r="B148" s="65">
        <v>2042</v>
      </c>
      <c r="C148" s="134"/>
      <c r="D148" s="99"/>
      <c r="E148" s="99"/>
      <c r="F148" s="89">
        <f t="shared" si="47"/>
        <v>0</v>
      </c>
      <c r="G148" s="169"/>
      <c r="H148" s="210"/>
      <c r="I148" s="230">
        <f aca="true" t="shared" si="48" ref="I148:I165">F148+G148+H148</f>
        <v>0</v>
      </c>
      <c r="J148" s="169"/>
      <c r="K148" s="249"/>
      <c r="L148" s="248">
        <f aca="true" t="shared" si="49" ref="L148:L165">I148+J148+K148</f>
        <v>0</v>
      </c>
      <c r="M148" s="292"/>
      <c r="N148" s="249"/>
      <c r="O148" s="248">
        <f aca="true" t="shared" si="50" ref="O148:O165">L148+M148+N148</f>
        <v>0</v>
      </c>
      <c r="P148" s="93"/>
      <c r="Q148" s="52">
        <f>O148+P148</f>
        <v>0</v>
      </c>
    </row>
    <row r="149" spans="1:17" ht="12.75">
      <c r="A149" s="66" t="s">
        <v>295</v>
      </c>
      <c r="B149" s="65">
        <v>2045</v>
      </c>
      <c r="C149" s="134"/>
      <c r="D149" s="99">
        <f>1866.49</f>
        <v>1866.49</v>
      </c>
      <c r="E149" s="99"/>
      <c r="F149" s="89">
        <f t="shared" si="47"/>
        <v>1866.49</v>
      </c>
      <c r="G149" s="169"/>
      <c r="H149" s="210"/>
      <c r="I149" s="230">
        <f t="shared" si="48"/>
        <v>1866.49</v>
      </c>
      <c r="J149" s="169">
        <f>1321.93</f>
        <v>1321.93</v>
      </c>
      <c r="K149" s="249"/>
      <c r="L149" s="248">
        <f t="shared" si="49"/>
        <v>3188.42</v>
      </c>
      <c r="M149" s="292"/>
      <c r="N149" s="249"/>
      <c r="O149" s="248">
        <f t="shared" si="50"/>
        <v>3188.42</v>
      </c>
      <c r="P149" s="93"/>
      <c r="Q149" s="52"/>
    </row>
    <row r="150" spans="1:17" ht="12.75">
      <c r="A150" s="66" t="s">
        <v>304</v>
      </c>
      <c r="B150" s="65">
        <v>2046</v>
      </c>
      <c r="C150" s="134"/>
      <c r="D150" s="99">
        <f>4982.3</f>
        <v>4982.3</v>
      </c>
      <c r="E150" s="99"/>
      <c r="F150" s="89">
        <f t="shared" si="47"/>
        <v>4982.3</v>
      </c>
      <c r="G150" s="169"/>
      <c r="H150" s="210"/>
      <c r="I150" s="230">
        <f t="shared" si="48"/>
        <v>4982.3</v>
      </c>
      <c r="J150" s="169"/>
      <c r="K150" s="249"/>
      <c r="L150" s="248">
        <f t="shared" si="49"/>
        <v>4982.3</v>
      </c>
      <c r="M150" s="292">
        <f>1867.39</f>
        <v>1867.39</v>
      </c>
      <c r="N150" s="249"/>
      <c r="O150" s="248">
        <f t="shared" si="50"/>
        <v>6849.6900000000005</v>
      </c>
      <c r="P150" s="93"/>
      <c r="Q150" s="52"/>
    </row>
    <row r="151" spans="1:17" ht="12.75">
      <c r="A151" s="66" t="s">
        <v>296</v>
      </c>
      <c r="B151" s="65">
        <v>2016</v>
      </c>
      <c r="C151" s="134"/>
      <c r="D151" s="99">
        <f>1422.76</f>
        <v>1422.76</v>
      </c>
      <c r="E151" s="99"/>
      <c r="F151" s="89">
        <f t="shared" si="47"/>
        <v>1422.76</v>
      </c>
      <c r="G151" s="169"/>
      <c r="H151" s="210"/>
      <c r="I151" s="230">
        <f t="shared" si="48"/>
        <v>1422.76</v>
      </c>
      <c r="J151" s="169"/>
      <c r="K151" s="249"/>
      <c r="L151" s="248">
        <f t="shared" si="49"/>
        <v>1422.76</v>
      </c>
      <c r="M151" s="292"/>
      <c r="N151" s="249"/>
      <c r="O151" s="248">
        <f t="shared" si="50"/>
        <v>1422.76</v>
      </c>
      <c r="P151" s="93"/>
      <c r="Q151" s="52"/>
    </row>
    <row r="152" spans="1:17" ht="12.75">
      <c r="A152" s="66" t="s">
        <v>331</v>
      </c>
      <c r="B152" s="65">
        <v>2016</v>
      </c>
      <c r="C152" s="134"/>
      <c r="D152" s="99"/>
      <c r="E152" s="99"/>
      <c r="F152" s="89">
        <f t="shared" si="47"/>
        <v>0</v>
      </c>
      <c r="G152" s="169">
        <f>638.93</f>
        <v>638.93</v>
      </c>
      <c r="H152" s="210"/>
      <c r="I152" s="230">
        <f t="shared" si="48"/>
        <v>638.93</v>
      </c>
      <c r="J152" s="169">
        <f>647.06</f>
        <v>647.06</v>
      </c>
      <c r="K152" s="249"/>
      <c r="L152" s="248">
        <f t="shared" si="49"/>
        <v>1285.9899999999998</v>
      </c>
      <c r="M152" s="292"/>
      <c r="N152" s="249"/>
      <c r="O152" s="248">
        <f t="shared" si="50"/>
        <v>1285.9899999999998</v>
      </c>
      <c r="P152" s="93"/>
      <c r="Q152" s="52"/>
    </row>
    <row r="153" spans="1:17" ht="12.75" hidden="1">
      <c r="A153" s="26" t="s">
        <v>297</v>
      </c>
      <c r="B153" s="65">
        <v>2057</v>
      </c>
      <c r="C153" s="134"/>
      <c r="D153" s="99">
        <f>15.32</f>
        <v>15.32</v>
      </c>
      <c r="E153" s="99"/>
      <c r="F153" s="89">
        <f t="shared" si="47"/>
        <v>15.32</v>
      </c>
      <c r="G153" s="169"/>
      <c r="H153" s="210"/>
      <c r="I153" s="230">
        <f t="shared" si="48"/>
        <v>15.32</v>
      </c>
      <c r="J153" s="169">
        <f>-15.32</f>
        <v>-15.32</v>
      </c>
      <c r="K153" s="249"/>
      <c r="L153" s="248">
        <f t="shared" si="49"/>
        <v>0</v>
      </c>
      <c r="M153" s="292"/>
      <c r="N153" s="249"/>
      <c r="O153" s="248">
        <f t="shared" si="50"/>
        <v>0</v>
      </c>
      <c r="P153" s="93"/>
      <c r="Q153" s="52"/>
    </row>
    <row r="154" spans="1:17" ht="12.75">
      <c r="A154" s="26" t="s">
        <v>298</v>
      </c>
      <c r="B154" s="65">
        <v>2064</v>
      </c>
      <c r="C154" s="134"/>
      <c r="D154" s="99">
        <f>3511.85+127.5</f>
        <v>3639.35</v>
      </c>
      <c r="E154" s="99"/>
      <c r="F154" s="89">
        <f t="shared" si="47"/>
        <v>3639.35</v>
      </c>
      <c r="G154" s="169"/>
      <c r="H154" s="210"/>
      <c r="I154" s="230">
        <f t="shared" si="48"/>
        <v>3639.35</v>
      </c>
      <c r="J154" s="169">
        <f>21.16</f>
        <v>21.16</v>
      </c>
      <c r="K154" s="249"/>
      <c r="L154" s="248">
        <f t="shared" si="49"/>
        <v>3660.5099999999998</v>
      </c>
      <c r="M154" s="292"/>
      <c r="N154" s="249"/>
      <c r="O154" s="248">
        <f t="shared" si="50"/>
        <v>3660.5099999999998</v>
      </c>
      <c r="P154" s="93"/>
      <c r="Q154" s="52"/>
    </row>
    <row r="155" spans="1:17" ht="12.75">
      <c r="A155" s="26" t="s">
        <v>310</v>
      </c>
      <c r="B155" s="65">
        <v>2079</v>
      </c>
      <c r="C155" s="134"/>
      <c r="D155" s="99">
        <f>3742.33</f>
        <v>3742.33</v>
      </c>
      <c r="E155" s="99"/>
      <c r="F155" s="89">
        <f t="shared" si="47"/>
        <v>3742.33</v>
      </c>
      <c r="G155" s="169"/>
      <c r="H155" s="210"/>
      <c r="I155" s="230">
        <f t="shared" si="48"/>
        <v>3742.33</v>
      </c>
      <c r="J155" s="169"/>
      <c r="K155" s="249"/>
      <c r="L155" s="248">
        <f t="shared" si="49"/>
        <v>3742.33</v>
      </c>
      <c r="M155" s="292">
        <f>481.7</f>
        <v>481.7</v>
      </c>
      <c r="N155" s="249"/>
      <c r="O155" s="248">
        <f t="shared" si="50"/>
        <v>4224.03</v>
      </c>
      <c r="P155" s="93"/>
      <c r="Q155" s="52"/>
    </row>
    <row r="156" spans="1:17" ht="12.75">
      <c r="A156" s="66" t="s">
        <v>311</v>
      </c>
      <c r="B156" s="65">
        <v>2079</v>
      </c>
      <c r="C156" s="134"/>
      <c r="D156" s="99">
        <f>4049.47</f>
        <v>4049.47</v>
      </c>
      <c r="E156" s="99"/>
      <c r="F156" s="89">
        <f t="shared" si="47"/>
        <v>4049.47</v>
      </c>
      <c r="G156" s="169"/>
      <c r="H156" s="210"/>
      <c r="I156" s="230">
        <f t="shared" si="48"/>
        <v>4049.47</v>
      </c>
      <c r="J156" s="169"/>
      <c r="K156" s="249"/>
      <c r="L156" s="248">
        <f t="shared" si="49"/>
        <v>4049.47</v>
      </c>
      <c r="M156" s="292"/>
      <c r="N156" s="249"/>
      <c r="O156" s="248">
        <f t="shared" si="50"/>
        <v>4049.47</v>
      </c>
      <c r="P156" s="93"/>
      <c r="Q156" s="52"/>
    </row>
    <row r="157" spans="1:17" ht="12.75" hidden="1">
      <c r="A157" s="26" t="s">
        <v>299</v>
      </c>
      <c r="B157" s="65">
        <v>2067</v>
      </c>
      <c r="C157" s="134"/>
      <c r="D157" s="99">
        <f>0.27</f>
        <v>0.27</v>
      </c>
      <c r="E157" s="99"/>
      <c r="F157" s="89">
        <f t="shared" si="47"/>
        <v>0.27</v>
      </c>
      <c r="G157" s="169"/>
      <c r="H157" s="210"/>
      <c r="I157" s="230">
        <f t="shared" si="48"/>
        <v>0.27</v>
      </c>
      <c r="J157" s="169">
        <f>-0.27</f>
        <v>-0.27</v>
      </c>
      <c r="K157" s="249"/>
      <c r="L157" s="248">
        <f t="shared" si="49"/>
        <v>0</v>
      </c>
      <c r="M157" s="292"/>
      <c r="N157" s="249"/>
      <c r="O157" s="248">
        <f t="shared" si="50"/>
        <v>0</v>
      </c>
      <c r="P157" s="93"/>
      <c r="Q157" s="52"/>
    </row>
    <row r="158" spans="1:17" ht="12.75" hidden="1">
      <c r="A158" s="26" t="s">
        <v>293</v>
      </c>
      <c r="B158" s="65">
        <v>2067</v>
      </c>
      <c r="C158" s="134"/>
      <c r="D158" s="99">
        <f>2217.64</f>
        <v>2217.64</v>
      </c>
      <c r="E158" s="99"/>
      <c r="F158" s="89">
        <f t="shared" si="47"/>
        <v>2217.64</v>
      </c>
      <c r="G158" s="169"/>
      <c r="H158" s="210"/>
      <c r="I158" s="230">
        <f t="shared" si="48"/>
        <v>2217.64</v>
      </c>
      <c r="J158" s="169">
        <f>-2217.64</f>
        <v>-2217.64</v>
      </c>
      <c r="K158" s="249"/>
      <c r="L158" s="248">
        <f t="shared" si="49"/>
        <v>0</v>
      </c>
      <c r="M158" s="292"/>
      <c r="N158" s="249"/>
      <c r="O158" s="248">
        <f t="shared" si="50"/>
        <v>0</v>
      </c>
      <c r="P158" s="93"/>
      <c r="Q158" s="52"/>
    </row>
    <row r="159" spans="1:17" ht="12.75">
      <c r="A159" s="26" t="s">
        <v>316</v>
      </c>
      <c r="B159" s="65">
        <v>2074</v>
      </c>
      <c r="C159" s="134"/>
      <c r="D159" s="99">
        <f>612.62</f>
        <v>612.62</v>
      </c>
      <c r="E159" s="99"/>
      <c r="F159" s="89">
        <f t="shared" si="47"/>
        <v>612.62</v>
      </c>
      <c r="G159" s="169"/>
      <c r="H159" s="210"/>
      <c r="I159" s="230">
        <f t="shared" si="48"/>
        <v>612.62</v>
      </c>
      <c r="J159" s="169"/>
      <c r="K159" s="249"/>
      <c r="L159" s="248">
        <f t="shared" si="49"/>
        <v>612.62</v>
      </c>
      <c r="M159" s="292"/>
      <c r="N159" s="249"/>
      <c r="O159" s="248">
        <f t="shared" si="50"/>
        <v>612.62</v>
      </c>
      <c r="P159" s="93"/>
      <c r="Q159" s="52"/>
    </row>
    <row r="160" spans="1:17" ht="12.75">
      <c r="A160" s="26" t="s">
        <v>315</v>
      </c>
      <c r="B160" s="65">
        <v>2074</v>
      </c>
      <c r="C160" s="134"/>
      <c r="D160" s="99">
        <f>1738.53</f>
        <v>1738.53</v>
      </c>
      <c r="E160" s="99"/>
      <c r="F160" s="89">
        <f t="shared" si="47"/>
        <v>1738.53</v>
      </c>
      <c r="G160" s="169"/>
      <c r="H160" s="210"/>
      <c r="I160" s="230">
        <f t="shared" si="48"/>
        <v>1738.53</v>
      </c>
      <c r="J160" s="169">
        <f>1523.13</f>
        <v>1523.13</v>
      </c>
      <c r="K160" s="249"/>
      <c r="L160" s="248">
        <f t="shared" si="49"/>
        <v>3261.66</v>
      </c>
      <c r="M160" s="292"/>
      <c r="N160" s="249"/>
      <c r="O160" s="248">
        <f t="shared" si="50"/>
        <v>3261.66</v>
      </c>
      <c r="P160" s="93"/>
      <c r="Q160" s="52"/>
    </row>
    <row r="161" spans="1:17" ht="12.75">
      <c r="A161" s="26" t="s">
        <v>313</v>
      </c>
      <c r="B161" s="65">
        <v>2068</v>
      </c>
      <c r="C161" s="134"/>
      <c r="D161" s="99">
        <f>4636.84</f>
        <v>4636.84</v>
      </c>
      <c r="E161" s="99"/>
      <c r="F161" s="89">
        <f t="shared" si="47"/>
        <v>4636.84</v>
      </c>
      <c r="G161" s="169"/>
      <c r="H161" s="210"/>
      <c r="I161" s="230">
        <f t="shared" si="48"/>
        <v>4636.84</v>
      </c>
      <c r="J161" s="169"/>
      <c r="K161" s="249"/>
      <c r="L161" s="248">
        <f t="shared" si="49"/>
        <v>4636.84</v>
      </c>
      <c r="M161" s="292"/>
      <c r="N161" s="249"/>
      <c r="O161" s="248">
        <f t="shared" si="50"/>
        <v>4636.84</v>
      </c>
      <c r="P161" s="93"/>
      <c r="Q161" s="52"/>
    </row>
    <row r="162" spans="1:17" ht="12.75">
      <c r="A162" s="26" t="s">
        <v>314</v>
      </c>
      <c r="B162" s="65">
        <v>2242</v>
      </c>
      <c r="C162" s="134"/>
      <c r="D162" s="99">
        <f>375.64</f>
        <v>375.64</v>
      </c>
      <c r="E162" s="99"/>
      <c r="F162" s="89">
        <f t="shared" si="47"/>
        <v>375.64</v>
      </c>
      <c r="G162" s="169"/>
      <c r="H162" s="210"/>
      <c r="I162" s="230">
        <f t="shared" si="48"/>
        <v>375.64</v>
      </c>
      <c r="J162" s="169"/>
      <c r="K162" s="249"/>
      <c r="L162" s="248">
        <f t="shared" si="49"/>
        <v>375.64</v>
      </c>
      <c r="M162" s="292">
        <f>4042.58</f>
        <v>4042.58</v>
      </c>
      <c r="N162" s="249"/>
      <c r="O162" s="248">
        <f t="shared" si="50"/>
        <v>4418.22</v>
      </c>
      <c r="P162" s="93"/>
      <c r="Q162" s="52"/>
    </row>
    <row r="163" spans="1:17" ht="12.75">
      <c r="A163" s="66" t="s">
        <v>360</v>
      </c>
      <c r="B163" s="65"/>
      <c r="C163" s="134"/>
      <c r="D163" s="99"/>
      <c r="E163" s="99"/>
      <c r="F163" s="89"/>
      <c r="G163" s="169"/>
      <c r="H163" s="210"/>
      <c r="I163" s="230">
        <f t="shared" si="48"/>
        <v>0</v>
      </c>
      <c r="J163" s="169">
        <f>6326.66</f>
        <v>6326.66</v>
      </c>
      <c r="K163" s="249"/>
      <c r="L163" s="248">
        <f t="shared" si="49"/>
        <v>6326.66</v>
      </c>
      <c r="M163" s="292"/>
      <c r="N163" s="249"/>
      <c r="O163" s="248">
        <f t="shared" si="50"/>
        <v>6326.66</v>
      </c>
      <c r="P163" s="93"/>
      <c r="Q163" s="52"/>
    </row>
    <row r="164" spans="1:17" ht="12.75" hidden="1">
      <c r="A164" s="66" t="s">
        <v>300</v>
      </c>
      <c r="B164" s="65">
        <v>2058</v>
      </c>
      <c r="C164" s="134"/>
      <c r="D164" s="99"/>
      <c r="E164" s="99"/>
      <c r="F164" s="89">
        <f t="shared" si="47"/>
        <v>0</v>
      </c>
      <c r="G164" s="169"/>
      <c r="H164" s="210"/>
      <c r="I164" s="230">
        <f t="shared" si="48"/>
        <v>0</v>
      </c>
      <c r="J164" s="169"/>
      <c r="K164" s="249"/>
      <c r="L164" s="248">
        <f t="shared" si="49"/>
        <v>0</v>
      </c>
      <c r="M164" s="292"/>
      <c r="N164" s="249"/>
      <c r="O164" s="248">
        <f t="shared" si="50"/>
        <v>0</v>
      </c>
      <c r="P164" s="93"/>
      <c r="Q164" s="52"/>
    </row>
    <row r="165" spans="1:17" ht="12.75">
      <c r="A165" s="17" t="s">
        <v>76</v>
      </c>
      <c r="B165" s="65"/>
      <c r="C165" s="134">
        <v>1559.4</v>
      </c>
      <c r="D165" s="99">
        <f>954+159.54+332.5+85.99+1428.88+391.14+155.61+7243.82</f>
        <v>10751.48</v>
      </c>
      <c r="E165" s="99"/>
      <c r="F165" s="89">
        <f t="shared" si="47"/>
        <v>12310.88</v>
      </c>
      <c r="G165" s="169">
        <f>-2900+747-1201.81</f>
        <v>-3354.81</v>
      </c>
      <c r="H165" s="210"/>
      <c r="I165" s="230">
        <f t="shared" si="48"/>
        <v>8956.07</v>
      </c>
      <c r="J165" s="169">
        <f>308.05+593.66+174.97+18.12+34.92+10.29+227.63-27.52-85.99+191.77+11.26+500-315</f>
        <v>1642.1599999999999</v>
      </c>
      <c r="K165" s="249"/>
      <c r="L165" s="248">
        <f t="shared" si="49"/>
        <v>10598.23</v>
      </c>
      <c r="M165" s="292">
        <f>15.77+268.04+1500</f>
        <v>1783.81</v>
      </c>
      <c r="N165" s="249"/>
      <c r="O165" s="248">
        <f t="shared" si="50"/>
        <v>12382.039999999999</v>
      </c>
      <c r="P165" s="93"/>
      <c r="Q165" s="52"/>
    </row>
    <row r="166" spans="1:17" ht="12.75">
      <c r="A166" s="24" t="s">
        <v>52</v>
      </c>
      <c r="B166" s="69"/>
      <c r="C166" s="138">
        <f>SUM(C168:C174)</f>
        <v>0</v>
      </c>
      <c r="D166" s="103">
        <f aca="true" t="shared" si="51" ref="D166:Q166">SUM(D168:D174)</f>
        <v>199473.66999999998</v>
      </c>
      <c r="E166" s="103">
        <f t="shared" si="51"/>
        <v>0</v>
      </c>
      <c r="F166" s="121">
        <f t="shared" si="51"/>
        <v>199473.66999999998</v>
      </c>
      <c r="G166" s="172">
        <f t="shared" si="51"/>
        <v>0</v>
      </c>
      <c r="H166" s="215">
        <f t="shared" si="51"/>
        <v>0</v>
      </c>
      <c r="I166" s="234">
        <f t="shared" si="51"/>
        <v>199473.66999999998</v>
      </c>
      <c r="J166" s="172">
        <f t="shared" si="51"/>
        <v>0</v>
      </c>
      <c r="K166" s="256">
        <f t="shared" si="51"/>
        <v>0</v>
      </c>
      <c r="L166" s="257">
        <f t="shared" si="51"/>
        <v>199473.66999999998</v>
      </c>
      <c r="M166" s="316">
        <f t="shared" si="51"/>
        <v>0</v>
      </c>
      <c r="N166" s="256">
        <f t="shared" si="51"/>
        <v>0</v>
      </c>
      <c r="O166" s="257">
        <f t="shared" si="51"/>
        <v>199473.66999999998</v>
      </c>
      <c r="P166" s="103">
        <f t="shared" si="51"/>
        <v>0</v>
      </c>
      <c r="Q166" s="138">
        <f t="shared" si="51"/>
        <v>0</v>
      </c>
    </row>
    <row r="167" spans="1:17" ht="12.75">
      <c r="A167" s="26" t="s">
        <v>26</v>
      </c>
      <c r="B167" s="65"/>
      <c r="C167" s="134"/>
      <c r="D167" s="99"/>
      <c r="E167" s="99"/>
      <c r="F167" s="89"/>
      <c r="G167" s="169"/>
      <c r="H167" s="210"/>
      <c r="I167" s="230"/>
      <c r="J167" s="169"/>
      <c r="K167" s="249"/>
      <c r="L167" s="248"/>
      <c r="M167" s="292"/>
      <c r="N167" s="249"/>
      <c r="O167" s="248"/>
      <c r="P167" s="93"/>
      <c r="Q167" s="52"/>
    </row>
    <row r="168" spans="1:17" ht="12.75" hidden="1">
      <c r="A168" s="26" t="s">
        <v>312</v>
      </c>
      <c r="B168" s="65">
        <v>2057</v>
      </c>
      <c r="C168" s="134"/>
      <c r="D168" s="99"/>
      <c r="E168" s="99"/>
      <c r="F168" s="89">
        <f aca="true" t="shared" si="52" ref="F168:F174">C168+D168+E168</f>
        <v>0</v>
      </c>
      <c r="G168" s="169"/>
      <c r="H168" s="210"/>
      <c r="I168" s="230">
        <f>F168+G168+H168</f>
        <v>0</v>
      </c>
      <c r="J168" s="169"/>
      <c r="K168" s="249"/>
      <c r="L168" s="248">
        <f>I168+J168+K168</f>
        <v>0</v>
      </c>
      <c r="M168" s="292"/>
      <c r="N168" s="249"/>
      <c r="O168" s="248">
        <f>L168+M168+N168</f>
        <v>0</v>
      </c>
      <c r="P168" s="93"/>
      <c r="Q168" s="52">
        <f aca="true" t="shared" si="53" ref="Q168:Q226">O168+P168</f>
        <v>0</v>
      </c>
    </row>
    <row r="169" spans="1:17" ht="12.75" hidden="1">
      <c r="A169" s="26" t="s">
        <v>298</v>
      </c>
      <c r="B169" s="65">
        <v>2064</v>
      </c>
      <c r="C169" s="134"/>
      <c r="D169" s="99"/>
      <c r="E169" s="99"/>
      <c r="F169" s="89">
        <f t="shared" si="52"/>
        <v>0</v>
      </c>
      <c r="G169" s="169"/>
      <c r="H169" s="210"/>
      <c r="I169" s="230"/>
      <c r="J169" s="169"/>
      <c r="K169" s="249"/>
      <c r="L169" s="248"/>
      <c r="M169" s="292"/>
      <c r="N169" s="249"/>
      <c r="O169" s="248"/>
      <c r="P169" s="93"/>
      <c r="Q169" s="52"/>
    </row>
    <row r="170" spans="1:17" ht="12.75">
      <c r="A170" s="26" t="s">
        <v>310</v>
      </c>
      <c r="B170" s="65">
        <v>2079</v>
      </c>
      <c r="C170" s="134"/>
      <c r="D170" s="99">
        <f>99736.83</f>
        <v>99736.83</v>
      </c>
      <c r="E170" s="99"/>
      <c r="F170" s="89">
        <f t="shared" si="52"/>
        <v>99736.83</v>
      </c>
      <c r="G170" s="169"/>
      <c r="H170" s="210"/>
      <c r="I170" s="230">
        <f>F170+G170+H170</f>
        <v>99736.83</v>
      </c>
      <c r="J170" s="169"/>
      <c r="K170" s="249"/>
      <c r="L170" s="248">
        <f>I170+J170+K170</f>
        <v>99736.83</v>
      </c>
      <c r="M170" s="292"/>
      <c r="N170" s="249"/>
      <c r="O170" s="248">
        <f>L170+M170+N170</f>
        <v>99736.83</v>
      </c>
      <c r="P170" s="93"/>
      <c r="Q170" s="52"/>
    </row>
    <row r="171" spans="1:17" ht="12.75">
      <c r="A171" s="155" t="s">
        <v>311</v>
      </c>
      <c r="B171" s="68">
        <v>2079</v>
      </c>
      <c r="C171" s="195"/>
      <c r="D171" s="148">
        <f>99736.84</f>
        <v>99736.84</v>
      </c>
      <c r="E171" s="148"/>
      <c r="F171" s="159">
        <f t="shared" si="52"/>
        <v>99736.84</v>
      </c>
      <c r="G171" s="174"/>
      <c r="H171" s="216"/>
      <c r="I171" s="235">
        <f>F171+G171+H171</f>
        <v>99736.84</v>
      </c>
      <c r="J171" s="174"/>
      <c r="K171" s="258"/>
      <c r="L171" s="259">
        <f>I171+J171+K171</f>
        <v>99736.84</v>
      </c>
      <c r="M171" s="302"/>
      <c r="N171" s="258"/>
      <c r="O171" s="259">
        <f>L171+M171+N171</f>
        <v>99736.84</v>
      </c>
      <c r="P171" s="93"/>
      <c r="Q171" s="52"/>
    </row>
    <row r="172" spans="1:17" ht="12.75" hidden="1">
      <c r="A172" s="17" t="s">
        <v>67</v>
      </c>
      <c r="B172" s="65"/>
      <c r="C172" s="134"/>
      <c r="D172" s="99"/>
      <c r="E172" s="99"/>
      <c r="F172" s="89">
        <f t="shared" si="52"/>
        <v>0</v>
      </c>
      <c r="G172" s="169"/>
      <c r="H172" s="210"/>
      <c r="I172" s="230">
        <f>F172+G172+H172</f>
        <v>0</v>
      </c>
      <c r="J172" s="169"/>
      <c r="K172" s="249"/>
      <c r="L172" s="248">
        <f>I172+J172+K172</f>
        <v>0</v>
      </c>
      <c r="M172" s="292"/>
      <c r="N172" s="249"/>
      <c r="O172" s="248">
        <f>L172+M172+N172</f>
        <v>0</v>
      </c>
      <c r="P172" s="93"/>
      <c r="Q172" s="52">
        <f t="shared" si="53"/>
        <v>0</v>
      </c>
    </row>
    <row r="173" spans="1:17" ht="12.75" hidden="1">
      <c r="A173" s="20" t="s">
        <v>53</v>
      </c>
      <c r="B173" s="68"/>
      <c r="C173" s="195"/>
      <c r="D173" s="148"/>
      <c r="E173" s="148"/>
      <c r="F173" s="159">
        <f t="shared" si="52"/>
        <v>0</v>
      </c>
      <c r="G173" s="169"/>
      <c r="H173" s="210"/>
      <c r="I173" s="230">
        <f>F173+G173+H173</f>
        <v>0</v>
      </c>
      <c r="J173" s="169"/>
      <c r="K173" s="249"/>
      <c r="L173" s="248">
        <f>I173+J173+K173</f>
        <v>0</v>
      </c>
      <c r="M173" s="292"/>
      <c r="N173" s="249"/>
      <c r="O173" s="248">
        <f>L173+M173+N173</f>
        <v>0</v>
      </c>
      <c r="P173" s="93"/>
      <c r="Q173" s="52">
        <f t="shared" si="53"/>
        <v>0</v>
      </c>
    </row>
    <row r="174" spans="1:17" ht="12.75" hidden="1">
      <c r="A174" s="20" t="s">
        <v>76</v>
      </c>
      <c r="B174" s="68"/>
      <c r="C174" s="195"/>
      <c r="D174" s="148"/>
      <c r="E174" s="148"/>
      <c r="F174" s="159">
        <f t="shared" si="52"/>
        <v>0</v>
      </c>
      <c r="G174" s="174"/>
      <c r="H174" s="216"/>
      <c r="I174" s="235">
        <f>F174+G174+H174</f>
        <v>0</v>
      </c>
      <c r="J174" s="174"/>
      <c r="K174" s="258"/>
      <c r="L174" s="259">
        <f>I174+J174+K174</f>
        <v>0</v>
      </c>
      <c r="M174" s="302"/>
      <c r="N174" s="258"/>
      <c r="O174" s="259">
        <f>L174+M174+N174</f>
        <v>0</v>
      </c>
      <c r="P174" s="295"/>
      <c r="Q174" s="54">
        <f t="shared" si="53"/>
        <v>0</v>
      </c>
    </row>
    <row r="175" spans="1:17" ht="12.75">
      <c r="A175" s="14" t="s">
        <v>80</v>
      </c>
      <c r="B175" s="69"/>
      <c r="C175" s="133">
        <f aca="true" t="shared" si="54" ref="C175:Q175">C176+C218</f>
        <v>401602.02</v>
      </c>
      <c r="D175" s="86">
        <f t="shared" si="54"/>
        <v>8246377.53</v>
      </c>
      <c r="E175" s="86">
        <f t="shared" si="54"/>
        <v>0</v>
      </c>
      <c r="F175" s="94">
        <f t="shared" si="54"/>
        <v>8647979.550000003</v>
      </c>
      <c r="G175" s="168">
        <f t="shared" si="54"/>
        <v>127838.15999999997</v>
      </c>
      <c r="H175" s="209">
        <f t="shared" si="54"/>
        <v>0</v>
      </c>
      <c r="I175" s="229">
        <f t="shared" si="54"/>
        <v>8775817.709999999</v>
      </c>
      <c r="J175" s="168">
        <f t="shared" si="54"/>
        <v>106172.15999999999</v>
      </c>
      <c r="K175" s="246">
        <f t="shared" si="54"/>
        <v>0</v>
      </c>
      <c r="L175" s="247">
        <f t="shared" si="54"/>
        <v>8881989.87</v>
      </c>
      <c r="M175" s="309">
        <f t="shared" si="54"/>
        <v>213799.44999999998</v>
      </c>
      <c r="N175" s="246">
        <f t="shared" si="54"/>
        <v>0</v>
      </c>
      <c r="O175" s="247">
        <f t="shared" si="54"/>
        <v>9095789.319999998</v>
      </c>
      <c r="P175" s="86">
        <f t="shared" si="54"/>
        <v>0</v>
      </c>
      <c r="Q175" s="133">
        <f t="shared" si="54"/>
        <v>833555.9600000001</v>
      </c>
    </row>
    <row r="176" spans="1:17" ht="12.75">
      <c r="A176" s="23" t="s">
        <v>48</v>
      </c>
      <c r="B176" s="69"/>
      <c r="C176" s="137">
        <f aca="true" t="shared" si="55" ref="C176:Q176">SUM(C178:C217)</f>
        <v>400862.02</v>
      </c>
      <c r="D176" s="102">
        <f t="shared" si="55"/>
        <v>8245836.890000001</v>
      </c>
      <c r="E176" s="102">
        <f t="shared" si="55"/>
        <v>0</v>
      </c>
      <c r="F176" s="120">
        <f t="shared" si="55"/>
        <v>8646698.910000002</v>
      </c>
      <c r="G176" s="171">
        <f t="shared" si="55"/>
        <v>126174.39999999998</v>
      </c>
      <c r="H176" s="214">
        <f t="shared" si="55"/>
        <v>0</v>
      </c>
      <c r="I176" s="233">
        <f t="shared" si="55"/>
        <v>8772873.309999999</v>
      </c>
      <c r="J176" s="171">
        <f t="shared" si="55"/>
        <v>106072.15999999999</v>
      </c>
      <c r="K176" s="254">
        <f t="shared" si="55"/>
        <v>0</v>
      </c>
      <c r="L176" s="255">
        <f t="shared" si="55"/>
        <v>8878945.469999999</v>
      </c>
      <c r="M176" s="315">
        <f t="shared" si="55"/>
        <v>213799.44999999998</v>
      </c>
      <c r="N176" s="254">
        <f t="shared" si="55"/>
        <v>0</v>
      </c>
      <c r="O176" s="255">
        <f t="shared" si="55"/>
        <v>9092744.919999998</v>
      </c>
      <c r="P176" s="102">
        <f t="shared" si="55"/>
        <v>0</v>
      </c>
      <c r="Q176" s="137">
        <f t="shared" si="55"/>
        <v>830511.56</v>
      </c>
    </row>
    <row r="177" spans="1:17" ht="12.75">
      <c r="A177" s="15" t="s">
        <v>26</v>
      </c>
      <c r="B177" s="65"/>
      <c r="C177" s="134"/>
      <c r="D177" s="99"/>
      <c r="E177" s="99"/>
      <c r="F177" s="89"/>
      <c r="G177" s="169"/>
      <c r="H177" s="210"/>
      <c r="I177" s="230"/>
      <c r="J177" s="169"/>
      <c r="K177" s="249"/>
      <c r="L177" s="248"/>
      <c r="M177" s="292"/>
      <c r="N177" s="249"/>
      <c r="O177" s="248"/>
      <c r="P177" s="93"/>
      <c r="Q177" s="52"/>
    </row>
    <row r="178" spans="1:17" ht="12.75">
      <c r="A178" s="21" t="s">
        <v>72</v>
      </c>
      <c r="B178" s="65"/>
      <c r="C178" s="134">
        <v>362078.95</v>
      </c>
      <c r="D178" s="99">
        <f>3980.63+15002.59</f>
        <v>18983.22</v>
      </c>
      <c r="E178" s="99"/>
      <c r="F178" s="89">
        <f aca="true" t="shared" si="56" ref="F178:F217">C178+D178+E178</f>
        <v>381062.17000000004</v>
      </c>
      <c r="G178" s="169">
        <f>3959.4+5000</f>
        <v>8959.4</v>
      </c>
      <c r="H178" s="210"/>
      <c r="I178" s="230">
        <f>F178+G178+H178</f>
        <v>390021.57000000007</v>
      </c>
      <c r="J178" s="169">
        <f>19753.64</f>
        <v>19753.64</v>
      </c>
      <c r="K178" s="249"/>
      <c r="L178" s="248">
        <f>I178+J178+K178</f>
        <v>409775.2100000001</v>
      </c>
      <c r="M178" s="292">
        <f>564.02+653.83+537.3</f>
        <v>1755.1499999999999</v>
      </c>
      <c r="N178" s="249"/>
      <c r="O178" s="248">
        <f>L178+M178+N178</f>
        <v>411530.3600000001</v>
      </c>
      <c r="P178" s="93"/>
      <c r="Q178" s="52">
        <f t="shared" si="53"/>
        <v>411530.3600000001</v>
      </c>
    </row>
    <row r="179" spans="1:17" ht="12.75">
      <c r="A179" s="21" t="s">
        <v>287</v>
      </c>
      <c r="B179" s="65">
        <v>33353</v>
      </c>
      <c r="C179" s="134"/>
      <c r="D179" s="99">
        <f>8106896.7</f>
        <v>8106896.7</v>
      </c>
      <c r="E179" s="99"/>
      <c r="F179" s="89">
        <f t="shared" si="56"/>
        <v>8106896.7</v>
      </c>
      <c r="G179" s="169"/>
      <c r="H179" s="210"/>
      <c r="I179" s="230">
        <f aca="true" t="shared" si="57" ref="I179:I217">F179+G179+H179</f>
        <v>8106896.7</v>
      </c>
      <c r="J179" s="169"/>
      <c r="K179" s="249"/>
      <c r="L179" s="248">
        <f aca="true" t="shared" si="58" ref="L179:L217">I179+J179+K179</f>
        <v>8106896.7</v>
      </c>
      <c r="M179" s="292">
        <f>476.63+68876.83+2124</f>
        <v>71477.46</v>
      </c>
      <c r="N179" s="249"/>
      <c r="O179" s="248">
        <f aca="true" t="shared" si="59" ref="O179:O217">L179+M179+N179</f>
        <v>8178374.16</v>
      </c>
      <c r="P179" s="93"/>
      <c r="Q179" s="52"/>
    </row>
    <row r="180" spans="1:17" ht="12.75">
      <c r="A180" s="21" t="s">
        <v>288</v>
      </c>
      <c r="B180" s="65">
        <v>33155</v>
      </c>
      <c r="C180" s="134"/>
      <c r="D180" s="150">
        <v>100779.32</v>
      </c>
      <c r="E180" s="99"/>
      <c r="F180" s="89">
        <f t="shared" si="56"/>
        <v>100779.32</v>
      </c>
      <c r="G180" s="169">
        <f>91445.3</f>
        <v>91445.3</v>
      </c>
      <c r="H180" s="210"/>
      <c r="I180" s="230">
        <f t="shared" si="57"/>
        <v>192224.62</v>
      </c>
      <c r="J180" s="169">
        <f>97299.65</f>
        <v>97299.65</v>
      </c>
      <c r="K180" s="249"/>
      <c r="L180" s="248">
        <f t="shared" si="58"/>
        <v>289524.27</v>
      </c>
      <c r="M180" s="292">
        <f>102709.5</f>
        <v>102709.5</v>
      </c>
      <c r="N180" s="249"/>
      <c r="O180" s="248">
        <f t="shared" si="59"/>
        <v>392233.77</v>
      </c>
      <c r="P180" s="93"/>
      <c r="Q180" s="52">
        <f t="shared" si="53"/>
        <v>392233.77</v>
      </c>
    </row>
    <row r="181" spans="1:17" ht="12.75" customHeight="1">
      <c r="A181" s="21" t="s">
        <v>81</v>
      </c>
      <c r="B181" s="65" t="s">
        <v>212</v>
      </c>
      <c r="C181" s="134"/>
      <c r="D181" s="99"/>
      <c r="E181" s="99"/>
      <c r="F181" s="89">
        <f t="shared" si="56"/>
        <v>0</v>
      </c>
      <c r="G181" s="169"/>
      <c r="H181" s="210"/>
      <c r="I181" s="230">
        <f t="shared" si="57"/>
        <v>0</v>
      </c>
      <c r="J181" s="169">
        <f>57.79</f>
        <v>57.79</v>
      </c>
      <c r="K181" s="249"/>
      <c r="L181" s="248">
        <f t="shared" si="58"/>
        <v>57.79</v>
      </c>
      <c r="M181" s="292"/>
      <c r="N181" s="249"/>
      <c r="O181" s="248">
        <f t="shared" si="59"/>
        <v>57.79</v>
      </c>
      <c r="P181" s="93"/>
      <c r="Q181" s="52">
        <f t="shared" si="53"/>
        <v>57.79</v>
      </c>
    </row>
    <row r="182" spans="1:17" ht="12.75" hidden="1">
      <c r="A182" s="21" t="s">
        <v>136</v>
      </c>
      <c r="B182" s="65"/>
      <c r="C182" s="134"/>
      <c r="D182" s="99"/>
      <c r="E182" s="99"/>
      <c r="F182" s="89">
        <f t="shared" si="56"/>
        <v>0</v>
      </c>
      <c r="G182" s="169"/>
      <c r="H182" s="210"/>
      <c r="I182" s="230">
        <f t="shared" si="57"/>
        <v>0</v>
      </c>
      <c r="J182" s="169"/>
      <c r="K182" s="249"/>
      <c r="L182" s="248">
        <f t="shared" si="58"/>
        <v>0</v>
      </c>
      <c r="M182" s="292"/>
      <c r="N182" s="249"/>
      <c r="O182" s="248">
        <f t="shared" si="59"/>
        <v>0</v>
      </c>
      <c r="P182" s="93"/>
      <c r="Q182" s="52">
        <f t="shared" si="53"/>
        <v>0</v>
      </c>
    </row>
    <row r="183" spans="1:17" ht="12.75" hidden="1">
      <c r="A183" s="21" t="s">
        <v>209</v>
      </c>
      <c r="B183" s="65">
        <v>33215</v>
      </c>
      <c r="C183" s="134"/>
      <c r="D183" s="99"/>
      <c r="E183" s="99"/>
      <c r="F183" s="89">
        <f t="shared" si="56"/>
        <v>0</v>
      </c>
      <c r="G183" s="169"/>
      <c r="H183" s="210"/>
      <c r="I183" s="230">
        <f t="shared" si="57"/>
        <v>0</v>
      </c>
      <c r="J183" s="169"/>
      <c r="K183" s="249"/>
      <c r="L183" s="248">
        <f t="shared" si="58"/>
        <v>0</v>
      </c>
      <c r="M183" s="292"/>
      <c r="N183" s="249"/>
      <c r="O183" s="248">
        <f t="shared" si="59"/>
        <v>0</v>
      </c>
      <c r="P183" s="93"/>
      <c r="Q183" s="52">
        <f t="shared" si="53"/>
        <v>0</v>
      </c>
    </row>
    <row r="184" spans="1:17" ht="12.75" hidden="1">
      <c r="A184" s="21" t="s">
        <v>210</v>
      </c>
      <c r="B184" s="65">
        <v>33457</v>
      </c>
      <c r="C184" s="134"/>
      <c r="D184" s="99"/>
      <c r="E184" s="99"/>
      <c r="F184" s="89">
        <f t="shared" si="56"/>
        <v>0</v>
      </c>
      <c r="G184" s="169"/>
      <c r="H184" s="210"/>
      <c r="I184" s="230">
        <f t="shared" si="57"/>
        <v>0</v>
      </c>
      <c r="J184" s="169"/>
      <c r="K184" s="249"/>
      <c r="L184" s="248">
        <f t="shared" si="58"/>
        <v>0</v>
      </c>
      <c r="M184" s="292"/>
      <c r="N184" s="249"/>
      <c r="O184" s="248">
        <f t="shared" si="59"/>
        <v>0</v>
      </c>
      <c r="P184" s="93"/>
      <c r="Q184" s="52">
        <f t="shared" si="53"/>
        <v>0</v>
      </c>
    </row>
    <row r="185" spans="1:17" ht="12.75">
      <c r="A185" s="21" t="s">
        <v>375</v>
      </c>
      <c r="B185" s="65">
        <v>33080</v>
      </c>
      <c r="C185" s="134"/>
      <c r="D185" s="99"/>
      <c r="E185" s="99"/>
      <c r="F185" s="89"/>
      <c r="G185" s="169"/>
      <c r="H185" s="210"/>
      <c r="I185" s="230"/>
      <c r="J185" s="169"/>
      <c r="K185" s="249"/>
      <c r="L185" s="248">
        <f t="shared" si="58"/>
        <v>0</v>
      </c>
      <c r="M185" s="292">
        <f>6685.54</f>
        <v>6685.54</v>
      </c>
      <c r="N185" s="249"/>
      <c r="O185" s="248">
        <f t="shared" si="59"/>
        <v>6685.54</v>
      </c>
      <c r="P185" s="93"/>
      <c r="Q185" s="52"/>
    </row>
    <row r="186" spans="1:17" ht="12.75" hidden="1">
      <c r="A186" s="38" t="s">
        <v>191</v>
      </c>
      <c r="B186" s="65">
        <v>33052</v>
      </c>
      <c r="C186" s="134"/>
      <c r="D186" s="99"/>
      <c r="E186" s="99"/>
      <c r="F186" s="89">
        <f t="shared" si="56"/>
        <v>0</v>
      </c>
      <c r="G186" s="169"/>
      <c r="H186" s="210"/>
      <c r="I186" s="230">
        <f t="shared" si="57"/>
        <v>0</v>
      </c>
      <c r="J186" s="169"/>
      <c r="K186" s="249"/>
      <c r="L186" s="248">
        <f t="shared" si="58"/>
        <v>0</v>
      </c>
      <c r="M186" s="292"/>
      <c r="N186" s="249"/>
      <c r="O186" s="248">
        <f t="shared" si="59"/>
        <v>0</v>
      </c>
      <c r="P186" s="93"/>
      <c r="Q186" s="52">
        <f t="shared" si="53"/>
        <v>0</v>
      </c>
    </row>
    <row r="187" spans="1:17" ht="12.75">
      <c r="A187" s="21" t="s">
        <v>345</v>
      </c>
      <c r="B187" s="65">
        <v>33075</v>
      </c>
      <c r="C187" s="134"/>
      <c r="D187" s="99"/>
      <c r="E187" s="99"/>
      <c r="F187" s="89">
        <f t="shared" si="56"/>
        <v>0</v>
      </c>
      <c r="G187" s="169">
        <f>2070</f>
        <v>2070</v>
      </c>
      <c r="H187" s="210"/>
      <c r="I187" s="230">
        <f t="shared" si="57"/>
        <v>2070</v>
      </c>
      <c r="J187" s="169"/>
      <c r="K187" s="249"/>
      <c r="L187" s="248">
        <f t="shared" si="58"/>
        <v>2070</v>
      </c>
      <c r="M187" s="292"/>
      <c r="N187" s="249"/>
      <c r="O187" s="248">
        <f t="shared" si="59"/>
        <v>2070</v>
      </c>
      <c r="P187" s="93"/>
      <c r="Q187" s="52"/>
    </row>
    <row r="188" spans="1:17" ht="12.75" hidden="1">
      <c r="A188" s="38" t="s">
        <v>271</v>
      </c>
      <c r="B188" s="65">
        <v>33076</v>
      </c>
      <c r="C188" s="134"/>
      <c r="D188" s="99"/>
      <c r="E188" s="99"/>
      <c r="F188" s="89">
        <f t="shared" si="56"/>
        <v>0</v>
      </c>
      <c r="G188" s="169"/>
      <c r="H188" s="210"/>
      <c r="I188" s="230">
        <f t="shared" si="57"/>
        <v>0</v>
      </c>
      <c r="J188" s="169"/>
      <c r="K188" s="249"/>
      <c r="L188" s="248">
        <f t="shared" si="58"/>
        <v>0</v>
      </c>
      <c r="M188" s="292"/>
      <c r="N188" s="249"/>
      <c r="O188" s="248">
        <f t="shared" si="59"/>
        <v>0</v>
      </c>
      <c r="P188" s="93"/>
      <c r="Q188" s="52"/>
    </row>
    <row r="189" spans="1:17" ht="12.75" hidden="1">
      <c r="A189" s="38" t="s">
        <v>227</v>
      </c>
      <c r="B189" s="65">
        <v>33069</v>
      </c>
      <c r="C189" s="134"/>
      <c r="D189" s="99"/>
      <c r="E189" s="99"/>
      <c r="F189" s="89">
        <f t="shared" si="56"/>
        <v>0</v>
      </c>
      <c r="G189" s="169"/>
      <c r="H189" s="210"/>
      <c r="I189" s="230">
        <f t="shared" si="57"/>
        <v>0</v>
      </c>
      <c r="J189" s="169"/>
      <c r="K189" s="249"/>
      <c r="L189" s="248">
        <f t="shared" si="58"/>
        <v>0</v>
      </c>
      <c r="M189" s="292"/>
      <c r="N189" s="249"/>
      <c r="O189" s="248">
        <f t="shared" si="59"/>
        <v>0</v>
      </c>
      <c r="P189" s="93"/>
      <c r="Q189" s="52"/>
    </row>
    <row r="190" spans="1:17" ht="12.75">
      <c r="A190" s="38" t="s">
        <v>260</v>
      </c>
      <c r="B190" s="65">
        <v>33070</v>
      </c>
      <c r="C190" s="134"/>
      <c r="D190" s="99"/>
      <c r="E190" s="99"/>
      <c r="F190" s="89">
        <f t="shared" si="56"/>
        <v>0</v>
      </c>
      <c r="G190" s="169"/>
      <c r="H190" s="210"/>
      <c r="I190" s="230">
        <f t="shared" si="57"/>
        <v>0</v>
      </c>
      <c r="J190" s="169"/>
      <c r="K190" s="249"/>
      <c r="L190" s="248">
        <f t="shared" si="58"/>
        <v>0</v>
      </c>
      <c r="M190" s="292">
        <f>3040.84</f>
        <v>3040.84</v>
      </c>
      <c r="N190" s="249"/>
      <c r="O190" s="248">
        <f t="shared" si="59"/>
        <v>3040.84</v>
      </c>
      <c r="P190" s="93"/>
      <c r="Q190" s="52"/>
    </row>
    <row r="191" spans="1:17" ht="12.75">
      <c r="A191" s="21" t="s">
        <v>365</v>
      </c>
      <c r="B191" s="65">
        <v>33040</v>
      </c>
      <c r="C191" s="134"/>
      <c r="D191" s="99"/>
      <c r="E191" s="99"/>
      <c r="F191" s="89"/>
      <c r="G191" s="169"/>
      <c r="H191" s="210"/>
      <c r="I191" s="230"/>
      <c r="J191" s="169"/>
      <c r="K191" s="249"/>
      <c r="L191" s="248">
        <f t="shared" si="58"/>
        <v>0</v>
      </c>
      <c r="M191" s="292">
        <f>654.32</f>
        <v>654.32</v>
      </c>
      <c r="N191" s="249"/>
      <c r="O191" s="248">
        <f t="shared" si="59"/>
        <v>654.32</v>
      </c>
      <c r="P191" s="93"/>
      <c r="Q191" s="52"/>
    </row>
    <row r="192" spans="1:17" ht="12.75">
      <c r="A192" s="21" t="s">
        <v>253</v>
      </c>
      <c r="B192" s="65">
        <v>33071</v>
      </c>
      <c r="C192" s="134"/>
      <c r="D192" s="99"/>
      <c r="E192" s="99"/>
      <c r="F192" s="89">
        <f t="shared" si="56"/>
        <v>0</v>
      </c>
      <c r="G192" s="169">
        <f>735</f>
        <v>735</v>
      </c>
      <c r="H192" s="210"/>
      <c r="I192" s="230">
        <f t="shared" si="57"/>
        <v>735</v>
      </c>
      <c r="J192" s="169">
        <f>-671.36</f>
        <v>-671.36</v>
      </c>
      <c r="K192" s="249"/>
      <c r="L192" s="248">
        <f t="shared" si="58"/>
        <v>63.639999999999986</v>
      </c>
      <c r="M192" s="292"/>
      <c r="N192" s="249"/>
      <c r="O192" s="248">
        <f t="shared" si="59"/>
        <v>63.639999999999986</v>
      </c>
      <c r="P192" s="93"/>
      <c r="Q192" s="52">
        <f t="shared" si="53"/>
        <v>63.639999999999986</v>
      </c>
    </row>
    <row r="193" spans="1:17" ht="12.75" hidden="1">
      <c r="A193" s="21" t="s">
        <v>192</v>
      </c>
      <c r="B193" s="65">
        <v>33050</v>
      </c>
      <c r="C193" s="134"/>
      <c r="D193" s="99"/>
      <c r="E193" s="99"/>
      <c r="F193" s="89">
        <f t="shared" si="56"/>
        <v>0</v>
      </c>
      <c r="G193" s="169"/>
      <c r="H193" s="210"/>
      <c r="I193" s="230">
        <f t="shared" si="57"/>
        <v>0</v>
      </c>
      <c r="J193" s="169"/>
      <c r="K193" s="249"/>
      <c r="L193" s="248">
        <f t="shared" si="58"/>
        <v>0</v>
      </c>
      <c r="M193" s="292"/>
      <c r="N193" s="249"/>
      <c r="O193" s="248">
        <f t="shared" si="59"/>
        <v>0</v>
      </c>
      <c r="P193" s="93"/>
      <c r="Q193" s="52">
        <f t="shared" si="53"/>
        <v>0</v>
      </c>
    </row>
    <row r="194" spans="1:17" ht="12.75" hidden="1">
      <c r="A194" s="21" t="s">
        <v>148</v>
      </c>
      <c r="B194" s="65">
        <v>33435</v>
      </c>
      <c r="C194" s="134"/>
      <c r="D194" s="99"/>
      <c r="E194" s="99"/>
      <c r="F194" s="89">
        <f t="shared" si="56"/>
        <v>0</v>
      </c>
      <c r="G194" s="169"/>
      <c r="H194" s="210"/>
      <c r="I194" s="230">
        <f t="shared" si="57"/>
        <v>0</v>
      </c>
      <c r="J194" s="169"/>
      <c r="K194" s="249"/>
      <c r="L194" s="248">
        <f t="shared" si="58"/>
        <v>0</v>
      </c>
      <c r="M194" s="292"/>
      <c r="N194" s="249"/>
      <c r="O194" s="248">
        <f t="shared" si="59"/>
        <v>0</v>
      </c>
      <c r="P194" s="93"/>
      <c r="Q194" s="52">
        <f t="shared" si="53"/>
        <v>0</v>
      </c>
    </row>
    <row r="195" spans="1:17" ht="12.75" hidden="1">
      <c r="A195" s="21" t="s">
        <v>215</v>
      </c>
      <c r="B195" s="65">
        <v>33049</v>
      </c>
      <c r="C195" s="134"/>
      <c r="D195" s="99"/>
      <c r="E195" s="99"/>
      <c r="F195" s="89">
        <f t="shared" si="56"/>
        <v>0</v>
      </c>
      <c r="G195" s="169"/>
      <c r="H195" s="210"/>
      <c r="I195" s="230">
        <f t="shared" si="57"/>
        <v>0</v>
      </c>
      <c r="J195" s="169"/>
      <c r="K195" s="249"/>
      <c r="L195" s="248">
        <f t="shared" si="58"/>
        <v>0</v>
      </c>
      <c r="M195" s="292"/>
      <c r="N195" s="249"/>
      <c r="O195" s="248">
        <f t="shared" si="59"/>
        <v>0</v>
      </c>
      <c r="P195" s="93"/>
      <c r="Q195" s="52"/>
    </row>
    <row r="196" spans="1:17" ht="12.75" hidden="1">
      <c r="A196" s="21" t="s">
        <v>193</v>
      </c>
      <c r="B196" s="65">
        <v>33044</v>
      </c>
      <c r="C196" s="134"/>
      <c r="D196" s="99"/>
      <c r="E196" s="99"/>
      <c r="F196" s="89">
        <f t="shared" si="56"/>
        <v>0</v>
      </c>
      <c r="G196" s="169"/>
      <c r="H196" s="210"/>
      <c r="I196" s="230">
        <f t="shared" si="57"/>
        <v>0</v>
      </c>
      <c r="J196" s="169"/>
      <c r="K196" s="249"/>
      <c r="L196" s="248">
        <f t="shared" si="58"/>
        <v>0</v>
      </c>
      <c r="M196" s="292"/>
      <c r="N196" s="249"/>
      <c r="O196" s="248">
        <f t="shared" si="59"/>
        <v>0</v>
      </c>
      <c r="P196" s="93"/>
      <c r="Q196" s="52">
        <f t="shared" si="53"/>
        <v>0</v>
      </c>
    </row>
    <row r="197" spans="1:17" ht="12.75" hidden="1">
      <c r="A197" s="21" t="s">
        <v>198</v>
      </c>
      <c r="B197" s="65">
        <v>33024</v>
      </c>
      <c r="C197" s="134"/>
      <c r="D197" s="99"/>
      <c r="E197" s="99"/>
      <c r="F197" s="89">
        <f t="shared" si="56"/>
        <v>0</v>
      </c>
      <c r="G197" s="169"/>
      <c r="H197" s="210"/>
      <c r="I197" s="230">
        <f t="shared" si="57"/>
        <v>0</v>
      </c>
      <c r="J197" s="169"/>
      <c r="K197" s="249"/>
      <c r="L197" s="248">
        <f t="shared" si="58"/>
        <v>0</v>
      </c>
      <c r="M197" s="292"/>
      <c r="N197" s="249"/>
      <c r="O197" s="248">
        <f t="shared" si="59"/>
        <v>0</v>
      </c>
      <c r="P197" s="93"/>
      <c r="Q197" s="52"/>
    </row>
    <row r="198" spans="1:17" ht="12.75" hidden="1">
      <c r="A198" s="38" t="s">
        <v>153</v>
      </c>
      <c r="B198" s="65">
        <v>33018</v>
      </c>
      <c r="C198" s="134"/>
      <c r="D198" s="99"/>
      <c r="E198" s="99"/>
      <c r="F198" s="89">
        <f t="shared" si="56"/>
        <v>0</v>
      </c>
      <c r="G198" s="169"/>
      <c r="H198" s="210"/>
      <c r="I198" s="230">
        <f t="shared" si="57"/>
        <v>0</v>
      </c>
      <c r="J198" s="169"/>
      <c r="K198" s="249"/>
      <c r="L198" s="248">
        <f t="shared" si="58"/>
        <v>0</v>
      </c>
      <c r="M198" s="292"/>
      <c r="N198" s="249"/>
      <c r="O198" s="248">
        <f t="shared" si="59"/>
        <v>0</v>
      </c>
      <c r="P198" s="93"/>
      <c r="Q198" s="52">
        <f t="shared" si="53"/>
        <v>0</v>
      </c>
    </row>
    <row r="199" spans="1:17" ht="12.75" hidden="1">
      <c r="A199" s="19" t="s">
        <v>154</v>
      </c>
      <c r="B199" s="65"/>
      <c r="C199" s="134"/>
      <c r="D199" s="99"/>
      <c r="E199" s="99"/>
      <c r="F199" s="89">
        <f t="shared" si="56"/>
        <v>0</v>
      </c>
      <c r="G199" s="169"/>
      <c r="H199" s="210"/>
      <c r="I199" s="230">
        <f t="shared" si="57"/>
        <v>0</v>
      </c>
      <c r="J199" s="169"/>
      <c r="K199" s="249"/>
      <c r="L199" s="248">
        <f t="shared" si="58"/>
        <v>0</v>
      </c>
      <c r="M199" s="292"/>
      <c r="N199" s="249"/>
      <c r="O199" s="248">
        <f t="shared" si="59"/>
        <v>0</v>
      </c>
      <c r="P199" s="93"/>
      <c r="Q199" s="52">
        <f t="shared" si="53"/>
        <v>0</v>
      </c>
    </row>
    <row r="200" spans="1:17" ht="12.75">
      <c r="A200" s="38" t="s">
        <v>173</v>
      </c>
      <c r="B200" s="65">
        <v>33160</v>
      </c>
      <c r="C200" s="134"/>
      <c r="D200" s="99"/>
      <c r="E200" s="99"/>
      <c r="F200" s="89">
        <f t="shared" si="56"/>
        <v>0</v>
      </c>
      <c r="G200" s="169">
        <f>93.4</f>
        <v>93.4</v>
      </c>
      <c r="H200" s="210"/>
      <c r="I200" s="230">
        <f t="shared" si="57"/>
        <v>93.4</v>
      </c>
      <c r="J200" s="169">
        <f>-66.06</f>
        <v>-66.06</v>
      </c>
      <c r="K200" s="249"/>
      <c r="L200" s="248">
        <f t="shared" si="58"/>
        <v>27.340000000000003</v>
      </c>
      <c r="M200" s="292"/>
      <c r="N200" s="249"/>
      <c r="O200" s="248">
        <f t="shared" si="59"/>
        <v>27.340000000000003</v>
      </c>
      <c r="P200" s="93"/>
      <c r="Q200" s="52">
        <f t="shared" si="53"/>
        <v>27.340000000000003</v>
      </c>
    </row>
    <row r="201" spans="1:17" ht="12.75" hidden="1">
      <c r="A201" s="21" t="s">
        <v>141</v>
      </c>
      <c r="B201" s="65"/>
      <c r="C201" s="134"/>
      <c r="D201" s="99"/>
      <c r="E201" s="99"/>
      <c r="F201" s="89">
        <f t="shared" si="56"/>
        <v>0</v>
      </c>
      <c r="G201" s="169"/>
      <c r="H201" s="210"/>
      <c r="I201" s="230">
        <f t="shared" si="57"/>
        <v>0</v>
      </c>
      <c r="J201" s="169"/>
      <c r="K201" s="249"/>
      <c r="L201" s="248">
        <f t="shared" si="58"/>
        <v>0</v>
      </c>
      <c r="M201" s="292"/>
      <c r="N201" s="249"/>
      <c r="O201" s="248">
        <f t="shared" si="59"/>
        <v>0</v>
      </c>
      <c r="P201" s="93"/>
      <c r="Q201" s="52">
        <f t="shared" si="53"/>
        <v>0</v>
      </c>
    </row>
    <row r="202" spans="1:17" ht="12.75" hidden="1">
      <c r="A202" s="38" t="s">
        <v>131</v>
      </c>
      <c r="B202" s="65"/>
      <c r="C202" s="134"/>
      <c r="D202" s="99"/>
      <c r="E202" s="99"/>
      <c r="F202" s="89">
        <f t="shared" si="56"/>
        <v>0</v>
      </c>
      <c r="G202" s="169"/>
      <c r="H202" s="210"/>
      <c r="I202" s="230">
        <f t="shared" si="57"/>
        <v>0</v>
      </c>
      <c r="J202" s="169"/>
      <c r="K202" s="249"/>
      <c r="L202" s="248">
        <f t="shared" si="58"/>
        <v>0</v>
      </c>
      <c r="M202" s="292"/>
      <c r="N202" s="249"/>
      <c r="O202" s="248">
        <f t="shared" si="59"/>
        <v>0</v>
      </c>
      <c r="P202" s="93"/>
      <c r="Q202" s="52">
        <f t="shared" si="53"/>
        <v>0</v>
      </c>
    </row>
    <row r="203" spans="1:17" ht="12.75" hidden="1">
      <c r="A203" s="38" t="s">
        <v>140</v>
      </c>
      <c r="B203" s="65"/>
      <c r="C203" s="134"/>
      <c r="D203" s="99"/>
      <c r="E203" s="99"/>
      <c r="F203" s="89">
        <f t="shared" si="56"/>
        <v>0</v>
      </c>
      <c r="G203" s="169"/>
      <c r="H203" s="210"/>
      <c r="I203" s="230">
        <f t="shared" si="57"/>
        <v>0</v>
      </c>
      <c r="J203" s="169"/>
      <c r="K203" s="249"/>
      <c r="L203" s="248">
        <f t="shared" si="58"/>
        <v>0</v>
      </c>
      <c r="M203" s="292"/>
      <c r="N203" s="249"/>
      <c r="O203" s="248">
        <f t="shared" si="59"/>
        <v>0</v>
      </c>
      <c r="P203" s="93"/>
      <c r="Q203" s="52">
        <f t="shared" si="53"/>
        <v>0</v>
      </c>
    </row>
    <row r="204" spans="1:17" ht="12.75" hidden="1">
      <c r="A204" s="21" t="s">
        <v>82</v>
      </c>
      <c r="B204" s="65">
        <v>33025</v>
      </c>
      <c r="C204" s="134"/>
      <c r="D204" s="99"/>
      <c r="E204" s="99"/>
      <c r="F204" s="89">
        <f t="shared" si="56"/>
        <v>0</v>
      </c>
      <c r="G204" s="169"/>
      <c r="H204" s="210"/>
      <c r="I204" s="230">
        <f t="shared" si="57"/>
        <v>0</v>
      </c>
      <c r="J204" s="169"/>
      <c r="K204" s="249"/>
      <c r="L204" s="248">
        <f t="shared" si="58"/>
        <v>0</v>
      </c>
      <c r="M204" s="292"/>
      <c r="N204" s="249"/>
      <c r="O204" s="248">
        <f t="shared" si="59"/>
        <v>0</v>
      </c>
      <c r="P204" s="93"/>
      <c r="Q204" s="52">
        <f t="shared" si="53"/>
        <v>0</v>
      </c>
    </row>
    <row r="205" spans="1:17" ht="12.75">
      <c r="A205" s="38" t="s">
        <v>364</v>
      </c>
      <c r="B205" s="65"/>
      <c r="C205" s="134"/>
      <c r="D205" s="99"/>
      <c r="E205" s="99"/>
      <c r="F205" s="89"/>
      <c r="G205" s="169"/>
      <c r="H205" s="210"/>
      <c r="I205" s="230">
        <f t="shared" si="57"/>
        <v>0</v>
      </c>
      <c r="J205" s="169"/>
      <c r="K205" s="249"/>
      <c r="L205" s="248">
        <f t="shared" si="58"/>
        <v>0</v>
      </c>
      <c r="M205" s="292">
        <f>498.3+4826.69+5173.44</f>
        <v>10498.43</v>
      </c>
      <c r="N205" s="249"/>
      <c r="O205" s="248">
        <f t="shared" si="59"/>
        <v>10498.43</v>
      </c>
      <c r="P205" s="93"/>
      <c r="Q205" s="52"/>
    </row>
    <row r="206" spans="1:17" ht="13.5" thickBot="1">
      <c r="A206" s="340" t="s">
        <v>162</v>
      </c>
      <c r="B206" s="330">
        <v>33038</v>
      </c>
      <c r="C206" s="331"/>
      <c r="D206" s="332"/>
      <c r="E206" s="332"/>
      <c r="F206" s="333">
        <f t="shared" si="56"/>
        <v>0</v>
      </c>
      <c r="G206" s="334">
        <f>1490.9</f>
        <v>1490.9</v>
      </c>
      <c r="H206" s="335"/>
      <c r="I206" s="336">
        <f t="shared" si="57"/>
        <v>1490.9</v>
      </c>
      <c r="J206" s="334"/>
      <c r="K206" s="337"/>
      <c r="L206" s="338">
        <f t="shared" si="58"/>
        <v>1490.9</v>
      </c>
      <c r="M206" s="341"/>
      <c r="N206" s="337"/>
      <c r="O206" s="338">
        <f t="shared" si="59"/>
        <v>1490.9</v>
      </c>
      <c r="P206" s="93"/>
      <c r="Q206" s="52">
        <f t="shared" si="53"/>
        <v>1490.9</v>
      </c>
    </row>
    <row r="207" spans="1:17" ht="12.75">
      <c r="A207" s="21" t="s">
        <v>272</v>
      </c>
      <c r="B207" s="65">
        <v>33063</v>
      </c>
      <c r="C207" s="134"/>
      <c r="D207" s="99">
        <f>10991.83+1658.34</f>
        <v>12650.17</v>
      </c>
      <c r="E207" s="99"/>
      <c r="F207" s="89">
        <f t="shared" si="56"/>
        <v>12650.17</v>
      </c>
      <c r="G207" s="169">
        <f>6566.9+3355.18+953.09+1598.95+1500</f>
        <v>13974.12</v>
      </c>
      <c r="H207" s="210"/>
      <c r="I207" s="230">
        <f t="shared" si="57"/>
        <v>26624.29</v>
      </c>
      <c r="J207" s="169"/>
      <c r="K207" s="249"/>
      <c r="L207" s="248">
        <f t="shared" si="58"/>
        <v>26624.29</v>
      </c>
      <c r="M207" s="292">
        <f>1500+293.46</f>
        <v>1793.46</v>
      </c>
      <c r="N207" s="249"/>
      <c r="O207" s="248">
        <f t="shared" si="59"/>
        <v>28417.75</v>
      </c>
      <c r="P207" s="93"/>
      <c r="Q207" s="52"/>
    </row>
    <row r="208" spans="1:17" ht="12.75">
      <c r="A208" s="21" t="s">
        <v>358</v>
      </c>
      <c r="B208" s="65" t="s">
        <v>266</v>
      </c>
      <c r="C208" s="134"/>
      <c r="D208" s="99"/>
      <c r="E208" s="99"/>
      <c r="F208" s="89">
        <f t="shared" si="56"/>
        <v>0</v>
      </c>
      <c r="G208" s="169"/>
      <c r="H208" s="210"/>
      <c r="I208" s="230">
        <f t="shared" si="57"/>
        <v>0</v>
      </c>
      <c r="J208" s="169">
        <f>7.34+225.78</f>
        <v>233.12</v>
      </c>
      <c r="K208" s="249"/>
      <c r="L208" s="248">
        <f t="shared" si="58"/>
        <v>233.12</v>
      </c>
      <c r="M208" s="292">
        <f>-0.01</f>
        <v>-0.01</v>
      </c>
      <c r="N208" s="249"/>
      <c r="O208" s="248">
        <f t="shared" si="59"/>
        <v>233.11</v>
      </c>
      <c r="P208" s="93"/>
      <c r="Q208" s="52"/>
    </row>
    <row r="209" spans="1:17" ht="12.75">
      <c r="A209" s="21" t="s">
        <v>305</v>
      </c>
      <c r="B209" s="65">
        <v>2054</v>
      </c>
      <c r="C209" s="134"/>
      <c r="D209" s="99">
        <f>183.89</f>
        <v>183.89</v>
      </c>
      <c r="E209" s="99"/>
      <c r="F209" s="89">
        <f t="shared" si="56"/>
        <v>183.89</v>
      </c>
      <c r="G209" s="169"/>
      <c r="H209" s="210"/>
      <c r="I209" s="230">
        <f t="shared" si="57"/>
        <v>183.89</v>
      </c>
      <c r="J209" s="169"/>
      <c r="K209" s="249"/>
      <c r="L209" s="248">
        <f t="shared" si="58"/>
        <v>183.89</v>
      </c>
      <c r="M209" s="292"/>
      <c r="N209" s="249"/>
      <c r="O209" s="248">
        <f t="shared" si="59"/>
        <v>183.89</v>
      </c>
      <c r="P209" s="93"/>
      <c r="Q209" s="52"/>
    </row>
    <row r="210" spans="1:17" ht="12.75">
      <c r="A210" s="21" t="s">
        <v>309</v>
      </c>
      <c r="B210" s="65">
        <v>2054</v>
      </c>
      <c r="C210" s="134"/>
      <c r="D210" s="99">
        <f>1744.74</f>
        <v>1744.74</v>
      </c>
      <c r="E210" s="99"/>
      <c r="F210" s="89">
        <f t="shared" si="56"/>
        <v>1744.74</v>
      </c>
      <c r="G210" s="169"/>
      <c r="H210" s="210"/>
      <c r="I210" s="230">
        <f t="shared" si="57"/>
        <v>1744.74</v>
      </c>
      <c r="J210" s="169">
        <f>3643.17</f>
        <v>3643.17</v>
      </c>
      <c r="K210" s="249"/>
      <c r="L210" s="248">
        <f t="shared" si="58"/>
        <v>5387.91</v>
      </c>
      <c r="M210" s="292"/>
      <c r="N210" s="249"/>
      <c r="O210" s="248">
        <f t="shared" si="59"/>
        <v>5387.91</v>
      </c>
      <c r="P210" s="93"/>
      <c r="Q210" s="52"/>
    </row>
    <row r="211" spans="1:17" ht="12.75">
      <c r="A211" s="21" t="s">
        <v>306</v>
      </c>
      <c r="B211" s="65">
        <v>2066</v>
      </c>
      <c r="C211" s="134"/>
      <c r="D211" s="99">
        <f>636.23</f>
        <v>636.23</v>
      </c>
      <c r="E211" s="99"/>
      <c r="F211" s="89">
        <f t="shared" si="56"/>
        <v>636.23</v>
      </c>
      <c r="G211" s="169"/>
      <c r="H211" s="210"/>
      <c r="I211" s="230">
        <f t="shared" si="57"/>
        <v>636.23</v>
      </c>
      <c r="J211" s="169"/>
      <c r="K211" s="249"/>
      <c r="L211" s="248">
        <f t="shared" si="58"/>
        <v>636.23</v>
      </c>
      <c r="M211" s="292"/>
      <c r="N211" s="249"/>
      <c r="O211" s="248">
        <f t="shared" si="59"/>
        <v>636.23</v>
      </c>
      <c r="P211" s="93"/>
      <c r="Q211" s="52">
        <f t="shared" si="53"/>
        <v>636.23</v>
      </c>
    </row>
    <row r="212" spans="1:17" ht="12.75">
      <c r="A212" s="21" t="s">
        <v>277</v>
      </c>
      <c r="B212" s="65">
        <v>2066</v>
      </c>
      <c r="C212" s="134"/>
      <c r="D212" s="99"/>
      <c r="E212" s="99"/>
      <c r="F212" s="89">
        <f t="shared" si="56"/>
        <v>0</v>
      </c>
      <c r="G212" s="169">
        <f>7600</f>
        <v>7600</v>
      </c>
      <c r="H212" s="210"/>
      <c r="I212" s="230">
        <f t="shared" si="57"/>
        <v>7600</v>
      </c>
      <c r="J212" s="169"/>
      <c r="K212" s="249"/>
      <c r="L212" s="248">
        <f t="shared" si="58"/>
        <v>7600</v>
      </c>
      <c r="M212" s="292">
        <f>13300</f>
        <v>13300</v>
      </c>
      <c r="N212" s="249"/>
      <c r="O212" s="248">
        <f t="shared" si="59"/>
        <v>20900</v>
      </c>
      <c r="P212" s="93"/>
      <c r="Q212" s="52"/>
    </row>
    <row r="213" spans="1:17" ht="12.75">
      <c r="A213" s="21" t="s">
        <v>333</v>
      </c>
      <c r="B213" s="65">
        <v>13305</v>
      </c>
      <c r="C213" s="134"/>
      <c r="D213" s="99"/>
      <c r="E213" s="99"/>
      <c r="F213" s="89">
        <f t="shared" si="56"/>
        <v>0</v>
      </c>
      <c r="G213" s="169">
        <f>3408.25</f>
        <v>3408.25</v>
      </c>
      <c r="H213" s="210"/>
      <c r="I213" s="230">
        <f t="shared" si="57"/>
        <v>3408.25</v>
      </c>
      <c r="J213" s="169">
        <f>2272.16</f>
        <v>2272.16</v>
      </c>
      <c r="K213" s="249"/>
      <c r="L213" s="248">
        <f t="shared" si="58"/>
        <v>5680.41</v>
      </c>
      <c r="M213" s="292"/>
      <c r="N213" s="249"/>
      <c r="O213" s="248">
        <f t="shared" si="59"/>
        <v>5680.41</v>
      </c>
      <c r="P213" s="93"/>
      <c r="Q213" s="52"/>
    </row>
    <row r="214" spans="1:17" ht="12.75">
      <c r="A214" s="21" t="s">
        <v>377</v>
      </c>
      <c r="B214" s="65"/>
      <c r="C214" s="134"/>
      <c r="D214" s="99"/>
      <c r="E214" s="99"/>
      <c r="F214" s="89"/>
      <c r="G214" s="169"/>
      <c r="H214" s="210"/>
      <c r="I214" s="230"/>
      <c r="J214" s="169"/>
      <c r="K214" s="249"/>
      <c r="L214" s="248">
        <f t="shared" si="58"/>
        <v>0</v>
      </c>
      <c r="M214" s="292">
        <f>28</f>
        <v>28</v>
      </c>
      <c r="N214" s="249"/>
      <c r="O214" s="248">
        <f t="shared" si="59"/>
        <v>28</v>
      </c>
      <c r="P214" s="93"/>
      <c r="Q214" s="52"/>
    </row>
    <row r="215" spans="1:17" ht="12.75">
      <c r="A215" s="21" t="s">
        <v>363</v>
      </c>
      <c r="B215" s="65"/>
      <c r="C215" s="134"/>
      <c r="D215" s="99"/>
      <c r="E215" s="99"/>
      <c r="F215" s="89"/>
      <c r="G215" s="169"/>
      <c r="H215" s="210"/>
      <c r="I215" s="230">
        <f t="shared" si="57"/>
        <v>0</v>
      </c>
      <c r="J215" s="169">
        <f>79</f>
        <v>79</v>
      </c>
      <c r="K215" s="249"/>
      <c r="L215" s="248">
        <f t="shared" si="58"/>
        <v>79</v>
      </c>
      <c r="M215" s="292"/>
      <c r="N215" s="249"/>
      <c r="O215" s="248">
        <f t="shared" si="59"/>
        <v>79</v>
      </c>
      <c r="P215" s="93"/>
      <c r="Q215" s="52"/>
    </row>
    <row r="216" spans="1:17" ht="12.75">
      <c r="A216" s="21" t="s">
        <v>75</v>
      </c>
      <c r="B216" s="128" t="s">
        <v>263</v>
      </c>
      <c r="C216" s="134"/>
      <c r="D216" s="99">
        <f>213.18+6902+349.03+6964.2</f>
        <v>14428.41</v>
      </c>
      <c r="E216" s="99"/>
      <c r="F216" s="89">
        <f t="shared" si="56"/>
        <v>14428.41</v>
      </c>
      <c r="G216" s="169">
        <f>300.78</f>
        <v>300.78</v>
      </c>
      <c r="H216" s="210"/>
      <c r="I216" s="230">
        <f t="shared" si="57"/>
        <v>14729.19</v>
      </c>
      <c r="J216" s="169"/>
      <c r="K216" s="249"/>
      <c r="L216" s="248">
        <f t="shared" si="58"/>
        <v>14729.19</v>
      </c>
      <c r="M216" s="292">
        <f>2622.76</f>
        <v>2622.76</v>
      </c>
      <c r="N216" s="249"/>
      <c r="O216" s="248">
        <f t="shared" si="59"/>
        <v>17351.95</v>
      </c>
      <c r="P216" s="93"/>
      <c r="Q216" s="52">
        <f t="shared" si="53"/>
        <v>17351.95</v>
      </c>
    </row>
    <row r="217" spans="1:17" ht="12.75">
      <c r="A217" s="21" t="s">
        <v>50</v>
      </c>
      <c r="B217" s="65"/>
      <c r="C217" s="134">
        <v>38783.07</v>
      </c>
      <c r="D217" s="99">
        <f>-4500+1190.66-12156.45+5000</f>
        <v>-10465.79</v>
      </c>
      <c r="E217" s="99"/>
      <c r="F217" s="89">
        <f t="shared" si="56"/>
        <v>28317.28</v>
      </c>
      <c r="G217" s="169">
        <f>-3902.75</f>
        <v>-3902.75</v>
      </c>
      <c r="H217" s="210"/>
      <c r="I217" s="230">
        <f t="shared" si="57"/>
        <v>24414.53</v>
      </c>
      <c r="J217" s="169">
        <f>-16528.95</f>
        <v>-16528.95</v>
      </c>
      <c r="K217" s="249"/>
      <c r="L217" s="248">
        <f t="shared" si="58"/>
        <v>7885.579999999998</v>
      </c>
      <c r="M217" s="292">
        <f>-555.73-342.68+132.41</f>
        <v>-766.0000000000001</v>
      </c>
      <c r="N217" s="249"/>
      <c r="O217" s="248">
        <f t="shared" si="59"/>
        <v>7119.579999999998</v>
      </c>
      <c r="P217" s="93"/>
      <c r="Q217" s="52">
        <f t="shared" si="53"/>
        <v>7119.579999999998</v>
      </c>
    </row>
    <row r="218" spans="1:17" ht="12.75">
      <c r="A218" s="24" t="s">
        <v>52</v>
      </c>
      <c r="B218" s="69"/>
      <c r="C218" s="138">
        <f>SUM(C220:C226)</f>
        <v>740</v>
      </c>
      <c r="D218" s="103">
        <f aca="true" t="shared" si="60" ref="D218:Q218">SUM(D220:D226)</f>
        <v>540.64</v>
      </c>
      <c r="E218" s="103">
        <f t="shared" si="60"/>
        <v>0</v>
      </c>
      <c r="F218" s="121">
        <f t="shared" si="60"/>
        <v>1280.6399999999999</v>
      </c>
      <c r="G218" s="172">
        <f t="shared" si="60"/>
        <v>1663.76</v>
      </c>
      <c r="H218" s="215">
        <f t="shared" si="60"/>
        <v>0</v>
      </c>
      <c r="I218" s="234">
        <f t="shared" si="60"/>
        <v>2944.4</v>
      </c>
      <c r="J218" s="172">
        <f t="shared" si="60"/>
        <v>100</v>
      </c>
      <c r="K218" s="256">
        <f t="shared" si="60"/>
        <v>0</v>
      </c>
      <c r="L218" s="257">
        <f t="shared" si="60"/>
        <v>3044.4</v>
      </c>
      <c r="M218" s="316">
        <f t="shared" si="60"/>
        <v>0</v>
      </c>
      <c r="N218" s="256">
        <f t="shared" si="60"/>
        <v>0</v>
      </c>
      <c r="O218" s="257">
        <f t="shared" si="60"/>
        <v>3044.4</v>
      </c>
      <c r="P218" s="103">
        <f t="shared" si="60"/>
        <v>0</v>
      </c>
      <c r="Q218" s="138">
        <f t="shared" si="60"/>
        <v>3044.4</v>
      </c>
    </row>
    <row r="219" spans="1:17" ht="12.75">
      <c r="A219" s="19" t="s">
        <v>26</v>
      </c>
      <c r="B219" s="65"/>
      <c r="C219" s="134"/>
      <c r="D219" s="99"/>
      <c r="E219" s="99"/>
      <c r="F219" s="89"/>
      <c r="G219" s="169"/>
      <c r="H219" s="210"/>
      <c r="I219" s="229"/>
      <c r="J219" s="169"/>
      <c r="K219" s="249"/>
      <c r="L219" s="247"/>
      <c r="M219" s="292"/>
      <c r="N219" s="249"/>
      <c r="O219" s="247"/>
      <c r="P219" s="93"/>
      <c r="Q219" s="52"/>
    </row>
    <row r="220" spans="1:17" ht="12.75">
      <c r="A220" s="21" t="s">
        <v>83</v>
      </c>
      <c r="B220" s="65"/>
      <c r="C220" s="134">
        <v>740</v>
      </c>
      <c r="D220" s="99">
        <f>519.37</f>
        <v>519.37</v>
      </c>
      <c r="E220" s="99"/>
      <c r="F220" s="89">
        <f aca="true" t="shared" si="61" ref="F220:F226">C220+D220+E220</f>
        <v>1259.37</v>
      </c>
      <c r="G220" s="169">
        <f>1663.76</f>
        <v>1663.76</v>
      </c>
      <c r="H220" s="210"/>
      <c r="I220" s="230">
        <f>F220+G220+H220</f>
        <v>2923.13</v>
      </c>
      <c r="J220" s="169">
        <f>100</f>
        <v>100</v>
      </c>
      <c r="K220" s="249"/>
      <c r="L220" s="248">
        <f>I220+J220+K220</f>
        <v>3023.13</v>
      </c>
      <c r="M220" s="292"/>
      <c r="N220" s="249"/>
      <c r="O220" s="248">
        <f>L220+M220+N220</f>
        <v>3023.13</v>
      </c>
      <c r="P220" s="93"/>
      <c r="Q220" s="52">
        <f t="shared" si="53"/>
        <v>3023.13</v>
      </c>
    </row>
    <row r="221" spans="1:17" ht="12.75" hidden="1">
      <c r="A221" s="21" t="s">
        <v>265</v>
      </c>
      <c r="B221" s="65" t="s">
        <v>267</v>
      </c>
      <c r="C221" s="134"/>
      <c r="D221" s="99"/>
      <c r="E221" s="99"/>
      <c r="F221" s="89">
        <f t="shared" si="61"/>
        <v>0</v>
      </c>
      <c r="G221" s="169"/>
      <c r="H221" s="210"/>
      <c r="I221" s="230"/>
      <c r="J221" s="169"/>
      <c r="K221" s="249"/>
      <c r="L221" s="248"/>
      <c r="M221" s="292"/>
      <c r="N221" s="249"/>
      <c r="O221" s="248"/>
      <c r="P221" s="93"/>
      <c r="Q221" s="52"/>
    </row>
    <row r="222" spans="1:17" ht="12.75" hidden="1">
      <c r="A222" s="21" t="s">
        <v>277</v>
      </c>
      <c r="B222" s="65"/>
      <c r="C222" s="134"/>
      <c r="D222" s="99"/>
      <c r="E222" s="99"/>
      <c r="F222" s="89">
        <f t="shared" si="61"/>
        <v>0</v>
      </c>
      <c r="G222" s="169"/>
      <c r="H222" s="210"/>
      <c r="I222" s="230"/>
      <c r="J222" s="169"/>
      <c r="K222" s="249"/>
      <c r="L222" s="248"/>
      <c r="M222" s="292"/>
      <c r="N222" s="249"/>
      <c r="O222" s="248"/>
      <c r="P222" s="93"/>
      <c r="Q222" s="52"/>
    </row>
    <row r="223" spans="1:17" ht="12.75" hidden="1">
      <c r="A223" s="21" t="s">
        <v>67</v>
      </c>
      <c r="B223" s="65"/>
      <c r="C223" s="134"/>
      <c r="D223" s="99"/>
      <c r="E223" s="99"/>
      <c r="F223" s="89">
        <f t="shared" si="61"/>
        <v>0</v>
      </c>
      <c r="G223" s="169"/>
      <c r="H223" s="210"/>
      <c r="I223" s="230">
        <f>F223+G223+H223</f>
        <v>0</v>
      </c>
      <c r="J223" s="169"/>
      <c r="K223" s="249"/>
      <c r="L223" s="248">
        <f>I223+J223+K223</f>
        <v>0</v>
      </c>
      <c r="M223" s="292"/>
      <c r="N223" s="249"/>
      <c r="O223" s="248">
        <f>L223+M223+N223</f>
        <v>0</v>
      </c>
      <c r="P223" s="93"/>
      <c r="Q223" s="52">
        <f t="shared" si="53"/>
        <v>0</v>
      </c>
    </row>
    <row r="224" spans="1:17" ht="12.75" hidden="1">
      <c r="A224" s="21" t="s">
        <v>84</v>
      </c>
      <c r="B224" s="65"/>
      <c r="C224" s="134"/>
      <c r="D224" s="99"/>
      <c r="E224" s="99"/>
      <c r="F224" s="89">
        <f t="shared" si="61"/>
        <v>0</v>
      </c>
      <c r="G224" s="169"/>
      <c r="H224" s="210"/>
      <c r="I224" s="230">
        <f>F224+G224+H224</f>
        <v>0</v>
      </c>
      <c r="J224" s="169"/>
      <c r="K224" s="249"/>
      <c r="L224" s="248">
        <f>I224+J224+K224</f>
        <v>0</v>
      </c>
      <c r="M224" s="292"/>
      <c r="N224" s="249"/>
      <c r="O224" s="248">
        <f>L224+M224+N224</f>
        <v>0</v>
      </c>
      <c r="P224" s="93"/>
      <c r="Q224" s="52">
        <f t="shared" si="53"/>
        <v>0</v>
      </c>
    </row>
    <row r="225" spans="1:17" ht="12.75" hidden="1">
      <c r="A225" s="21" t="s">
        <v>53</v>
      </c>
      <c r="B225" s="65"/>
      <c r="C225" s="134"/>
      <c r="D225" s="99"/>
      <c r="E225" s="99"/>
      <c r="F225" s="89">
        <f t="shared" si="61"/>
        <v>0</v>
      </c>
      <c r="G225" s="169"/>
      <c r="H225" s="210"/>
      <c r="I225" s="230">
        <f>F225+G225+H225</f>
        <v>0</v>
      </c>
      <c r="J225" s="169"/>
      <c r="K225" s="260"/>
      <c r="L225" s="248">
        <f>I225+J225+K225</f>
        <v>0</v>
      </c>
      <c r="M225" s="292"/>
      <c r="N225" s="249"/>
      <c r="O225" s="248">
        <f>L225+M225+N225</f>
        <v>0</v>
      </c>
      <c r="P225" s="93"/>
      <c r="Q225" s="52">
        <f t="shared" si="53"/>
        <v>0</v>
      </c>
    </row>
    <row r="226" spans="1:17" ht="12.75">
      <c r="A226" s="28" t="s">
        <v>75</v>
      </c>
      <c r="B226" s="68"/>
      <c r="C226" s="195"/>
      <c r="D226" s="148">
        <f>21.27</f>
        <v>21.27</v>
      </c>
      <c r="E226" s="148"/>
      <c r="F226" s="159">
        <f t="shared" si="61"/>
        <v>21.27</v>
      </c>
      <c r="G226" s="174"/>
      <c r="H226" s="216"/>
      <c r="I226" s="235">
        <f>F226+G226+H226</f>
        <v>21.27</v>
      </c>
      <c r="J226" s="174"/>
      <c r="K226" s="261"/>
      <c r="L226" s="259">
        <f>I226+J226+K226</f>
        <v>21.27</v>
      </c>
      <c r="M226" s="302"/>
      <c r="N226" s="258"/>
      <c r="O226" s="259">
        <f>L226+M226+N226</f>
        <v>21.27</v>
      </c>
      <c r="P226" s="295"/>
      <c r="Q226" s="54">
        <f t="shared" si="53"/>
        <v>21.27</v>
      </c>
    </row>
    <row r="227" spans="1:17" ht="12.75">
      <c r="A227" s="14" t="s">
        <v>85</v>
      </c>
      <c r="B227" s="69"/>
      <c r="C227" s="133">
        <f aca="true" t="shared" si="62" ref="C227:Q227">C228+C246</f>
        <v>644136.8</v>
      </c>
      <c r="D227" s="86">
        <f t="shared" si="62"/>
        <v>59414.100000000006</v>
      </c>
      <c r="E227" s="86">
        <f t="shared" si="62"/>
        <v>0</v>
      </c>
      <c r="F227" s="94">
        <f t="shared" si="62"/>
        <v>703550.9</v>
      </c>
      <c r="G227" s="168">
        <f t="shared" si="62"/>
        <v>14357.990000000002</v>
      </c>
      <c r="H227" s="209">
        <f t="shared" si="62"/>
        <v>-6933</v>
      </c>
      <c r="I227" s="229">
        <f t="shared" si="62"/>
        <v>710975.89</v>
      </c>
      <c r="J227" s="168">
        <f t="shared" si="62"/>
        <v>60692.64</v>
      </c>
      <c r="K227" s="246">
        <f t="shared" si="62"/>
        <v>-950</v>
      </c>
      <c r="L227" s="247">
        <f t="shared" si="62"/>
        <v>770718.53</v>
      </c>
      <c r="M227" s="309">
        <f t="shared" si="62"/>
        <v>27338.32</v>
      </c>
      <c r="N227" s="246">
        <f t="shared" si="62"/>
        <v>0</v>
      </c>
      <c r="O227" s="247">
        <f t="shared" si="62"/>
        <v>798056.8500000001</v>
      </c>
      <c r="P227" s="86">
        <f t="shared" si="62"/>
        <v>0</v>
      </c>
      <c r="Q227" s="133">
        <f t="shared" si="62"/>
        <v>660409</v>
      </c>
    </row>
    <row r="228" spans="1:17" ht="12.75">
      <c r="A228" s="23" t="s">
        <v>48</v>
      </c>
      <c r="B228" s="69"/>
      <c r="C228" s="137">
        <f aca="true" t="shared" si="63" ref="C228:Q228">SUM(C230:C245)</f>
        <v>644136.8</v>
      </c>
      <c r="D228" s="102">
        <f t="shared" si="63"/>
        <v>51563.33</v>
      </c>
      <c r="E228" s="102">
        <f t="shared" si="63"/>
        <v>0</v>
      </c>
      <c r="F228" s="120">
        <f t="shared" si="63"/>
        <v>695700.13</v>
      </c>
      <c r="G228" s="171">
        <f t="shared" si="63"/>
        <v>22208.760000000002</v>
      </c>
      <c r="H228" s="214">
        <f t="shared" si="63"/>
        <v>-6933</v>
      </c>
      <c r="I228" s="233">
        <f t="shared" si="63"/>
        <v>710975.89</v>
      </c>
      <c r="J228" s="171">
        <f t="shared" si="63"/>
        <v>60422.64</v>
      </c>
      <c r="K228" s="254">
        <f t="shared" si="63"/>
        <v>-6475.07</v>
      </c>
      <c r="L228" s="255">
        <f t="shared" si="63"/>
        <v>764923.4600000001</v>
      </c>
      <c r="M228" s="315">
        <f t="shared" si="63"/>
        <v>26802.4</v>
      </c>
      <c r="N228" s="254">
        <f t="shared" si="63"/>
        <v>0</v>
      </c>
      <c r="O228" s="255">
        <f t="shared" si="63"/>
        <v>791725.8600000001</v>
      </c>
      <c r="P228" s="102">
        <f t="shared" si="63"/>
        <v>0</v>
      </c>
      <c r="Q228" s="137">
        <f t="shared" si="63"/>
        <v>660044.9</v>
      </c>
    </row>
    <row r="229" spans="1:17" ht="12.75">
      <c r="A229" s="19" t="s">
        <v>26</v>
      </c>
      <c r="B229" s="65"/>
      <c r="C229" s="134"/>
      <c r="D229" s="99"/>
      <c r="E229" s="99"/>
      <c r="F229" s="94"/>
      <c r="G229" s="169"/>
      <c r="H229" s="210"/>
      <c r="I229" s="229"/>
      <c r="J229" s="169"/>
      <c r="K229" s="249"/>
      <c r="L229" s="247"/>
      <c r="M229" s="292"/>
      <c r="N229" s="249"/>
      <c r="O229" s="247"/>
      <c r="P229" s="93"/>
      <c r="Q229" s="52"/>
    </row>
    <row r="230" spans="1:17" ht="12.75">
      <c r="A230" s="16" t="s">
        <v>72</v>
      </c>
      <c r="B230" s="65"/>
      <c r="C230" s="134">
        <v>296650</v>
      </c>
      <c r="D230" s="99"/>
      <c r="E230" s="99"/>
      <c r="F230" s="89">
        <f aca="true" t="shared" si="64" ref="F230:F245">C230+D230+E230</f>
        <v>296650</v>
      </c>
      <c r="G230" s="169"/>
      <c r="H230" s="210"/>
      <c r="I230" s="230">
        <f aca="true" t="shared" si="65" ref="I230:I245">F230+G230+H230</f>
        <v>296650</v>
      </c>
      <c r="J230" s="169">
        <f>-100</f>
        <v>-100</v>
      </c>
      <c r="K230" s="249"/>
      <c r="L230" s="248">
        <f aca="true" t="shared" si="66" ref="L230:L245">I230+J230+K230</f>
        <v>296550</v>
      </c>
      <c r="M230" s="292"/>
      <c r="N230" s="249"/>
      <c r="O230" s="248">
        <f aca="true" t="shared" si="67" ref="O230:O245">L230+M230+N230</f>
        <v>296550</v>
      </c>
      <c r="P230" s="93"/>
      <c r="Q230" s="52">
        <f>O230+P230</f>
        <v>296550</v>
      </c>
    </row>
    <row r="231" spans="1:17" ht="12.75">
      <c r="A231" s="66" t="s">
        <v>205</v>
      </c>
      <c r="B231" s="65"/>
      <c r="C231" s="134">
        <v>12000</v>
      </c>
      <c r="D231" s="99">
        <f>18000</f>
        <v>18000</v>
      </c>
      <c r="E231" s="99"/>
      <c r="F231" s="89">
        <f t="shared" si="64"/>
        <v>30000</v>
      </c>
      <c r="G231" s="169">
        <f>150</f>
        <v>150</v>
      </c>
      <c r="H231" s="210"/>
      <c r="I231" s="230">
        <f t="shared" si="65"/>
        <v>30150</v>
      </c>
      <c r="J231" s="169">
        <f>-170</f>
        <v>-170</v>
      </c>
      <c r="K231" s="249"/>
      <c r="L231" s="248">
        <f t="shared" si="66"/>
        <v>29980</v>
      </c>
      <c r="M231" s="292"/>
      <c r="N231" s="249"/>
      <c r="O231" s="248">
        <f t="shared" si="67"/>
        <v>29980</v>
      </c>
      <c r="P231" s="93"/>
      <c r="Q231" s="52"/>
    </row>
    <row r="232" spans="1:17" ht="12.75">
      <c r="A232" s="21" t="s">
        <v>62</v>
      </c>
      <c r="B232" s="65"/>
      <c r="C232" s="134">
        <v>236200</v>
      </c>
      <c r="D232" s="99"/>
      <c r="E232" s="99"/>
      <c r="F232" s="89">
        <f t="shared" si="64"/>
        <v>236200</v>
      </c>
      <c r="G232" s="169">
        <f>16500</f>
        <v>16500</v>
      </c>
      <c r="H232" s="210"/>
      <c r="I232" s="230">
        <f t="shared" si="65"/>
        <v>252700</v>
      </c>
      <c r="J232" s="169">
        <f>400</f>
        <v>400</v>
      </c>
      <c r="K232" s="249">
        <f>58442.65</f>
        <v>58442.65</v>
      </c>
      <c r="L232" s="248">
        <f t="shared" si="66"/>
        <v>311542.65</v>
      </c>
      <c r="M232" s="292"/>
      <c r="N232" s="249"/>
      <c r="O232" s="248">
        <f t="shared" si="67"/>
        <v>311542.65</v>
      </c>
      <c r="P232" s="93"/>
      <c r="Q232" s="52">
        <f>O232+P232</f>
        <v>311542.65</v>
      </c>
    </row>
    <row r="233" spans="1:17" ht="12.75" hidden="1">
      <c r="A233" s="21" t="s">
        <v>168</v>
      </c>
      <c r="B233" s="65"/>
      <c r="C233" s="134">
        <v>0</v>
      </c>
      <c r="D233" s="150"/>
      <c r="E233" s="99"/>
      <c r="F233" s="89">
        <f t="shared" si="64"/>
        <v>0</v>
      </c>
      <c r="G233" s="169"/>
      <c r="H233" s="210"/>
      <c r="I233" s="230">
        <f t="shared" si="65"/>
        <v>0</v>
      </c>
      <c r="J233" s="169"/>
      <c r="K233" s="249"/>
      <c r="L233" s="248">
        <f t="shared" si="66"/>
        <v>0</v>
      </c>
      <c r="M233" s="292"/>
      <c r="N233" s="249"/>
      <c r="O233" s="248">
        <f t="shared" si="67"/>
        <v>0</v>
      </c>
      <c r="P233" s="93"/>
      <c r="Q233" s="52"/>
    </row>
    <row r="234" spans="1:17" ht="12.75">
      <c r="A234" s="21" t="s">
        <v>50</v>
      </c>
      <c r="B234" s="65"/>
      <c r="C234" s="139">
        <v>99286.8</v>
      </c>
      <c r="D234" s="99">
        <f>18317</f>
        <v>18317</v>
      </c>
      <c r="E234" s="99"/>
      <c r="F234" s="89">
        <f t="shared" si="64"/>
        <v>117603.8</v>
      </c>
      <c r="G234" s="169">
        <f>-8649.23-150</f>
        <v>-8799.23</v>
      </c>
      <c r="H234" s="210">
        <f>-6933</f>
        <v>-6933</v>
      </c>
      <c r="I234" s="230">
        <f t="shared" si="65"/>
        <v>101871.57</v>
      </c>
      <c r="J234" s="169">
        <f>-400</f>
        <v>-400</v>
      </c>
      <c r="K234" s="249">
        <f>-58442.65-1775.07-2350-1400-950</f>
        <v>-64917.72</v>
      </c>
      <c r="L234" s="248">
        <f t="shared" si="66"/>
        <v>36553.850000000006</v>
      </c>
      <c r="M234" s="292"/>
      <c r="N234" s="249"/>
      <c r="O234" s="248">
        <f t="shared" si="67"/>
        <v>36553.850000000006</v>
      </c>
      <c r="P234" s="93"/>
      <c r="Q234" s="52">
        <f>O234+P234</f>
        <v>36553.850000000006</v>
      </c>
    </row>
    <row r="235" spans="1:17" ht="12.75">
      <c r="A235" s="21" t="s">
        <v>76</v>
      </c>
      <c r="B235" s="65"/>
      <c r="C235" s="139"/>
      <c r="D235" s="99">
        <f>7500+7500</f>
        <v>15000</v>
      </c>
      <c r="E235" s="99"/>
      <c r="F235" s="89">
        <f t="shared" si="64"/>
        <v>15000</v>
      </c>
      <c r="G235" s="169"/>
      <c r="H235" s="210"/>
      <c r="I235" s="230">
        <f t="shared" si="65"/>
        <v>15000</v>
      </c>
      <c r="J235" s="169"/>
      <c r="K235" s="249"/>
      <c r="L235" s="248">
        <f t="shared" si="66"/>
        <v>15000</v>
      </c>
      <c r="M235" s="292"/>
      <c r="N235" s="249"/>
      <c r="O235" s="248">
        <f t="shared" si="67"/>
        <v>15000</v>
      </c>
      <c r="P235" s="93"/>
      <c r="Q235" s="52">
        <f>O235+P235</f>
        <v>15000</v>
      </c>
    </row>
    <row r="236" spans="1:17" ht="12.75">
      <c r="A236" s="21" t="s">
        <v>274</v>
      </c>
      <c r="B236" s="65">
        <v>35018</v>
      </c>
      <c r="C236" s="139"/>
      <c r="D236" s="99"/>
      <c r="E236" s="99"/>
      <c r="F236" s="89">
        <f t="shared" si="64"/>
        <v>0</v>
      </c>
      <c r="G236" s="169">
        <f>2000+3341.47</f>
        <v>5341.469999999999</v>
      </c>
      <c r="H236" s="210"/>
      <c r="I236" s="230">
        <f t="shared" si="65"/>
        <v>5341.469999999999</v>
      </c>
      <c r="J236" s="169">
        <f>58829.83+27.13</f>
        <v>58856.96</v>
      </c>
      <c r="K236" s="249"/>
      <c r="L236" s="248">
        <f t="shared" si="66"/>
        <v>64198.43</v>
      </c>
      <c r="M236" s="292"/>
      <c r="N236" s="249"/>
      <c r="O236" s="248">
        <f t="shared" si="67"/>
        <v>64198.43</v>
      </c>
      <c r="P236" s="93"/>
      <c r="Q236" s="52"/>
    </row>
    <row r="237" spans="1:17" ht="12.75">
      <c r="A237" s="38" t="s">
        <v>368</v>
      </c>
      <c r="B237" s="65">
        <v>35024</v>
      </c>
      <c r="C237" s="139"/>
      <c r="D237" s="99"/>
      <c r="E237" s="99"/>
      <c r="F237" s="89"/>
      <c r="G237" s="169"/>
      <c r="H237" s="210"/>
      <c r="I237" s="230"/>
      <c r="J237" s="169"/>
      <c r="K237" s="249"/>
      <c r="L237" s="248">
        <f t="shared" si="66"/>
        <v>0</v>
      </c>
      <c r="M237" s="292">
        <f>1008.27</f>
        <v>1008.27</v>
      </c>
      <c r="N237" s="249"/>
      <c r="O237" s="248">
        <f t="shared" si="67"/>
        <v>1008.27</v>
      </c>
      <c r="P237" s="93"/>
      <c r="Q237" s="52"/>
    </row>
    <row r="238" spans="1:17" ht="12.75">
      <c r="A238" s="26" t="s">
        <v>369</v>
      </c>
      <c r="B238" s="65">
        <v>35442</v>
      </c>
      <c r="C238" s="139"/>
      <c r="D238" s="99"/>
      <c r="E238" s="99"/>
      <c r="F238" s="89"/>
      <c r="G238" s="169"/>
      <c r="H238" s="210"/>
      <c r="I238" s="230"/>
      <c r="J238" s="169"/>
      <c r="K238" s="249"/>
      <c r="L238" s="248">
        <f t="shared" si="66"/>
        <v>0</v>
      </c>
      <c r="M238" s="292">
        <f>22712.25</f>
        <v>22712.25</v>
      </c>
      <c r="N238" s="249"/>
      <c r="O238" s="248">
        <f t="shared" si="67"/>
        <v>22712.25</v>
      </c>
      <c r="P238" s="93"/>
      <c r="Q238" s="52"/>
    </row>
    <row r="239" spans="1:17" ht="12.75">
      <c r="A239" s="21" t="s">
        <v>352</v>
      </c>
      <c r="B239" s="65"/>
      <c r="C239" s="139"/>
      <c r="D239" s="99">
        <f>13.91+232.42</f>
        <v>246.32999999999998</v>
      </c>
      <c r="E239" s="99"/>
      <c r="F239" s="89">
        <f t="shared" si="64"/>
        <v>246.32999999999998</v>
      </c>
      <c r="G239" s="169"/>
      <c r="H239" s="210"/>
      <c r="I239" s="230">
        <f t="shared" si="65"/>
        <v>246.32999999999998</v>
      </c>
      <c r="J239" s="169">
        <f>8.58+143.49</f>
        <v>152.07000000000002</v>
      </c>
      <c r="K239" s="249"/>
      <c r="L239" s="248">
        <f t="shared" si="66"/>
        <v>398.4</v>
      </c>
      <c r="M239" s="292"/>
      <c r="N239" s="249"/>
      <c r="O239" s="248">
        <f t="shared" si="67"/>
        <v>398.4</v>
      </c>
      <c r="P239" s="93"/>
      <c r="Q239" s="52">
        <f>O239+P239</f>
        <v>398.4</v>
      </c>
    </row>
    <row r="240" spans="1:17" ht="12.75">
      <c r="A240" s="21" t="s">
        <v>339</v>
      </c>
      <c r="B240" s="184" t="s">
        <v>340</v>
      </c>
      <c r="C240" s="139"/>
      <c r="D240" s="99"/>
      <c r="E240" s="99"/>
      <c r="F240" s="89">
        <f t="shared" si="64"/>
        <v>0</v>
      </c>
      <c r="G240" s="169">
        <f>5154.15+3197.37</f>
        <v>8351.52</v>
      </c>
      <c r="H240" s="210"/>
      <c r="I240" s="230">
        <f t="shared" si="65"/>
        <v>8351.52</v>
      </c>
      <c r="J240" s="169">
        <f>474.92+765.27</f>
        <v>1240.19</v>
      </c>
      <c r="K240" s="249"/>
      <c r="L240" s="248">
        <f t="shared" si="66"/>
        <v>9591.710000000001</v>
      </c>
      <c r="M240" s="292">
        <f>-0.18+474.92+765.27</f>
        <v>1240.01</v>
      </c>
      <c r="N240" s="249"/>
      <c r="O240" s="248">
        <f t="shared" si="67"/>
        <v>10831.720000000001</v>
      </c>
      <c r="P240" s="93"/>
      <c r="Q240" s="52"/>
    </row>
    <row r="241" spans="1:17" ht="12.75">
      <c r="A241" s="26" t="s">
        <v>349</v>
      </c>
      <c r="B241" s="65">
        <v>13351</v>
      </c>
      <c r="C241" s="139"/>
      <c r="D241" s="99"/>
      <c r="E241" s="99"/>
      <c r="F241" s="89"/>
      <c r="G241" s="169"/>
      <c r="H241" s="210"/>
      <c r="I241" s="230">
        <f t="shared" si="65"/>
        <v>0</v>
      </c>
      <c r="J241" s="169">
        <f>443.42</f>
        <v>443.42</v>
      </c>
      <c r="K241" s="249"/>
      <c r="L241" s="248">
        <f t="shared" si="66"/>
        <v>443.42</v>
      </c>
      <c r="M241" s="292">
        <f>26.84</f>
        <v>26.84</v>
      </c>
      <c r="N241" s="249"/>
      <c r="O241" s="248">
        <f t="shared" si="67"/>
        <v>470.26</v>
      </c>
      <c r="P241" s="93"/>
      <c r="Q241" s="52"/>
    </row>
    <row r="242" spans="1:17" ht="12.75">
      <c r="A242" s="26" t="s">
        <v>376</v>
      </c>
      <c r="B242" s="65">
        <v>13351</v>
      </c>
      <c r="C242" s="139"/>
      <c r="D242" s="99"/>
      <c r="E242" s="99"/>
      <c r="F242" s="89"/>
      <c r="G242" s="169"/>
      <c r="H242" s="210"/>
      <c r="I242" s="230"/>
      <c r="J242" s="169"/>
      <c r="K242" s="249"/>
      <c r="L242" s="248">
        <f t="shared" si="66"/>
        <v>0</v>
      </c>
      <c r="M242" s="292">
        <f>260.13</f>
        <v>260.13</v>
      </c>
      <c r="N242" s="249"/>
      <c r="O242" s="248">
        <f t="shared" si="67"/>
        <v>260.13</v>
      </c>
      <c r="P242" s="93"/>
      <c r="Q242" s="52"/>
    </row>
    <row r="243" spans="1:17" ht="12.75">
      <c r="A243" s="26" t="s">
        <v>366</v>
      </c>
      <c r="B243" s="65">
        <v>13307</v>
      </c>
      <c r="C243" s="139"/>
      <c r="D243" s="99"/>
      <c r="E243" s="99"/>
      <c r="F243" s="89"/>
      <c r="G243" s="169"/>
      <c r="H243" s="210"/>
      <c r="I243" s="230"/>
      <c r="J243" s="169"/>
      <c r="K243" s="249"/>
      <c r="L243" s="248">
        <f t="shared" si="66"/>
        <v>0</v>
      </c>
      <c r="M243" s="292">
        <f>1237.9</f>
        <v>1237.9</v>
      </c>
      <c r="N243" s="249"/>
      <c r="O243" s="248">
        <f t="shared" si="67"/>
        <v>1237.9</v>
      </c>
      <c r="P243" s="93"/>
      <c r="Q243" s="52"/>
    </row>
    <row r="244" spans="1:17" ht="12.75">
      <c r="A244" s="21" t="s">
        <v>338</v>
      </c>
      <c r="B244" s="65">
        <v>4359</v>
      </c>
      <c r="C244" s="139"/>
      <c r="D244" s="99"/>
      <c r="E244" s="99"/>
      <c r="F244" s="89">
        <f t="shared" si="64"/>
        <v>0</v>
      </c>
      <c r="G244" s="169">
        <f>284+381</f>
        <v>665</v>
      </c>
      <c r="H244" s="210"/>
      <c r="I244" s="230">
        <f t="shared" si="65"/>
        <v>665</v>
      </c>
      <c r="J244" s="169"/>
      <c r="K244" s="249"/>
      <c r="L244" s="248">
        <f t="shared" si="66"/>
        <v>665</v>
      </c>
      <c r="M244" s="292">
        <f>125+192</f>
        <v>317</v>
      </c>
      <c r="N244" s="249"/>
      <c r="O244" s="248">
        <f t="shared" si="67"/>
        <v>982</v>
      </c>
      <c r="P244" s="93"/>
      <c r="Q244" s="52"/>
    </row>
    <row r="245" spans="1:17" ht="12.75" hidden="1">
      <c r="A245" s="21" t="s">
        <v>86</v>
      </c>
      <c r="B245" s="65"/>
      <c r="C245" s="134"/>
      <c r="D245" s="99"/>
      <c r="E245" s="99"/>
      <c r="F245" s="89">
        <f t="shared" si="64"/>
        <v>0</v>
      </c>
      <c r="G245" s="169"/>
      <c r="H245" s="210"/>
      <c r="I245" s="230">
        <f t="shared" si="65"/>
        <v>0</v>
      </c>
      <c r="J245" s="169"/>
      <c r="K245" s="249"/>
      <c r="L245" s="248">
        <f t="shared" si="66"/>
        <v>0</v>
      </c>
      <c r="M245" s="292"/>
      <c r="N245" s="249"/>
      <c r="O245" s="248">
        <f t="shared" si="67"/>
        <v>0</v>
      </c>
      <c r="P245" s="93"/>
      <c r="Q245" s="52">
        <f>O245+P245</f>
        <v>0</v>
      </c>
    </row>
    <row r="246" spans="1:17" ht="12.75">
      <c r="A246" s="23" t="s">
        <v>52</v>
      </c>
      <c r="B246" s="69"/>
      <c r="C246" s="137">
        <f>SUM(C248:C254)</f>
        <v>0</v>
      </c>
      <c r="D246" s="102">
        <f aca="true" t="shared" si="68" ref="D246:Q246">SUM(D248:D254)</f>
        <v>7850.77</v>
      </c>
      <c r="E246" s="102">
        <f t="shared" si="68"/>
        <v>0</v>
      </c>
      <c r="F246" s="120">
        <f t="shared" si="68"/>
        <v>7850.77</v>
      </c>
      <c r="G246" s="171">
        <f t="shared" si="68"/>
        <v>-7850.77</v>
      </c>
      <c r="H246" s="214">
        <f t="shared" si="68"/>
        <v>0</v>
      </c>
      <c r="I246" s="233">
        <f t="shared" si="68"/>
        <v>0</v>
      </c>
      <c r="J246" s="171">
        <f t="shared" si="68"/>
        <v>270</v>
      </c>
      <c r="K246" s="254">
        <f t="shared" si="68"/>
        <v>5525.07</v>
      </c>
      <c r="L246" s="255">
        <f t="shared" si="68"/>
        <v>5795.07</v>
      </c>
      <c r="M246" s="315">
        <f t="shared" si="68"/>
        <v>535.9200000000001</v>
      </c>
      <c r="N246" s="254">
        <f t="shared" si="68"/>
        <v>0</v>
      </c>
      <c r="O246" s="255">
        <f t="shared" si="68"/>
        <v>6330.99</v>
      </c>
      <c r="P246" s="102">
        <f t="shared" si="68"/>
        <v>0</v>
      </c>
      <c r="Q246" s="137">
        <f t="shared" si="68"/>
        <v>364.1</v>
      </c>
    </row>
    <row r="247" spans="1:17" ht="12.75">
      <c r="A247" s="19" t="s">
        <v>26</v>
      </c>
      <c r="B247" s="65"/>
      <c r="C247" s="134"/>
      <c r="D247" s="99"/>
      <c r="E247" s="99"/>
      <c r="F247" s="89"/>
      <c r="G247" s="169"/>
      <c r="H247" s="210"/>
      <c r="I247" s="230"/>
      <c r="J247" s="169"/>
      <c r="K247" s="249"/>
      <c r="L247" s="248"/>
      <c r="M247" s="292"/>
      <c r="N247" s="249"/>
      <c r="O247" s="248"/>
      <c r="P247" s="93"/>
      <c r="Q247" s="52"/>
    </row>
    <row r="248" spans="1:17" ht="12.75" hidden="1">
      <c r="A248" s="21" t="s">
        <v>53</v>
      </c>
      <c r="B248" s="65"/>
      <c r="C248" s="134">
        <v>0</v>
      </c>
      <c r="D248" s="99">
        <f>7850.77</f>
        <v>7850.77</v>
      </c>
      <c r="E248" s="99"/>
      <c r="F248" s="89">
        <f>C248+D248+E248</f>
        <v>7850.77</v>
      </c>
      <c r="G248" s="169">
        <f>-7850.77</f>
        <v>-7850.77</v>
      </c>
      <c r="H248" s="210"/>
      <c r="I248" s="230">
        <f aca="true" t="shared" si="69" ref="I248:I254">F248+G248+H248</f>
        <v>0</v>
      </c>
      <c r="J248" s="169"/>
      <c r="K248" s="249"/>
      <c r="L248" s="248">
        <f aca="true" t="shared" si="70" ref="L248:L254">I248+J248+K248</f>
        <v>0</v>
      </c>
      <c r="M248" s="292"/>
      <c r="N248" s="249"/>
      <c r="O248" s="248">
        <f aca="true" t="shared" si="71" ref="O248:O254">L248+M248+N248</f>
        <v>0</v>
      </c>
      <c r="P248" s="93"/>
      <c r="Q248" s="52"/>
    </row>
    <row r="249" spans="1:17" ht="12.75">
      <c r="A249" s="21" t="s">
        <v>83</v>
      </c>
      <c r="B249" s="65"/>
      <c r="C249" s="134"/>
      <c r="D249" s="99"/>
      <c r="E249" s="99"/>
      <c r="F249" s="89"/>
      <c r="G249" s="169"/>
      <c r="H249" s="210"/>
      <c r="I249" s="230">
        <f t="shared" si="69"/>
        <v>0</v>
      </c>
      <c r="J249" s="169">
        <f>270</f>
        <v>270</v>
      </c>
      <c r="K249" s="249"/>
      <c r="L249" s="248">
        <f t="shared" si="70"/>
        <v>270</v>
      </c>
      <c r="M249" s="292"/>
      <c r="N249" s="249"/>
      <c r="O249" s="248">
        <f t="shared" si="71"/>
        <v>270</v>
      </c>
      <c r="P249" s="93"/>
      <c r="Q249" s="52"/>
    </row>
    <row r="250" spans="1:17" ht="12.75">
      <c r="A250" s="21" t="s">
        <v>238</v>
      </c>
      <c r="B250" s="65"/>
      <c r="C250" s="134"/>
      <c r="D250" s="99"/>
      <c r="E250" s="99"/>
      <c r="F250" s="89">
        <f>C250+D250+E250</f>
        <v>0</v>
      </c>
      <c r="G250" s="169"/>
      <c r="H250" s="210"/>
      <c r="I250" s="230">
        <f t="shared" si="69"/>
        <v>0</v>
      </c>
      <c r="J250" s="169"/>
      <c r="K250" s="249">
        <f>1775.07+2350+1400</f>
        <v>5525.07</v>
      </c>
      <c r="L250" s="248">
        <f t="shared" si="70"/>
        <v>5525.07</v>
      </c>
      <c r="M250" s="292"/>
      <c r="N250" s="249"/>
      <c r="O250" s="248">
        <f t="shared" si="71"/>
        <v>5525.07</v>
      </c>
      <c r="P250" s="93"/>
      <c r="Q250" s="52"/>
    </row>
    <row r="251" spans="1:17" ht="12.75">
      <c r="A251" s="21" t="s">
        <v>371</v>
      </c>
      <c r="B251" s="65"/>
      <c r="C251" s="134"/>
      <c r="D251" s="99"/>
      <c r="E251" s="99"/>
      <c r="F251" s="89"/>
      <c r="G251" s="169"/>
      <c r="H251" s="210"/>
      <c r="I251" s="230"/>
      <c r="J251" s="169"/>
      <c r="K251" s="249"/>
      <c r="L251" s="248">
        <f t="shared" si="70"/>
        <v>0</v>
      </c>
      <c r="M251" s="292">
        <f>171.82</f>
        <v>171.82</v>
      </c>
      <c r="N251" s="249"/>
      <c r="O251" s="248">
        <f t="shared" si="71"/>
        <v>171.82</v>
      </c>
      <c r="P251" s="93"/>
      <c r="Q251" s="52"/>
    </row>
    <row r="252" spans="1:17" ht="12.75" hidden="1">
      <c r="A252" s="21" t="s">
        <v>67</v>
      </c>
      <c r="B252" s="65"/>
      <c r="C252" s="134"/>
      <c r="D252" s="99"/>
      <c r="E252" s="99"/>
      <c r="F252" s="89">
        <f>C252+D252+E252</f>
        <v>0</v>
      </c>
      <c r="G252" s="169"/>
      <c r="H252" s="210"/>
      <c r="I252" s="230">
        <f t="shared" si="69"/>
        <v>0</v>
      </c>
      <c r="J252" s="169"/>
      <c r="K252" s="249"/>
      <c r="L252" s="248">
        <f t="shared" si="70"/>
        <v>0</v>
      </c>
      <c r="M252" s="292"/>
      <c r="N252" s="249"/>
      <c r="O252" s="248">
        <f t="shared" si="71"/>
        <v>0</v>
      </c>
      <c r="P252" s="93"/>
      <c r="Q252" s="52">
        <f>O252+P252</f>
        <v>0</v>
      </c>
    </row>
    <row r="253" spans="1:17" ht="12.75" hidden="1">
      <c r="A253" s="21" t="s">
        <v>211</v>
      </c>
      <c r="B253" s="65"/>
      <c r="C253" s="134"/>
      <c r="D253" s="99"/>
      <c r="E253" s="99"/>
      <c r="F253" s="89">
        <f>C253+D253+E253</f>
        <v>0</v>
      </c>
      <c r="G253" s="174"/>
      <c r="H253" s="216"/>
      <c r="I253" s="235">
        <f t="shared" si="69"/>
        <v>0</v>
      </c>
      <c r="J253" s="174"/>
      <c r="K253" s="258"/>
      <c r="L253" s="259">
        <f t="shared" si="70"/>
        <v>0</v>
      </c>
      <c r="M253" s="302"/>
      <c r="N253" s="258"/>
      <c r="O253" s="259">
        <f t="shared" si="71"/>
        <v>0</v>
      </c>
      <c r="P253" s="295"/>
      <c r="Q253" s="54">
        <f>O253+P253</f>
        <v>0</v>
      </c>
    </row>
    <row r="254" spans="1:17" ht="12.75">
      <c r="A254" s="20" t="s">
        <v>76</v>
      </c>
      <c r="B254" s="68"/>
      <c r="C254" s="195"/>
      <c r="D254" s="148"/>
      <c r="E254" s="148"/>
      <c r="F254" s="159">
        <f>C254+D254+E254</f>
        <v>0</v>
      </c>
      <c r="G254" s="174"/>
      <c r="H254" s="216"/>
      <c r="I254" s="235">
        <f t="shared" si="69"/>
        <v>0</v>
      </c>
      <c r="J254" s="174"/>
      <c r="K254" s="258"/>
      <c r="L254" s="259">
        <f t="shared" si="70"/>
        <v>0</v>
      </c>
      <c r="M254" s="302">
        <f>364.1</f>
        <v>364.1</v>
      </c>
      <c r="N254" s="258"/>
      <c r="O254" s="259">
        <f t="shared" si="71"/>
        <v>364.1</v>
      </c>
      <c r="P254" s="295"/>
      <c r="Q254" s="54">
        <f>O254+P254</f>
        <v>364.1</v>
      </c>
    </row>
    <row r="255" spans="1:17" ht="12.75">
      <c r="A255" s="29" t="s">
        <v>87</v>
      </c>
      <c r="B255" s="70"/>
      <c r="C255" s="136">
        <f aca="true" t="shared" si="72" ref="C255:Q255">C256+C272</f>
        <v>228552.1</v>
      </c>
      <c r="D255" s="100">
        <f t="shared" si="72"/>
        <v>16061.180000000002</v>
      </c>
      <c r="E255" s="100">
        <f t="shared" si="72"/>
        <v>0</v>
      </c>
      <c r="F255" s="87">
        <f t="shared" si="72"/>
        <v>244613.28</v>
      </c>
      <c r="G255" s="173">
        <f t="shared" si="72"/>
        <v>10542.05</v>
      </c>
      <c r="H255" s="212">
        <f t="shared" si="72"/>
        <v>-4280</v>
      </c>
      <c r="I255" s="231">
        <f t="shared" si="72"/>
        <v>250875.33</v>
      </c>
      <c r="J255" s="173">
        <f t="shared" si="72"/>
        <v>1956.49</v>
      </c>
      <c r="K255" s="251">
        <f t="shared" si="72"/>
        <v>0</v>
      </c>
      <c r="L255" s="158">
        <f t="shared" si="72"/>
        <v>252831.81999999998</v>
      </c>
      <c r="M255" s="312">
        <f>M256+M272</f>
        <v>6047.66</v>
      </c>
      <c r="N255" s="251">
        <f>N256+N272</f>
        <v>0</v>
      </c>
      <c r="O255" s="158">
        <f>O256+O272</f>
        <v>258879.48</v>
      </c>
      <c r="P255" s="100">
        <f t="shared" si="72"/>
        <v>0</v>
      </c>
      <c r="Q255" s="136">
        <f t="shared" si="72"/>
        <v>251528.87999999998</v>
      </c>
    </row>
    <row r="256" spans="1:17" ht="12.75">
      <c r="A256" s="23" t="s">
        <v>48</v>
      </c>
      <c r="B256" s="69"/>
      <c r="C256" s="137">
        <f aca="true" t="shared" si="73" ref="C256:Q256">SUM(C258:C271)</f>
        <v>225172.1</v>
      </c>
      <c r="D256" s="102">
        <f t="shared" si="73"/>
        <v>12691.180000000002</v>
      </c>
      <c r="E256" s="102">
        <f t="shared" si="73"/>
        <v>0</v>
      </c>
      <c r="F256" s="120">
        <f t="shared" si="73"/>
        <v>237863.28</v>
      </c>
      <c r="G256" s="171">
        <f t="shared" si="73"/>
        <v>10649.05</v>
      </c>
      <c r="H256" s="214">
        <f t="shared" si="73"/>
        <v>-1180</v>
      </c>
      <c r="I256" s="233">
        <f t="shared" si="73"/>
        <v>247332.33</v>
      </c>
      <c r="J256" s="171">
        <f t="shared" si="73"/>
        <v>1956.49</v>
      </c>
      <c r="K256" s="254">
        <f t="shared" si="73"/>
        <v>0</v>
      </c>
      <c r="L256" s="255">
        <f t="shared" si="73"/>
        <v>249288.81999999998</v>
      </c>
      <c r="M256" s="315">
        <f>SUM(M258:M271)</f>
        <v>1326.71</v>
      </c>
      <c r="N256" s="254">
        <f>SUM(N258:N271)</f>
        <v>0</v>
      </c>
      <c r="O256" s="255">
        <f>SUM(O258:O271)</f>
        <v>250615.53</v>
      </c>
      <c r="P256" s="102">
        <f t="shared" si="73"/>
        <v>0</v>
      </c>
      <c r="Q256" s="137">
        <f t="shared" si="73"/>
        <v>246865.88999999998</v>
      </c>
    </row>
    <row r="257" spans="1:17" ht="12.75">
      <c r="A257" s="19" t="s">
        <v>26</v>
      </c>
      <c r="B257" s="65"/>
      <c r="C257" s="134"/>
      <c r="D257" s="99"/>
      <c r="E257" s="99"/>
      <c r="F257" s="89"/>
      <c r="G257" s="169"/>
      <c r="H257" s="210"/>
      <c r="I257" s="230"/>
      <c r="J257" s="169"/>
      <c r="K257" s="249"/>
      <c r="L257" s="248"/>
      <c r="M257" s="292"/>
      <c r="N257" s="249"/>
      <c r="O257" s="248"/>
      <c r="P257" s="93"/>
      <c r="Q257" s="52"/>
    </row>
    <row r="258" spans="1:17" ht="12.75">
      <c r="A258" s="21" t="s">
        <v>72</v>
      </c>
      <c r="B258" s="65"/>
      <c r="C258" s="134">
        <v>190968.5</v>
      </c>
      <c r="D258" s="99">
        <f>2154.6+7724.6</f>
        <v>9879.2</v>
      </c>
      <c r="E258" s="99"/>
      <c r="F258" s="89">
        <f aca="true" t="shared" si="74" ref="F258:F271">C258+D258+E258</f>
        <v>200847.7</v>
      </c>
      <c r="G258" s="169">
        <f>428.7+136.4+6611.7+220.95</f>
        <v>7397.75</v>
      </c>
      <c r="H258" s="210"/>
      <c r="I258" s="230">
        <f>F258+G258+H258</f>
        <v>208245.45</v>
      </c>
      <c r="J258" s="169">
        <f>290+956.8</f>
        <v>1246.8</v>
      </c>
      <c r="K258" s="249"/>
      <c r="L258" s="248">
        <f>I258+J258+K258</f>
        <v>209492.25</v>
      </c>
      <c r="M258" s="292">
        <f>18.2-215+56.2</f>
        <v>-140.60000000000002</v>
      </c>
      <c r="N258" s="249"/>
      <c r="O258" s="248">
        <f>L258+M258+N258</f>
        <v>209351.65</v>
      </c>
      <c r="P258" s="93"/>
      <c r="Q258" s="52">
        <f aca="true" t="shared" si="75" ref="Q258:Q271">O258+P258</f>
        <v>209351.65</v>
      </c>
    </row>
    <row r="259" spans="1:17" ht="12.75">
      <c r="A259" s="21" t="s">
        <v>50</v>
      </c>
      <c r="B259" s="65"/>
      <c r="C259" s="134">
        <v>30515.6</v>
      </c>
      <c r="D259" s="99">
        <f>-1130-6273+556-2490.05+2641.14+1500</f>
        <v>-5195.91</v>
      </c>
      <c r="E259" s="99"/>
      <c r="F259" s="89">
        <f t="shared" si="74"/>
        <v>25319.69</v>
      </c>
      <c r="G259" s="169">
        <f>200</f>
        <v>200</v>
      </c>
      <c r="H259" s="210">
        <f>-1180</f>
        <v>-1180</v>
      </c>
      <c r="I259" s="230">
        <f aca="true" t="shared" si="76" ref="I259:I271">F259+G259+H259</f>
        <v>24339.69</v>
      </c>
      <c r="J259" s="169">
        <f>-350-290-100</f>
        <v>-740</v>
      </c>
      <c r="K259" s="249"/>
      <c r="L259" s="248">
        <f aca="true" t="shared" si="77" ref="L259:L271">I259+J259+K259</f>
        <v>23599.69</v>
      </c>
      <c r="M259" s="292">
        <f>600+1000-650+72.1</f>
        <v>1022.1</v>
      </c>
      <c r="N259" s="249"/>
      <c r="O259" s="248">
        <f aca="true" t="shared" si="78" ref="O259:O271">L259+M259+N259</f>
        <v>24621.789999999997</v>
      </c>
      <c r="P259" s="93"/>
      <c r="Q259" s="52">
        <f t="shared" si="75"/>
        <v>24621.789999999997</v>
      </c>
    </row>
    <row r="260" spans="1:17" ht="12.75">
      <c r="A260" s="21" t="s">
        <v>129</v>
      </c>
      <c r="B260" s="65"/>
      <c r="C260" s="134">
        <v>3388</v>
      </c>
      <c r="D260" s="99">
        <f>94.86</f>
        <v>94.86</v>
      </c>
      <c r="E260" s="99"/>
      <c r="F260" s="89">
        <f t="shared" si="74"/>
        <v>3482.86</v>
      </c>
      <c r="G260" s="169"/>
      <c r="H260" s="210"/>
      <c r="I260" s="230">
        <f t="shared" si="76"/>
        <v>3482.86</v>
      </c>
      <c r="J260" s="169"/>
      <c r="K260" s="249"/>
      <c r="L260" s="248">
        <f t="shared" si="77"/>
        <v>3482.86</v>
      </c>
      <c r="M260" s="292"/>
      <c r="N260" s="249"/>
      <c r="O260" s="248">
        <f t="shared" si="78"/>
        <v>3482.86</v>
      </c>
      <c r="P260" s="93"/>
      <c r="Q260" s="52">
        <f t="shared" si="75"/>
        <v>3482.86</v>
      </c>
    </row>
    <row r="261" spans="1:17" ht="12.75">
      <c r="A261" s="21" t="s">
        <v>63</v>
      </c>
      <c r="B261" s="65"/>
      <c r="C261" s="134"/>
      <c r="D261" s="99">
        <f>1130+6273+240.59</f>
        <v>7643.59</v>
      </c>
      <c r="E261" s="99"/>
      <c r="F261" s="89">
        <f t="shared" si="74"/>
        <v>7643.59</v>
      </c>
      <c r="G261" s="169"/>
      <c r="H261" s="210"/>
      <c r="I261" s="230">
        <f t="shared" si="76"/>
        <v>7643.59</v>
      </c>
      <c r="J261" s="169"/>
      <c r="K261" s="249"/>
      <c r="L261" s="248">
        <f t="shared" si="77"/>
        <v>7643.59</v>
      </c>
      <c r="M261" s="292"/>
      <c r="N261" s="249"/>
      <c r="O261" s="248">
        <f t="shared" si="78"/>
        <v>7643.59</v>
      </c>
      <c r="P261" s="93"/>
      <c r="Q261" s="52">
        <f t="shared" si="75"/>
        <v>7643.59</v>
      </c>
    </row>
    <row r="262" spans="1:17" ht="12.75">
      <c r="A262" s="21" t="s">
        <v>88</v>
      </c>
      <c r="B262" s="65">
        <v>34070</v>
      </c>
      <c r="C262" s="134"/>
      <c r="D262" s="99"/>
      <c r="E262" s="99"/>
      <c r="F262" s="89">
        <f t="shared" si="74"/>
        <v>0</v>
      </c>
      <c r="G262" s="169"/>
      <c r="H262" s="210"/>
      <c r="I262" s="230">
        <f t="shared" si="76"/>
        <v>0</v>
      </c>
      <c r="J262" s="169">
        <f>500+400+210+50</f>
        <v>1160</v>
      </c>
      <c r="K262" s="249"/>
      <c r="L262" s="248">
        <f t="shared" si="77"/>
        <v>1160</v>
      </c>
      <c r="M262" s="292"/>
      <c r="N262" s="249"/>
      <c r="O262" s="248">
        <f t="shared" si="78"/>
        <v>1160</v>
      </c>
      <c r="P262" s="93"/>
      <c r="Q262" s="52">
        <f t="shared" si="75"/>
        <v>1160</v>
      </c>
    </row>
    <row r="263" spans="1:17" ht="12.75">
      <c r="A263" s="21" t="s">
        <v>362</v>
      </c>
      <c r="B263" s="65">
        <v>34013</v>
      </c>
      <c r="C263" s="134"/>
      <c r="D263" s="99"/>
      <c r="E263" s="99"/>
      <c r="F263" s="89">
        <f t="shared" si="74"/>
        <v>0</v>
      </c>
      <c r="G263" s="169">
        <f>108+110+167+65</f>
        <v>450</v>
      </c>
      <c r="H263" s="210"/>
      <c r="I263" s="230">
        <f t="shared" si="76"/>
        <v>450</v>
      </c>
      <c r="J263" s="169"/>
      <c r="K263" s="249"/>
      <c r="L263" s="248">
        <f t="shared" si="77"/>
        <v>450</v>
      </c>
      <c r="M263" s="292"/>
      <c r="N263" s="249"/>
      <c r="O263" s="248">
        <f t="shared" si="78"/>
        <v>450</v>
      </c>
      <c r="P263" s="93"/>
      <c r="Q263" s="52"/>
    </row>
    <row r="264" spans="1:17" ht="12.75">
      <c r="A264" s="21" t="s">
        <v>351</v>
      </c>
      <c r="B264" s="65">
        <v>34017</v>
      </c>
      <c r="C264" s="134"/>
      <c r="D264" s="99"/>
      <c r="E264" s="99"/>
      <c r="F264" s="89"/>
      <c r="G264" s="169"/>
      <c r="H264" s="210"/>
      <c r="I264" s="230">
        <f t="shared" si="76"/>
        <v>0</v>
      </c>
      <c r="J264" s="169">
        <f>57.98</f>
        <v>57.98</v>
      </c>
      <c r="K264" s="249"/>
      <c r="L264" s="248">
        <f t="shared" si="77"/>
        <v>57.98</v>
      </c>
      <c r="M264" s="292"/>
      <c r="N264" s="249"/>
      <c r="O264" s="248">
        <f t="shared" si="78"/>
        <v>57.98</v>
      </c>
      <c r="P264" s="93"/>
      <c r="Q264" s="52"/>
    </row>
    <row r="265" spans="1:17" ht="12.75">
      <c r="A265" s="21" t="s">
        <v>350</v>
      </c>
      <c r="B265" s="65">
        <v>34019</v>
      </c>
      <c r="C265" s="134"/>
      <c r="D265" s="99"/>
      <c r="E265" s="99"/>
      <c r="F265" s="89"/>
      <c r="G265" s="169"/>
      <c r="H265" s="210"/>
      <c r="I265" s="230">
        <f t="shared" si="76"/>
        <v>0</v>
      </c>
      <c r="J265" s="169">
        <f>31.71+90+110</f>
        <v>231.71</v>
      </c>
      <c r="K265" s="249"/>
      <c r="L265" s="248">
        <f t="shared" si="77"/>
        <v>231.71</v>
      </c>
      <c r="M265" s="292"/>
      <c r="N265" s="249"/>
      <c r="O265" s="248">
        <f t="shared" si="78"/>
        <v>231.71</v>
      </c>
      <c r="P265" s="93"/>
      <c r="Q265" s="52"/>
    </row>
    <row r="266" spans="1:17" ht="12.75">
      <c r="A266" s="21" t="s">
        <v>343</v>
      </c>
      <c r="B266" s="65">
        <v>34026</v>
      </c>
      <c r="C266" s="134"/>
      <c r="D266" s="99"/>
      <c r="E266" s="99"/>
      <c r="F266" s="89">
        <f t="shared" si="74"/>
        <v>0</v>
      </c>
      <c r="G266" s="169">
        <f>490.3</f>
        <v>490.3</v>
      </c>
      <c r="H266" s="210"/>
      <c r="I266" s="230">
        <f t="shared" si="76"/>
        <v>490.3</v>
      </c>
      <c r="J266" s="169"/>
      <c r="K266" s="249"/>
      <c r="L266" s="248">
        <f t="shared" si="77"/>
        <v>490.3</v>
      </c>
      <c r="M266" s="292">
        <f>-74.79</f>
        <v>-74.79</v>
      </c>
      <c r="N266" s="249"/>
      <c r="O266" s="248">
        <f t="shared" si="78"/>
        <v>415.51</v>
      </c>
      <c r="P266" s="93"/>
      <c r="Q266" s="52"/>
    </row>
    <row r="267" spans="1:17" ht="12.75">
      <c r="A267" s="21" t="s">
        <v>372</v>
      </c>
      <c r="B267" s="65">
        <v>34021</v>
      </c>
      <c r="C267" s="134"/>
      <c r="D267" s="99"/>
      <c r="E267" s="99"/>
      <c r="F267" s="89"/>
      <c r="G267" s="169"/>
      <c r="H267" s="210"/>
      <c r="I267" s="230"/>
      <c r="J267" s="169"/>
      <c r="K267" s="249"/>
      <c r="L267" s="248">
        <f t="shared" si="77"/>
        <v>0</v>
      </c>
      <c r="M267" s="292">
        <f>520</f>
        <v>520</v>
      </c>
      <c r="N267" s="249"/>
      <c r="O267" s="248">
        <f t="shared" si="78"/>
        <v>520</v>
      </c>
      <c r="P267" s="93"/>
      <c r="Q267" s="52"/>
    </row>
    <row r="268" spans="1:17" ht="12.75">
      <c r="A268" s="21" t="s">
        <v>89</v>
      </c>
      <c r="B268" s="65">
        <v>34053</v>
      </c>
      <c r="C268" s="134"/>
      <c r="D268" s="99"/>
      <c r="E268" s="99"/>
      <c r="F268" s="89">
        <f t="shared" si="74"/>
        <v>0</v>
      </c>
      <c r="G268" s="169">
        <f>306</f>
        <v>306</v>
      </c>
      <c r="H268" s="210"/>
      <c r="I268" s="230">
        <f t="shared" si="76"/>
        <v>306</v>
      </c>
      <c r="J268" s="169"/>
      <c r="K268" s="249"/>
      <c r="L268" s="248">
        <f t="shared" si="77"/>
        <v>306</v>
      </c>
      <c r="M268" s="292"/>
      <c r="N268" s="249"/>
      <c r="O268" s="248">
        <f t="shared" si="78"/>
        <v>306</v>
      </c>
      <c r="P268" s="93"/>
      <c r="Q268" s="52">
        <f t="shared" si="75"/>
        <v>306</v>
      </c>
    </row>
    <row r="269" spans="1:17" ht="12.75">
      <c r="A269" s="21" t="s">
        <v>344</v>
      </c>
      <c r="B269" s="65">
        <v>33063</v>
      </c>
      <c r="C269" s="134"/>
      <c r="D269" s="99"/>
      <c r="E269" s="99"/>
      <c r="F269" s="89">
        <f t="shared" si="74"/>
        <v>0</v>
      </c>
      <c r="G269" s="169">
        <f>1805</f>
        <v>1805</v>
      </c>
      <c r="H269" s="210"/>
      <c r="I269" s="230">
        <f t="shared" si="76"/>
        <v>1805</v>
      </c>
      <c r="J269" s="169"/>
      <c r="K269" s="249"/>
      <c r="L269" s="248">
        <f t="shared" si="77"/>
        <v>1805</v>
      </c>
      <c r="M269" s="292"/>
      <c r="N269" s="249"/>
      <c r="O269" s="248">
        <f t="shared" si="78"/>
        <v>1805</v>
      </c>
      <c r="P269" s="93"/>
      <c r="Q269" s="52"/>
    </row>
    <row r="270" spans="1:17" ht="12.75">
      <c r="A270" s="21" t="s">
        <v>326</v>
      </c>
      <c r="B270" s="65"/>
      <c r="C270" s="134"/>
      <c r="D270" s="99">
        <f>269.44</f>
        <v>269.44</v>
      </c>
      <c r="E270" s="99"/>
      <c r="F270" s="89">
        <f t="shared" si="74"/>
        <v>269.44</v>
      </c>
      <c r="G270" s="169"/>
      <c r="H270" s="210"/>
      <c r="I270" s="230">
        <f t="shared" si="76"/>
        <v>269.44</v>
      </c>
      <c r="J270" s="169"/>
      <c r="K270" s="249"/>
      <c r="L270" s="248">
        <f t="shared" si="77"/>
        <v>269.44</v>
      </c>
      <c r="M270" s="292"/>
      <c r="N270" s="249"/>
      <c r="O270" s="248">
        <f t="shared" si="78"/>
        <v>269.44</v>
      </c>
      <c r="P270" s="93"/>
      <c r="Q270" s="52"/>
    </row>
    <row r="271" spans="1:17" ht="12.75">
      <c r="A271" s="21" t="s">
        <v>76</v>
      </c>
      <c r="B271" s="65"/>
      <c r="C271" s="134">
        <v>300</v>
      </c>
      <c r="D271" s="99"/>
      <c r="E271" s="99"/>
      <c r="F271" s="89">
        <f t="shared" si="74"/>
        <v>300</v>
      </c>
      <c r="G271" s="169"/>
      <c r="H271" s="210"/>
      <c r="I271" s="230">
        <f t="shared" si="76"/>
        <v>300</v>
      </c>
      <c r="J271" s="169"/>
      <c r="K271" s="249"/>
      <c r="L271" s="248">
        <f t="shared" si="77"/>
        <v>300</v>
      </c>
      <c r="M271" s="292"/>
      <c r="N271" s="249"/>
      <c r="O271" s="248">
        <f t="shared" si="78"/>
        <v>300</v>
      </c>
      <c r="P271" s="93"/>
      <c r="Q271" s="52">
        <f t="shared" si="75"/>
        <v>300</v>
      </c>
    </row>
    <row r="272" spans="1:17" ht="12.75">
      <c r="A272" s="23" t="s">
        <v>52</v>
      </c>
      <c r="B272" s="69"/>
      <c r="C272" s="137">
        <f>SUM(C274:C279)</f>
        <v>3380</v>
      </c>
      <c r="D272" s="102">
        <f aca="true" t="shared" si="79" ref="D272:Q272">SUM(D274:D279)</f>
        <v>3370</v>
      </c>
      <c r="E272" s="102">
        <f t="shared" si="79"/>
        <v>0</v>
      </c>
      <c r="F272" s="120">
        <f t="shared" si="79"/>
        <v>6750</v>
      </c>
      <c r="G272" s="171">
        <f t="shared" si="79"/>
        <v>-107</v>
      </c>
      <c r="H272" s="214">
        <f t="shared" si="79"/>
        <v>-3100</v>
      </c>
      <c r="I272" s="233">
        <f t="shared" si="79"/>
        <v>3543</v>
      </c>
      <c r="J272" s="171">
        <f t="shared" si="79"/>
        <v>0</v>
      </c>
      <c r="K272" s="254">
        <f t="shared" si="79"/>
        <v>0</v>
      </c>
      <c r="L272" s="255">
        <f t="shared" si="79"/>
        <v>3543</v>
      </c>
      <c r="M272" s="315">
        <f t="shared" si="79"/>
        <v>4720.95</v>
      </c>
      <c r="N272" s="254">
        <f t="shared" si="79"/>
        <v>0</v>
      </c>
      <c r="O272" s="255">
        <f t="shared" si="79"/>
        <v>8263.95</v>
      </c>
      <c r="P272" s="102">
        <f t="shared" si="79"/>
        <v>0</v>
      </c>
      <c r="Q272" s="137">
        <f t="shared" si="79"/>
        <v>4662.99</v>
      </c>
    </row>
    <row r="273" spans="1:17" ht="12.75">
      <c r="A273" s="19" t="s">
        <v>26</v>
      </c>
      <c r="B273" s="65"/>
      <c r="C273" s="134"/>
      <c r="D273" s="99"/>
      <c r="E273" s="99"/>
      <c r="F273" s="89"/>
      <c r="G273" s="169"/>
      <c r="H273" s="210"/>
      <c r="I273" s="230"/>
      <c r="J273" s="169"/>
      <c r="K273" s="249"/>
      <c r="L273" s="248"/>
      <c r="M273" s="292"/>
      <c r="N273" s="249"/>
      <c r="O273" s="248"/>
      <c r="P273" s="93"/>
      <c r="Q273" s="52"/>
    </row>
    <row r="274" spans="1:17" ht="12.75" hidden="1">
      <c r="A274" s="21" t="s">
        <v>89</v>
      </c>
      <c r="B274" s="65">
        <v>34544</v>
      </c>
      <c r="C274" s="134"/>
      <c r="D274" s="99"/>
      <c r="E274" s="99"/>
      <c r="F274" s="89">
        <f>C274+D274+E274</f>
        <v>0</v>
      </c>
      <c r="G274" s="169"/>
      <c r="H274" s="210"/>
      <c r="I274" s="230">
        <f>F274+G274+H274</f>
        <v>0</v>
      </c>
      <c r="J274" s="169"/>
      <c r="K274" s="249"/>
      <c r="L274" s="248">
        <f aca="true" t="shared" si="80" ref="L274:L279">I274+J274+K274</f>
        <v>0</v>
      </c>
      <c r="M274" s="292"/>
      <c r="N274" s="249"/>
      <c r="O274" s="248">
        <f aca="true" t="shared" si="81" ref="O274:O279">L274+M274+N274</f>
        <v>0</v>
      </c>
      <c r="P274" s="93"/>
      <c r="Q274" s="52">
        <f>O274+P274</f>
        <v>0</v>
      </c>
    </row>
    <row r="275" spans="1:17" ht="12.75">
      <c r="A275" s="21" t="s">
        <v>362</v>
      </c>
      <c r="B275" s="65">
        <v>34941</v>
      </c>
      <c r="C275" s="134"/>
      <c r="D275" s="99"/>
      <c r="E275" s="99"/>
      <c r="F275" s="89">
        <f>C275+D275+E275</f>
        <v>0</v>
      </c>
      <c r="G275" s="169">
        <f>93</f>
        <v>93</v>
      </c>
      <c r="H275" s="210"/>
      <c r="I275" s="230">
        <f>F275+G275+H275</f>
        <v>93</v>
      </c>
      <c r="J275" s="169"/>
      <c r="K275" s="249"/>
      <c r="L275" s="248">
        <f t="shared" si="80"/>
        <v>93</v>
      </c>
      <c r="M275" s="292"/>
      <c r="N275" s="249"/>
      <c r="O275" s="248">
        <f t="shared" si="81"/>
        <v>93</v>
      </c>
      <c r="P275" s="93"/>
      <c r="Q275" s="52"/>
    </row>
    <row r="276" spans="1:17" ht="12.75">
      <c r="A276" s="63" t="s">
        <v>373</v>
      </c>
      <c r="B276" s="65">
        <v>34502</v>
      </c>
      <c r="C276" s="134"/>
      <c r="D276" s="99"/>
      <c r="E276" s="99"/>
      <c r="F276" s="89"/>
      <c r="G276" s="169"/>
      <c r="H276" s="210"/>
      <c r="I276" s="230"/>
      <c r="J276" s="169"/>
      <c r="K276" s="249"/>
      <c r="L276" s="248">
        <f t="shared" si="80"/>
        <v>0</v>
      </c>
      <c r="M276" s="292">
        <f>496+3011.96</f>
        <v>3507.96</v>
      </c>
      <c r="N276" s="249"/>
      <c r="O276" s="248">
        <f t="shared" si="81"/>
        <v>3507.96</v>
      </c>
      <c r="P276" s="93"/>
      <c r="Q276" s="52"/>
    </row>
    <row r="277" spans="1:17" ht="12.75">
      <c r="A277" s="63" t="s">
        <v>83</v>
      </c>
      <c r="B277" s="65"/>
      <c r="C277" s="134">
        <v>2850</v>
      </c>
      <c r="D277" s="99"/>
      <c r="E277" s="99"/>
      <c r="F277" s="89">
        <f>C277+D277+E277</f>
        <v>2850</v>
      </c>
      <c r="G277" s="169"/>
      <c r="H277" s="210"/>
      <c r="I277" s="230">
        <f>F277+G277+H277</f>
        <v>2850</v>
      </c>
      <c r="J277" s="169"/>
      <c r="K277" s="249"/>
      <c r="L277" s="248">
        <f t="shared" si="80"/>
        <v>2850</v>
      </c>
      <c r="M277" s="292">
        <f>1212.99</f>
        <v>1212.99</v>
      </c>
      <c r="N277" s="249"/>
      <c r="O277" s="248">
        <f t="shared" si="81"/>
        <v>4062.99</v>
      </c>
      <c r="P277" s="93"/>
      <c r="Q277" s="52">
        <f>O277+P277</f>
        <v>4062.99</v>
      </c>
    </row>
    <row r="278" spans="1:17" ht="12.75">
      <c r="A278" s="132" t="s">
        <v>53</v>
      </c>
      <c r="B278" s="68"/>
      <c r="C278" s="195">
        <v>530</v>
      </c>
      <c r="D278" s="148">
        <f>3370</f>
        <v>3370</v>
      </c>
      <c r="E278" s="148"/>
      <c r="F278" s="159">
        <f>C278+D278+E278</f>
        <v>3900</v>
      </c>
      <c r="G278" s="174">
        <f>-200</f>
        <v>-200</v>
      </c>
      <c r="H278" s="216">
        <f>-3100</f>
        <v>-3100</v>
      </c>
      <c r="I278" s="235">
        <f>F278+G278+H278</f>
        <v>600</v>
      </c>
      <c r="J278" s="174"/>
      <c r="K278" s="258"/>
      <c r="L278" s="259">
        <f t="shared" si="80"/>
        <v>600</v>
      </c>
      <c r="M278" s="302"/>
      <c r="N278" s="258"/>
      <c r="O278" s="259">
        <f t="shared" si="81"/>
        <v>600</v>
      </c>
      <c r="P278" s="93"/>
      <c r="Q278" s="52">
        <f>O278+P278</f>
        <v>600</v>
      </c>
    </row>
    <row r="279" spans="1:17" ht="12.75" hidden="1">
      <c r="A279" s="28" t="s">
        <v>76</v>
      </c>
      <c r="B279" s="68"/>
      <c r="C279" s="195"/>
      <c r="D279" s="148"/>
      <c r="E279" s="148"/>
      <c r="F279" s="159">
        <f>C279+D279+E279</f>
        <v>0</v>
      </c>
      <c r="G279" s="174"/>
      <c r="H279" s="216"/>
      <c r="I279" s="235">
        <f>F279+G279+H279</f>
        <v>0</v>
      </c>
      <c r="J279" s="174"/>
      <c r="K279" s="258"/>
      <c r="L279" s="259">
        <f t="shared" si="80"/>
        <v>0</v>
      </c>
      <c r="M279" s="302"/>
      <c r="N279" s="258"/>
      <c r="O279" s="259">
        <f t="shared" si="81"/>
        <v>0</v>
      </c>
      <c r="P279" s="295"/>
      <c r="Q279" s="54">
        <f>O279+P279</f>
        <v>0</v>
      </c>
    </row>
    <row r="280" spans="1:28" ht="12.75">
      <c r="A280" s="14" t="s">
        <v>279</v>
      </c>
      <c r="B280" s="69"/>
      <c r="C280" s="133">
        <f>C281+C284</f>
        <v>1365.7</v>
      </c>
      <c r="D280" s="86">
        <f>D281+D284</f>
        <v>160</v>
      </c>
      <c r="E280" s="86">
        <f>E281+E286</f>
        <v>0</v>
      </c>
      <c r="F280" s="94">
        <f>F281+F284</f>
        <v>1525.7</v>
      </c>
      <c r="G280" s="168">
        <f aca="true" t="shared" si="82" ref="G280:Q280">G281+G284</f>
        <v>0</v>
      </c>
      <c r="H280" s="209">
        <f t="shared" si="82"/>
        <v>-485.7</v>
      </c>
      <c r="I280" s="229">
        <f t="shared" si="82"/>
        <v>1040</v>
      </c>
      <c r="J280" s="168">
        <f t="shared" si="82"/>
        <v>0</v>
      </c>
      <c r="K280" s="246">
        <f t="shared" si="82"/>
        <v>0</v>
      </c>
      <c r="L280" s="247">
        <f t="shared" si="82"/>
        <v>1040</v>
      </c>
      <c r="M280" s="309">
        <f>M281+M284</f>
        <v>-18.2</v>
      </c>
      <c r="N280" s="246">
        <f>N281+N284</f>
        <v>0</v>
      </c>
      <c r="O280" s="247">
        <f>O281+O284</f>
        <v>1021.8</v>
      </c>
      <c r="P280" s="106">
        <f t="shared" si="82"/>
        <v>0</v>
      </c>
      <c r="Q280" s="106">
        <f t="shared" si="82"/>
        <v>0</v>
      </c>
      <c r="AA280" s="135"/>
      <c r="AB280" s="94"/>
    </row>
    <row r="281" spans="1:17" ht="12.75">
      <c r="A281" s="23" t="s">
        <v>48</v>
      </c>
      <c r="B281" s="69"/>
      <c r="C281" s="137">
        <f>SUM(C283:C283)</f>
        <v>1365.7</v>
      </c>
      <c r="D281" s="102">
        <f>SUM(D283:D283)</f>
        <v>160</v>
      </c>
      <c r="E281" s="102">
        <f>SUM(E283:E283)</f>
        <v>0</v>
      </c>
      <c r="F281" s="120">
        <f>SUM(F283:F283)</f>
        <v>1525.7</v>
      </c>
      <c r="G281" s="171">
        <f aca="true" t="shared" si="83" ref="G281:Q281">SUM(G283:G283)</f>
        <v>0</v>
      </c>
      <c r="H281" s="214">
        <f t="shared" si="83"/>
        <v>-485.7</v>
      </c>
      <c r="I281" s="233">
        <f t="shared" si="83"/>
        <v>1040</v>
      </c>
      <c r="J281" s="171">
        <f t="shared" si="83"/>
        <v>0</v>
      </c>
      <c r="K281" s="254">
        <f t="shared" si="83"/>
        <v>0</v>
      </c>
      <c r="L281" s="255">
        <f t="shared" si="83"/>
        <v>1040</v>
      </c>
      <c r="M281" s="315">
        <f>SUM(M283:M283)</f>
        <v>-18.2</v>
      </c>
      <c r="N281" s="254">
        <f>SUM(N283:N283)</f>
        <v>0</v>
      </c>
      <c r="O281" s="255">
        <f>SUM(O283:O283)</f>
        <v>1021.8</v>
      </c>
      <c r="P281" s="112">
        <f t="shared" si="83"/>
        <v>0</v>
      </c>
      <c r="Q281" s="112">
        <f t="shared" si="83"/>
        <v>0</v>
      </c>
    </row>
    <row r="282" spans="1:17" ht="12.75">
      <c r="A282" s="19" t="s">
        <v>26</v>
      </c>
      <c r="B282" s="65"/>
      <c r="C282" s="134"/>
      <c r="D282" s="99"/>
      <c r="E282" s="99"/>
      <c r="F282" s="89"/>
      <c r="G282" s="169"/>
      <c r="H282" s="210"/>
      <c r="I282" s="230"/>
      <c r="J282" s="169"/>
      <c r="K282" s="249"/>
      <c r="L282" s="248"/>
      <c r="M282" s="292"/>
      <c r="N282" s="249"/>
      <c r="O282" s="248"/>
      <c r="P282" s="93"/>
      <c r="Q282" s="52"/>
    </row>
    <row r="283" spans="1:17" ht="12.75">
      <c r="A283" s="20" t="s">
        <v>50</v>
      </c>
      <c r="B283" s="68"/>
      <c r="C283" s="195">
        <v>1365.7</v>
      </c>
      <c r="D283" s="148">
        <f>-40+200</f>
        <v>160</v>
      </c>
      <c r="E283" s="148"/>
      <c r="F283" s="159">
        <f>C283+D283+E283</f>
        <v>1525.7</v>
      </c>
      <c r="G283" s="174"/>
      <c r="H283" s="216">
        <f>-485.7</f>
        <v>-485.7</v>
      </c>
      <c r="I283" s="235">
        <f>F283+G283+H283</f>
        <v>1040</v>
      </c>
      <c r="J283" s="174"/>
      <c r="K283" s="258"/>
      <c r="L283" s="259">
        <f>I283+J283+K283</f>
        <v>1040</v>
      </c>
      <c r="M283" s="302">
        <f>-18.2</f>
        <v>-18.2</v>
      </c>
      <c r="N283" s="258"/>
      <c r="O283" s="259">
        <f>L283+M283+N283</f>
        <v>1021.8</v>
      </c>
      <c r="P283" s="93"/>
      <c r="Q283" s="52"/>
    </row>
    <row r="284" spans="1:17" ht="12.75" hidden="1">
      <c r="A284" s="23" t="s">
        <v>52</v>
      </c>
      <c r="B284" s="69"/>
      <c r="C284" s="137">
        <f>C286</f>
        <v>0</v>
      </c>
      <c r="D284" s="102">
        <f>D286</f>
        <v>0</v>
      </c>
      <c r="E284" s="83">
        <f aca="true" t="shared" si="84" ref="E284:Q284">E286</f>
        <v>0</v>
      </c>
      <c r="F284" s="160">
        <f t="shared" si="84"/>
        <v>0</v>
      </c>
      <c r="G284" s="171">
        <f t="shared" si="84"/>
        <v>0</v>
      </c>
      <c r="H284" s="214">
        <f t="shared" si="84"/>
        <v>0</v>
      </c>
      <c r="I284" s="233">
        <f t="shared" si="84"/>
        <v>0</v>
      </c>
      <c r="J284" s="171">
        <f t="shared" si="84"/>
        <v>0</v>
      </c>
      <c r="K284" s="254">
        <f t="shared" si="84"/>
        <v>0</v>
      </c>
      <c r="L284" s="255">
        <f t="shared" si="84"/>
        <v>0</v>
      </c>
      <c r="M284" s="315">
        <f t="shared" si="84"/>
        <v>0</v>
      </c>
      <c r="N284" s="254">
        <f t="shared" si="84"/>
        <v>0</v>
      </c>
      <c r="O284" s="255">
        <f t="shared" si="84"/>
        <v>0</v>
      </c>
      <c r="P284" s="102">
        <f t="shared" si="84"/>
        <v>0</v>
      </c>
      <c r="Q284" s="83">
        <f t="shared" si="84"/>
        <v>0</v>
      </c>
    </row>
    <row r="285" spans="1:17" ht="12.75" hidden="1">
      <c r="A285" s="19" t="s">
        <v>26</v>
      </c>
      <c r="B285" s="65"/>
      <c r="C285" s="134"/>
      <c r="D285" s="99"/>
      <c r="E285" s="99"/>
      <c r="F285" s="89"/>
      <c r="G285" s="169"/>
      <c r="H285" s="210"/>
      <c r="I285" s="230"/>
      <c r="J285" s="169"/>
      <c r="K285" s="249"/>
      <c r="L285" s="248"/>
      <c r="M285" s="292"/>
      <c r="N285" s="249"/>
      <c r="O285" s="248"/>
      <c r="P285" s="93"/>
      <c r="Q285" s="52"/>
    </row>
    <row r="286" spans="1:17" ht="12.75" hidden="1">
      <c r="A286" s="132" t="s">
        <v>53</v>
      </c>
      <c r="B286" s="68"/>
      <c r="C286" s="195"/>
      <c r="D286" s="148"/>
      <c r="E286" s="148"/>
      <c r="F286" s="159">
        <f>C286+D286+E286</f>
        <v>0</v>
      </c>
      <c r="G286" s="169"/>
      <c r="H286" s="210"/>
      <c r="I286" s="230">
        <f>F286+G286+H286</f>
        <v>0</v>
      </c>
      <c r="J286" s="169"/>
      <c r="K286" s="249"/>
      <c r="L286" s="248">
        <f>I286+J286+K286</f>
        <v>0</v>
      </c>
      <c r="M286" s="292"/>
      <c r="N286" s="249"/>
      <c r="O286" s="248">
        <f>L286+M286+N286</f>
        <v>0</v>
      </c>
      <c r="P286" s="93"/>
      <c r="Q286" s="52">
        <f>O286+P286</f>
        <v>0</v>
      </c>
    </row>
    <row r="287" spans="1:17" ht="12.75">
      <c r="A287" s="14" t="s">
        <v>47</v>
      </c>
      <c r="B287" s="67"/>
      <c r="C287" s="133">
        <f>C288+C302</f>
        <v>63729.03999999999</v>
      </c>
      <c r="D287" s="86">
        <f>D288+D302</f>
        <v>208525.06</v>
      </c>
      <c r="E287" s="86">
        <f>E288+E302</f>
        <v>10000</v>
      </c>
      <c r="F287" s="94">
        <f>F288+F302</f>
        <v>282254.1</v>
      </c>
      <c r="G287" s="168">
        <f aca="true" t="shared" si="85" ref="G287:Q287">G288+G302</f>
        <v>-130000</v>
      </c>
      <c r="H287" s="209">
        <f t="shared" si="85"/>
        <v>3350</v>
      </c>
      <c r="I287" s="229">
        <f t="shared" si="85"/>
        <v>155604.09999999998</v>
      </c>
      <c r="J287" s="168">
        <f t="shared" si="85"/>
        <v>32.179999999999836</v>
      </c>
      <c r="K287" s="246">
        <f t="shared" si="85"/>
        <v>0</v>
      </c>
      <c r="L287" s="247">
        <f t="shared" si="85"/>
        <v>155636.27999999997</v>
      </c>
      <c r="M287" s="309">
        <f>M288+M302</f>
        <v>0</v>
      </c>
      <c r="N287" s="246">
        <f>N288+N302</f>
        <v>0</v>
      </c>
      <c r="O287" s="247">
        <f>O288+O302</f>
        <v>155636.27999999997</v>
      </c>
      <c r="P287" s="106">
        <f t="shared" si="85"/>
        <v>0</v>
      </c>
      <c r="Q287" s="106">
        <f t="shared" si="85"/>
        <v>54419.03999999999</v>
      </c>
    </row>
    <row r="288" spans="1:17" ht="12.75">
      <c r="A288" s="23" t="s">
        <v>48</v>
      </c>
      <c r="B288" s="67"/>
      <c r="C288" s="137">
        <f>SUM(C290:C301)</f>
        <v>63729.03999999999</v>
      </c>
      <c r="D288" s="102">
        <f>SUM(D290:D301)</f>
        <v>204113</v>
      </c>
      <c r="E288" s="102">
        <f>SUM(E290:E301)</f>
        <v>10000</v>
      </c>
      <c r="F288" s="120">
        <f>SUM(F290:F301)</f>
        <v>277842.04</v>
      </c>
      <c r="G288" s="171">
        <f aca="true" t="shared" si="86" ref="G288:Q288">SUM(G290:G301)</f>
        <v>-130000</v>
      </c>
      <c r="H288" s="214">
        <f t="shared" si="86"/>
        <v>2990</v>
      </c>
      <c r="I288" s="233">
        <f t="shared" si="86"/>
        <v>150832.03999999998</v>
      </c>
      <c r="J288" s="171">
        <f t="shared" si="86"/>
        <v>-2167.82</v>
      </c>
      <c r="K288" s="254">
        <f t="shared" si="86"/>
        <v>0</v>
      </c>
      <c r="L288" s="255">
        <f t="shared" si="86"/>
        <v>148664.21999999997</v>
      </c>
      <c r="M288" s="315">
        <f>SUM(M290:M301)</f>
        <v>0</v>
      </c>
      <c r="N288" s="254">
        <f>SUM(N290:N301)</f>
        <v>0</v>
      </c>
      <c r="O288" s="255">
        <f>SUM(O290:O301)</f>
        <v>148664.21999999997</v>
      </c>
      <c r="P288" s="112">
        <f t="shared" si="86"/>
        <v>0</v>
      </c>
      <c r="Q288" s="112">
        <f t="shared" si="86"/>
        <v>54419.03999999999</v>
      </c>
    </row>
    <row r="289" spans="1:17" ht="12.75">
      <c r="A289" s="19" t="s">
        <v>26</v>
      </c>
      <c r="B289" s="48"/>
      <c r="C289" s="134"/>
      <c r="D289" s="99"/>
      <c r="E289" s="99"/>
      <c r="F289" s="89"/>
      <c r="G289" s="169"/>
      <c r="H289" s="210"/>
      <c r="I289" s="230"/>
      <c r="J289" s="169"/>
      <c r="K289" s="249"/>
      <c r="L289" s="248"/>
      <c r="M289" s="292"/>
      <c r="N289" s="249"/>
      <c r="O289" s="248"/>
      <c r="P289" s="93"/>
      <c r="Q289" s="52"/>
    </row>
    <row r="290" spans="1:17" ht="12.75">
      <c r="A290" s="17" t="s">
        <v>133</v>
      </c>
      <c r="B290" s="65"/>
      <c r="C290" s="134">
        <v>28272.67</v>
      </c>
      <c r="D290" s="99"/>
      <c r="E290" s="99"/>
      <c r="F290" s="89">
        <f aca="true" t="shared" si="87" ref="F290:F301">C290+D290+E290</f>
        <v>28272.67</v>
      </c>
      <c r="G290" s="169"/>
      <c r="H290" s="210"/>
      <c r="I290" s="230">
        <f aca="true" t="shared" si="88" ref="I290:I301">F290+G290+H290</f>
        <v>28272.67</v>
      </c>
      <c r="J290" s="169"/>
      <c r="K290" s="249"/>
      <c r="L290" s="248">
        <f>I290+J290+K290</f>
        <v>28272.67</v>
      </c>
      <c r="M290" s="292"/>
      <c r="N290" s="249"/>
      <c r="O290" s="248">
        <f>L290+M290+N290</f>
        <v>28272.67</v>
      </c>
      <c r="P290" s="93"/>
      <c r="Q290" s="52">
        <f>O290+P290</f>
        <v>28272.67</v>
      </c>
    </row>
    <row r="291" spans="1:17" ht="12.75">
      <c r="A291" s="17" t="s">
        <v>49</v>
      </c>
      <c r="B291" s="65"/>
      <c r="C291" s="134">
        <v>7192.59</v>
      </c>
      <c r="D291" s="99"/>
      <c r="E291" s="99"/>
      <c r="F291" s="89">
        <f t="shared" si="87"/>
        <v>7192.59</v>
      </c>
      <c r="G291" s="169"/>
      <c r="H291" s="210"/>
      <c r="I291" s="230">
        <f t="shared" si="88"/>
        <v>7192.59</v>
      </c>
      <c r="J291" s="169"/>
      <c r="K291" s="249"/>
      <c r="L291" s="248">
        <f>I291+J291+K291</f>
        <v>7192.59</v>
      </c>
      <c r="M291" s="292"/>
      <c r="N291" s="249"/>
      <c r="O291" s="248">
        <f>L291+M291+N291</f>
        <v>7192.59</v>
      </c>
      <c r="P291" s="93"/>
      <c r="Q291" s="52">
        <f>O291+P291</f>
        <v>7192.59</v>
      </c>
    </row>
    <row r="292" spans="1:17" ht="12.75">
      <c r="A292" s="17" t="s">
        <v>246</v>
      </c>
      <c r="B292" s="65"/>
      <c r="C292" s="134">
        <v>1450</v>
      </c>
      <c r="D292" s="99"/>
      <c r="E292" s="99"/>
      <c r="F292" s="89">
        <f t="shared" si="87"/>
        <v>1450</v>
      </c>
      <c r="G292" s="169"/>
      <c r="H292" s="210"/>
      <c r="I292" s="230">
        <f t="shared" si="88"/>
        <v>1450</v>
      </c>
      <c r="J292" s="169"/>
      <c r="K292" s="249"/>
      <c r="L292" s="248">
        <f>I292+J292+K292</f>
        <v>1450</v>
      </c>
      <c r="M292" s="292"/>
      <c r="N292" s="249"/>
      <c r="O292" s="248">
        <f>L292+M292+N292</f>
        <v>1450</v>
      </c>
      <c r="P292" s="93"/>
      <c r="Q292" s="52">
        <f>O292+P292</f>
        <v>1450</v>
      </c>
    </row>
    <row r="293" spans="1:17" ht="13.5" thickBot="1">
      <c r="A293" s="342" t="s">
        <v>50</v>
      </c>
      <c r="B293" s="330"/>
      <c r="C293" s="331">
        <v>16713.78</v>
      </c>
      <c r="D293" s="332">
        <f>1300</f>
        <v>1300</v>
      </c>
      <c r="E293" s="332"/>
      <c r="F293" s="333">
        <f t="shared" si="87"/>
        <v>18013.78</v>
      </c>
      <c r="G293" s="334"/>
      <c r="H293" s="335">
        <f>-650</f>
        <v>-650</v>
      </c>
      <c r="I293" s="336">
        <f t="shared" si="88"/>
        <v>17363.78</v>
      </c>
      <c r="J293" s="334"/>
      <c r="K293" s="337"/>
      <c r="L293" s="338">
        <f>I293+J293+K293</f>
        <v>17363.78</v>
      </c>
      <c r="M293" s="341"/>
      <c r="N293" s="337"/>
      <c r="O293" s="338">
        <f>L293+M293+N293</f>
        <v>17363.78</v>
      </c>
      <c r="P293" s="93"/>
      <c r="Q293" s="52">
        <f>O293+P293</f>
        <v>17363.78</v>
      </c>
    </row>
    <row r="294" spans="1:17" ht="12.75" hidden="1">
      <c r="A294" s="17" t="s">
        <v>76</v>
      </c>
      <c r="B294" s="65"/>
      <c r="C294" s="134"/>
      <c r="D294" s="99"/>
      <c r="E294" s="99"/>
      <c r="F294" s="89">
        <f t="shared" si="87"/>
        <v>0</v>
      </c>
      <c r="G294" s="169"/>
      <c r="H294" s="210"/>
      <c r="I294" s="230">
        <f t="shared" si="88"/>
        <v>0</v>
      </c>
      <c r="J294" s="169"/>
      <c r="K294" s="249"/>
      <c r="L294" s="248"/>
      <c r="M294" s="292"/>
      <c r="N294" s="249"/>
      <c r="O294" s="248"/>
      <c r="P294" s="93"/>
      <c r="Q294" s="52"/>
    </row>
    <row r="295" spans="1:17" ht="12.75">
      <c r="A295" s="17" t="s">
        <v>347</v>
      </c>
      <c r="B295" s="65"/>
      <c r="C295" s="134">
        <v>500</v>
      </c>
      <c r="D295" s="99"/>
      <c r="E295" s="99"/>
      <c r="F295" s="89">
        <f t="shared" si="87"/>
        <v>500</v>
      </c>
      <c r="G295" s="169"/>
      <c r="H295" s="210">
        <f>-360</f>
        <v>-360</v>
      </c>
      <c r="I295" s="230">
        <f t="shared" si="88"/>
        <v>140</v>
      </c>
      <c r="J295" s="169"/>
      <c r="K295" s="249"/>
      <c r="L295" s="248">
        <f aca="true" t="shared" si="89" ref="L295:L301">I295+J295+K295</f>
        <v>140</v>
      </c>
      <c r="M295" s="292"/>
      <c r="N295" s="249"/>
      <c r="O295" s="248">
        <f aca="true" t="shared" si="90" ref="O295:O301">L295+M295+N295</f>
        <v>140</v>
      </c>
      <c r="P295" s="93"/>
      <c r="Q295" s="52">
        <f>O295+P295</f>
        <v>140</v>
      </c>
    </row>
    <row r="296" spans="1:17" ht="12.75">
      <c r="A296" s="17" t="s">
        <v>329</v>
      </c>
      <c r="B296" s="65"/>
      <c r="C296" s="134"/>
      <c r="D296" s="99">
        <v>200000</v>
      </c>
      <c r="E296" s="99">
        <v>10000</v>
      </c>
      <c r="F296" s="89">
        <f t="shared" si="87"/>
        <v>210000</v>
      </c>
      <c r="G296" s="169">
        <f>-140000</f>
        <v>-140000</v>
      </c>
      <c r="H296" s="210">
        <f>-3000</f>
        <v>-3000</v>
      </c>
      <c r="I296" s="230">
        <f t="shared" si="88"/>
        <v>67000</v>
      </c>
      <c r="J296" s="169"/>
      <c r="K296" s="249"/>
      <c r="L296" s="248">
        <f t="shared" si="89"/>
        <v>67000</v>
      </c>
      <c r="M296" s="292"/>
      <c r="N296" s="249"/>
      <c r="O296" s="248">
        <f t="shared" si="90"/>
        <v>67000</v>
      </c>
      <c r="P296" s="93"/>
      <c r="Q296" s="52"/>
    </row>
    <row r="297" spans="1:17" ht="12.75">
      <c r="A297" s="17" t="s">
        <v>330</v>
      </c>
      <c r="B297" s="65">
        <v>98022</v>
      </c>
      <c r="C297" s="134"/>
      <c r="D297" s="99"/>
      <c r="E297" s="99"/>
      <c r="F297" s="89">
        <f t="shared" si="87"/>
        <v>0</v>
      </c>
      <c r="G297" s="169">
        <f>10000</f>
        <v>10000</v>
      </c>
      <c r="H297" s="210"/>
      <c r="I297" s="230">
        <f t="shared" si="88"/>
        <v>10000</v>
      </c>
      <c r="J297" s="169"/>
      <c r="K297" s="249"/>
      <c r="L297" s="248">
        <f t="shared" si="89"/>
        <v>10000</v>
      </c>
      <c r="M297" s="292"/>
      <c r="N297" s="249"/>
      <c r="O297" s="248">
        <f t="shared" si="90"/>
        <v>10000</v>
      </c>
      <c r="P297" s="93"/>
      <c r="Q297" s="52"/>
    </row>
    <row r="298" spans="1:17" ht="12.75">
      <c r="A298" s="17" t="s">
        <v>357</v>
      </c>
      <c r="B298" s="65">
        <v>13351</v>
      </c>
      <c r="C298" s="134"/>
      <c r="D298" s="99"/>
      <c r="E298" s="99"/>
      <c r="F298" s="89"/>
      <c r="G298" s="169"/>
      <c r="H298" s="210"/>
      <c r="I298" s="230">
        <f t="shared" si="88"/>
        <v>0</v>
      </c>
      <c r="J298" s="169">
        <f>32.18</f>
        <v>32.18</v>
      </c>
      <c r="K298" s="249"/>
      <c r="L298" s="248">
        <f t="shared" si="89"/>
        <v>32.18</v>
      </c>
      <c r="M298" s="292"/>
      <c r="N298" s="249"/>
      <c r="O298" s="248">
        <f t="shared" si="90"/>
        <v>32.18</v>
      </c>
      <c r="P298" s="93"/>
      <c r="Q298" s="52"/>
    </row>
    <row r="299" spans="1:17" ht="12.75">
      <c r="A299" s="17" t="s">
        <v>247</v>
      </c>
      <c r="B299" s="65"/>
      <c r="C299" s="134">
        <v>9000</v>
      </c>
      <c r="D299" s="99">
        <f>2600+40</f>
        <v>2640</v>
      </c>
      <c r="E299" s="99"/>
      <c r="F299" s="89">
        <f t="shared" si="87"/>
        <v>11640</v>
      </c>
      <c r="G299" s="169"/>
      <c r="H299" s="210">
        <f>4000</f>
        <v>4000</v>
      </c>
      <c r="I299" s="230">
        <f t="shared" si="88"/>
        <v>15640</v>
      </c>
      <c r="J299" s="169">
        <f>-2200</f>
        <v>-2200</v>
      </c>
      <c r="K299" s="249"/>
      <c r="L299" s="248">
        <f t="shared" si="89"/>
        <v>13440</v>
      </c>
      <c r="M299" s="292"/>
      <c r="N299" s="249"/>
      <c r="O299" s="248">
        <f t="shared" si="90"/>
        <v>13440</v>
      </c>
      <c r="P299" s="93"/>
      <c r="Q299" s="52"/>
    </row>
    <row r="300" spans="1:17" ht="12.75">
      <c r="A300" s="17" t="s">
        <v>248</v>
      </c>
      <c r="B300" s="65"/>
      <c r="C300" s="134">
        <v>600</v>
      </c>
      <c r="D300" s="99">
        <f>173</f>
        <v>173</v>
      </c>
      <c r="E300" s="99"/>
      <c r="F300" s="89">
        <f t="shared" si="87"/>
        <v>773</v>
      </c>
      <c r="G300" s="169"/>
      <c r="H300" s="210">
        <f>3000</f>
        <v>3000</v>
      </c>
      <c r="I300" s="230">
        <f t="shared" si="88"/>
        <v>3773</v>
      </c>
      <c r="J300" s="169"/>
      <c r="K300" s="249"/>
      <c r="L300" s="248">
        <f t="shared" si="89"/>
        <v>3773</v>
      </c>
      <c r="M300" s="292"/>
      <c r="N300" s="249"/>
      <c r="O300" s="248">
        <f t="shared" si="90"/>
        <v>3773</v>
      </c>
      <c r="P300" s="93"/>
      <c r="Q300" s="52"/>
    </row>
    <row r="301" spans="1:17" ht="12.75" hidden="1">
      <c r="A301" s="17" t="s">
        <v>51</v>
      </c>
      <c r="B301" s="65"/>
      <c r="C301" s="134"/>
      <c r="D301" s="99"/>
      <c r="E301" s="99"/>
      <c r="F301" s="89">
        <f t="shared" si="87"/>
        <v>0</v>
      </c>
      <c r="G301" s="169"/>
      <c r="H301" s="210"/>
      <c r="I301" s="230">
        <f t="shared" si="88"/>
        <v>0</v>
      </c>
      <c r="J301" s="169"/>
      <c r="K301" s="249"/>
      <c r="L301" s="248">
        <f t="shared" si="89"/>
        <v>0</v>
      </c>
      <c r="M301" s="292"/>
      <c r="N301" s="249"/>
      <c r="O301" s="248">
        <f t="shared" si="90"/>
        <v>0</v>
      </c>
      <c r="P301" s="93"/>
      <c r="Q301" s="52">
        <f>O301+P301</f>
        <v>0</v>
      </c>
    </row>
    <row r="302" spans="1:17" ht="12.75">
      <c r="A302" s="24" t="s">
        <v>52</v>
      </c>
      <c r="B302" s="69"/>
      <c r="C302" s="138">
        <f aca="true" t="shared" si="91" ref="C302:Q302">SUM(C304:C309)</f>
        <v>0</v>
      </c>
      <c r="D302" s="103">
        <f t="shared" si="91"/>
        <v>4412.0599999999995</v>
      </c>
      <c r="E302" s="103">
        <f t="shared" si="91"/>
        <v>0</v>
      </c>
      <c r="F302" s="121">
        <f t="shared" si="91"/>
        <v>4412.0599999999995</v>
      </c>
      <c r="G302" s="172">
        <f t="shared" si="91"/>
        <v>0</v>
      </c>
      <c r="H302" s="215">
        <f t="shared" si="91"/>
        <v>360</v>
      </c>
      <c r="I302" s="234">
        <f t="shared" si="91"/>
        <v>4772.0599999999995</v>
      </c>
      <c r="J302" s="172">
        <f t="shared" si="91"/>
        <v>2200</v>
      </c>
      <c r="K302" s="256">
        <f t="shared" si="91"/>
        <v>0</v>
      </c>
      <c r="L302" s="257">
        <f t="shared" si="91"/>
        <v>6972.0599999999995</v>
      </c>
      <c r="M302" s="316">
        <f t="shared" si="91"/>
        <v>0</v>
      </c>
      <c r="N302" s="256">
        <f t="shared" si="91"/>
        <v>0</v>
      </c>
      <c r="O302" s="257">
        <f t="shared" si="91"/>
        <v>6972.0599999999995</v>
      </c>
      <c r="P302" s="103">
        <f t="shared" si="91"/>
        <v>0</v>
      </c>
      <c r="Q302" s="138">
        <f t="shared" si="91"/>
        <v>0</v>
      </c>
    </row>
    <row r="303" spans="1:17" ht="12.75">
      <c r="A303" s="15" t="s">
        <v>26</v>
      </c>
      <c r="B303" s="65"/>
      <c r="C303" s="136"/>
      <c r="D303" s="100"/>
      <c r="E303" s="100"/>
      <c r="F303" s="87"/>
      <c r="G303" s="173"/>
      <c r="H303" s="212"/>
      <c r="I303" s="231"/>
      <c r="J303" s="173"/>
      <c r="K303" s="251"/>
      <c r="L303" s="158"/>
      <c r="M303" s="312"/>
      <c r="N303" s="251"/>
      <c r="O303" s="158"/>
      <c r="P303" s="93"/>
      <c r="Q303" s="52"/>
    </row>
    <row r="304" spans="1:17" ht="12.75" hidden="1">
      <c r="A304" s="17" t="s">
        <v>152</v>
      </c>
      <c r="B304" s="65"/>
      <c r="C304" s="134"/>
      <c r="D304" s="99"/>
      <c r="E304" s="99"/>
      <c r="F304" s="89">
        <f aca="true" t="shared" si="92" ref="F304:F309">C304+D304+E304</f>
        <v>0</v>
      </c>
      <c r="G304" s="169"/>
      <c r="H304" s="210"/>
      <c r="I304" s="230">
        <f aca="true" t="shared" si="93" ref="I304:I309">F304+G304+H304</f>
        <v>0</v>
      </c>
      <c r="J304" s="169"/>
      <c r="K304" s="249"/>
      <c r="L304" s="248">
        <f aca="true" t="shared" si="94" ref="L304:L309">I304+J304+K304</f>
        <v>0</v>
      </c>
      <c r="M304" s="292"/>
      <c r="N304" s="249"/>
      <c r="O304" s="248">
        <f aca="true" t="shared" si="95" ref="O304:O309">L304+M304+N304</f>
        <v>0</v>
      </c>
      <c r="P304" s="93"/>
      <c r="Q304" s="52">
        <f>O304+P304</f>
        <v>0</v>
      </c>
    </row>
    <row r="305" spans="1:17" ht="12.75">
      <c r="A305" s="17" t="s">
        <v>347</v>
      </c>
      <c r="B305" s="65"/>
      <c r="C305" s="134"/>
      <c r="D305" s="99"/>
      <c r="E305" s="99"/>
      <c r="F305" s="89">
        <f t="shared" si="92"/>
        <v>0</v>
      </c>
      <c r="G305" s="169"/>
      <c r="H305" s="210">
        <f>360</f>
        <v>360</v>
      </c>
      <c r="I305" s="230">
        <f t="shared" si="93"/>
        <v>360</v>
      </c>
      <c r="J305" s="169"/>
      <c r="K305" s="249"/>
      <c r="L305" s="248">
        <f t="shared" si="94"/>
        <v>360</v>
      </c>
      <c r="M305" s="292"/>
      <c r="N305" s="249"/>
      <c r="O305" s="248">
        <f t="shared" si="95"/>
        <v>360</v>
      </c>
      <c r="P305" s="93"/>
      <c r="Q305" s="52"/>
    </row>
    <row r="306" spans="1:17" ht="12.75">
      <c r="A306" s="17" t="s">
        <v>247</v>
      </c>
      <c r="B306" s="65"/>
      <c r="C306" s="134"/>
      <c r="D306" s="99">
        <f>321+450</f>
        <v>771</v>
      </c>
      <c r="E306" s="99"/>
      <c r="F306" s="89">
        <f t="shared" si="92"/>
        <v>771</v>
      </c>
      <c r="G306" s="169"/>
      <c r="H306" s="210"/>
      <c r="I306" s="230">
        <f t="shared" si="93"/>
        <v>771</v>
      </c>
      <c r="J306" s="169">
        <f>2200</f>
        <v>2200</v>
      </c>
      <c r="K306" s="249"/>
      <c r="L306" s="248">
        <f t="shared" si="94"/>
        <v>2971</v>
      </c>
      <c r="M306" s="292"/>
      <c r="N306" s="249"/>
      <c r="O306" s="248">
        <f t="shared" si="95"/>
        <v>2971</v>
      </c>
      <c r="P306" s="93"/>
      <c r="Q306" s="52"/>
    </row>
    <row r="307" spans="1:17" ht="12.75">
      <c r="A307" s="20" t="s">
        <v>248</v>
      </c>
      <c r="B307" s="68"/>
      <c r="C307" s="195"/>
      <c r="D307" s="148">
        <f>3641.06</f>
        <v>3641.06</v>
      </c>
      <c r="E307" s="148"/>
      <c r="F307" s="159">
        <f t="shared" si="92"/>
        <v>3641.06</v>
      </c>
      <c r="G307" s="174"/>
      <c r="H307" s="216"/>
      <c r="I307" s="235">
        <f t="shared" si="93"/>
        <v>3641.06</v>
      </c>
      <c r="J307" s="174"/>
      <c r="K307" s="258"/>
      <c r="L307" s="259">
        <f t="shared" si="94"/>
        <v>3641.06</v>
      </c>
      <c r="M307" s="302"/>
      <c r="N307" s="258"/>
      <c r="O307" s="259">
        <f t="shared" si="95"/>
        <v>3641.06</v>
      </c>
      <c r="P307" s="93"/>
      <c r="Q307" s="52"/>
    </row>
    <row r="308" spans="1:17" ht="12.75" hidden="1">
      <c r="A308" s="17" t="s">
        <v>51</v>
      </c>
      <c r="B308" s="65"/>
      <c r="C308" s="134"/>
      <c r="D308" s="99"/>
      <c r="E308" s="99"/>
      <c r="F308" s="89">
        <f t="shared" si="92"/>
        <v>0</v>
      </c>
      <c r="G308" s="174"/>
      <c r="H308" s="216"/>
      <c r="I308" s="235">
        <f t="shared" si="93"/>
        <v>0</v>
      </c>
      <c r="J308" s="174"/>
      <c r="K308" s="258"/>
      <c r="L308" s="259">
        <f t="shared" si="94"/>
        <v>0</v>
      </c>
      <c r="M308" s="302"/>
      <c r="N308" s="258"/>
      <c r="O308" s="259">
        <f t="shared" si="95"/>
        <v>0</v>
      </c>
      <c r="P308" s="295"/>
      <c r="Q308" s="54">
        <f>O308+P308</f>
        <v>0</v>
      </c>
    </row>
    <row r="309" spans="1:17" ht="12.75" hidden="1">
      <c r="A309" s="20" t="s">
        <v>53</v>
      </c>
      <c r="B309" s="68"/>
      <c r="C309" s="195"/>
      <c r="D309" s="148"/>
      <c r="E309" s="148"/>
      <c r="F309" s="159">
        <f t="shared" si="92"/>
        <v>0</v>
      </c>
      <c r="G309" s="174"/>
      <c r="H309" s="216"/>
      <c r="I309" s="235">
        <f t="shared" si="93"/>
        <v>0</v>
      </c>
      <c r="J309" s="174"/>
      <c r="K309" s="258"/>
      <c r="L309" s="259">
        <f t="shared" si="94"/>
        <v>0</v>
      </c>
      <c r="M309" s="302"/>
      <c r="N309" s="258"/>
      <c r="O309" s="259">
        <f t="shared" si="95"/>
        <v>0</v>
      </c>
      <c r="P309" s="93"/>
      <c r="Q309" s="52">
        <f>O309+P309</f>
        <v>0</v>
      </c>
    </row>
    <row r="310" spans="1:17" ht="12.75">
      <c r="A310" s="14" t="s">
        <v>252</v>
      </c>
      <c r="B310" s="69"/>
      <c r="C310" s="133">
        <f aca="true" t="shared" si="96" ref="C310:Q310">C311+C330</f>
        <v>448158.94</v>
      </c>
      <c r="D310" s="86">
        <f t="shared" si="96"/>
        <v>11224.98</v>
      </c>
      <c r="E310" s="86">
        <f t="shared" si="96"/>
        <v>0</v>
      </c>
      <c r="F310" s="94">
        <f t="shared" si="96"/>
        <v>459383.92</v>
      </c>
      <c r="G310" s="168">
        <f t="shared" si="96"/>
        <v>2082.86</v>
      </c>
      <c r="H310" s="209">
        <f t="shared" si="96"/>
        <v>-5010</v>
      </c>
      <c r="I310" s="229">
        <f t="shared" si="96"/>
        <v>456456.77999999997</v>
      </c>
      <c r="J310" s="168">
        <f t="shared" si="96"/>
        <v>1027.3</v>
      </c>
      <c r="K310" s="246">
        <f t="shared" si="96"/>
        <v>0</v>
      </c>
      <c r="L310" s="247">
        <f t="shared" si="96"/>
        <v>457484.07999999996</v>
      </c>
      <c r="M310" s="309">
        <f>M311+M330</f>
        <v>798.65</v>
      </c>
      <c r="N310" s="246">
        <f>N311+N330</f>
        <v>0</v>
      </c>
      <c r="O310" s="247">
        <f>O311+O330</f>
        <v>458282.73</v>
      </c>
      <c r="P310" s="86">
        <f t="shared" si="96"/>
        <v>0</v>
      </c>
      <c r="Q310" s="133">
        <f t="shared" si="96"/>
        <v>456161.22</v>
      </c>
    </row>
    <row r="311" spans="1:17" ht="12.75">
      <c r="A311" s="23" t="s">
        <v>48</v>
      </c>
      <c r="B311" s="69"/>
      <c r="C311" s="137">
        <f aca="true" t="shared" si="97" ref="C311:Q311">SUM(C313:C329)</f>
        <v>448158.94</v>
      </c>
      <c r="D311" s="102">
        <f t="shared" si="97"/>
        <v>11224.98</v>
      </c>
      <c r="E311" s="102">
        <f t="shared" si="97"/>
        <v>0</v>
      </c>
      <c r="F311" s="120">
        <f t="shared" si="97"/>
        <v>459383.92</v>
      </c>
      <c r="G311" s="171">
        <f t="shared" si="97"/>
        <v>2082.86</v>
      </c>
      <c r="H311" s="214">
        <f t="shared" si="97"/>
        <v>-5010</v>
      </c>
      <c r="I311" s="233">
        <f t="shared" si="97"/>
        <v>456456.77999999997</v>
      </c>
      <c r="J311" s="171">
        <f t="shared" si="97"/>
        <v>1027.3</v>
      </c>
      <c r="K311" s="254">
        <f t="shared" si="97"/>
        <v>0</v>
      </c>
      <c r="L311" s="255">
        <f t="shared" si="97"/>
        <v>457484.07999999996</v>
      </c>
      <c r="M311" s="315">
        <f>SUM(M313:M329)</f>
        <v>798.65</v>
      </c>
      <c r="N311" s="254">
        <f>SUM(N313:N329)</f>
        <v>0</v>
      </c>
      <c r="O311" s="255">
        <f>SUM(O313:O329)</f>
        <v>458282.73</v>
      </c>
      <c r="P311" s="102">
        <f t="shared" si="97"/>
        <v>0</v>
      </c>
      <c r="Q311" s="137">
        <f t="shared" si="97"/>
        <v>456161.22</v>
      </c>
    </row>
    <row r="312" spans="1:17" ht="12.75">
      <c r="A312" s="19" t="s">
        <v>26</v>
      </c>
      <c r="B312" s="65"/>
      <c r="C312" s="134"/>
      <c r="D312" s="99"/>
      <c r="E312" s="99"/>
      <c r="F312" s="89"/>
      <c r="G312" s="169"/>
      <c r="H312" s="210"/>
      <c r="I312" s="230"/>
      <c r="J312" s="169"/>
      <c r="K312" s="249"/>
      <c r="L312" s="248"/>
      <c r="M312" s="292"/>
      <c r="N312" s="249"/>
      <c r="O312" s="248"/>
      <c r="P312" s="93"/>
      <c r="Q312" s="52"/>
    </row>
    <row r="313" spans="1:17" ht="12.75">
      <c r="A313" s="26" t="s">
        <v>134</v>
      </c>
      <c r="B313" s="65"/>
      <c r="C313" s="134">
        <v>237478.44</v>
      </c>
      <c r="D313" s="99"/>
      <c r="E313" s="99"/>
      <c r="F313" s="89">
        <f aca="true" t="shared" si="98" ref="F313:F329">C313+D313+E313</f>
        <v>237478.44</v>
      </c>
      <c r="G313" s="169">
        <f>320+120</f>
        <v>440</v>
      </c>
      <c r="H313" s="210"/>
      <c r="I313" s="230">
        <f>F313+G313+H313</f>
        <v>237918.44</v>
      </c>
      <c r="J313" s="169">
        <f>201.16</f>
        <v>201.16</v>
      </c>
      <c r="K313" s="249"/>
      <c r="L313" s="248">
        <f>I313+J313+K313</f>
        <v>238119.6</v>
      </c>
      <c r="M313" s="292"/>
      <c r="N313" s="249"/>
      <c r="O313" s="248">
        <f>L313+M313+N313</f>
        <v>238119.6</v>
      </c>
      <c r="P313" s="93"/>
      <c r="Q313" s="52">
        <f aca="true" t="shared" si="99" ref="Q313:Q320">O313+P313</f>
        <v>238119.6</v>
      </c>
    </row>
    <row r="314" spans="1:17" ht="12.75">
      <c r="A314" s="17" t="s">
        <v>49</v>
      </c>
      <c r="B314" s="65"/>
      <c r="C314" s="134">
        <v>80587.27</v>
      </c>
      <c r="D314" s="99"/>
      <c r="E314" s="99"/>
      <c r="F314" s="89">
        <f t="shared" si="98"/>
        <v>80587.27</v>
      </c>
      <c r="G314" s="169">
        <f>20</f>
        <v>20</v>
      </c>
      <c r="H314" s="210"/>
      <c r="I314" s="230">
        <f aca="true" t="shared" si="100" ref="I314:I325">F314+G314+H314</f>
        <v>80607.27</v>
      </c>
      <c r="J314" s="169">
        <f>68.84</f>
        <v>68.84</v>
      </c>
      <c r="K314" s="249"/>
      <c r="L314" s="248">
        <f aca="true" t="shared" si="101" ref="L314:L328">I314+J314+K314</f>
        <v>80676.11</v>
      </c>
      <c r="M314" s="292"/>
      <c r="N314" s="249"/>
      <c r="O314" s="248">
        <f aca="true" t="shared" si="102" ref="O314:O328">L314+M314+N314</f>
        <v>80676.11</v>
      </c>
      <c r="P314" s="93"/>
      <c r="Q314" s="52">
        <f t="shared" si="99"/>
        <v>80676.11</v>
      </c>
    </row>
    <row r="315" spans="1:17" ht="12.75">
      <c r="A315" s="17" t="s">
        <v>246</v>
      </c>
      <c r="B315" s="65"/>
      <c r="C315" s="134">
        <v>200</v>
      </c>
      <c r="D315" s="99"/>
      <c r="E315" s="99"/>
      <c r="F315" s="89">
        <f t="shared" si="98"/>
        <v>200</v>
      </c>
      <c r="G315" s="169"/>
      <c r="H315" s="210"/>
      <c r="I315" s="230">
        <f t="shared" si="100"/>
        <v>200</v>
      </c>
      <c r="J315" s="169"/>
      <c r="K315" s="249"/>
      <c r="L315" s="248">
        <f t="shared" si="101"/>
        <v>200</v>
      </c>
      <c r="M315" s="292"/>
      <c r="N315" s="249"/>
      <c r="O315" s="248">
        <f t="shared" si="102"/>
        <v>200</v>
      </c>
      <c r="P315" s="93"/>
      <c r="Q315" s="52">
        <f t="shared" si="99"/>
        <v>200</v>
      </c>
    </row>
    <row r="316" spans="1:17" ht="12.75">
      <c r="A316" s="17" t="s">
        <v>50</v>
      </c>
      <c r="B316" s="65"/>
      <c r="C316" s="134">
        <v>65726.5</v>
      </c>
      <c r="D316" s="186">
        <f>9011+418.98</f>
        <v>9429.98</v>
      </c>
      <c r="E316" s="99"/>
      <c r="F316" s="89">
        <f t="shared" si="98"/>
        <v>75156.48</v>
      </c>
      <c r="G316" s="169"/>
      <c r="H316" s="210">
        <f>-5010</f>
        <v>-5010</v>
      </c>
      <c r="I316" s="230">
        <f t="shared" si="100"/>
        <v>70146.48</v>
      </c>
      <c r="J316" s="169">
        <f>500+57.3</f>
        <v>557.3</v>
      </c>
      <c r="K316" s="249"/>
      <c r="L316" s="248">
        <f t="shared" si="101"/>
        <v>70703.78</v>
      </c>
      <c r="M316" s="292"/>
      <c r="N316" s="249"/>
      <c r="O316" s="248">
        <f t="shared" si="102"/>
        <v>70703.78</v>
      </c>
      <c r="P316" s="93"/>
      <c r="Q316" s="52">
        <f t="shared" si="99"/>
        <v>70703.78</v>
      </c>
    </row>
    <row r="317" spans="1:17" ht="12.75">
      <c r="A317" s="17" t="s">
        <v>54</v>
      </c>
      <c r="B317" s="65">
        <v>1115</v>
      </c>
      <c r="C317" s="134">
        <v>350</v>
      </c>
      <c r="D317" s="99">
        <f>80</f>
        <v>80</v>
      </c>
      <c r="E317" s="99"/>
      <c r="F317" s="89">
        <f t="shared" si="98"/>
        <v>430</v>
      </c>
      <c r="G317" s="169"/>
      <c r="H317" s="210"/>
      <c r="I317" s="230">
        <f t="shared" si="100"/>
        <v>430</v>
      </c>
      <c r="J317" s="169"/>
      <c r="K317" s="249"/>
      <c r="L317" s="248">
        <f t="shared" si="101"/>
        <v>430</v>
      </c>
      <c r="M317" s="292"/>
      <c r="N317" s="249"/>
      <c r="O317" s="248">
        <f t="shared" si="102"/>
        <v>430</v>
      </c>
      <c r="P317" s="93"/>
      <c r="Q317" s="52">
        <f t="shared" si="99"/>
        <v>430</v>
      </c>
    </row>
    <row r="318" spans="1:17" ht="12.75" hidden="1">
      <c r="A318" s="17" t="s">
        <v>55</v>
      </c>
      <c r="B318" s="65"/>
      <c r="C318" s="134"/>
      <c r="D318" s="99"/>
      <c r="E318" s="99"/>
      <c r="F318" s="89">
        <f t="shared" si="98"/>
        <v>0</v>
      </c>
      <c r="G318" s="169"/>
      <c r="H318" s="210"/>
      <c r="I318" s="230">
        <f t="shared" si="100"/>
        <v>0</v>
      </c>
      <c r="J318" s="169"/>
      <c r="K318" s="249"/>
      <c r="L318" s="248">
        <f t="shared" si="101"/>
        <v>0</v>
      </c>
      <c r="M318" s="292"/>
      <c r="N318" s="249"/>
      <c r="O318" s="248">
        <f t="shared" si="102"/>
        <v>0</v>
      </c>
      <c r="P318" s="93"/>
      <c r="Q318" s="52">
        <f t="shared" si="99"/>
        <v>0</v>
      </c>
    </row>
    <row r="319" spans="1:17" ht="12.75">
      <c r="A319" s="17" t="s">
        <v>56</v>
      </c>
      <c r="B319" s="65">
        <v>51</v>
      </c>
      <c r="C319" s="134">
        <v>63816.73</v>
      </c>
      <c r="D319" s="99">
        <f>1700</f>
        <v>1700</v>
      </c>
      <c r="E319" s="99"/>
      <c r="F319" s="89">
        <f t="shared" si="98"/>
        <v>65516.73</v>
      </c>
      <c r="G319" s="169"/>
      <c r="H319" s="210"/>
      <c r="I319" s="230">
        <f t="shared" si="100"/>
        <v>65516.73</v>
      </c>
      <c r="J319" s="169"/>
      <c r="K319" s="249"/>
      <c r="L319" s="248">
        <f t="shared" si="101"/>
        <v>65516.73</v>
      </c>
      <c r="M319" s="292"/>
      <c r="N319" s="249"/>
      <c r="O319" s="248">
        <f t="shared" si="102"/>
        <v>65516.73</v>
      </c>
      <c r="P319" s="93"/>
      <c r="Q319" s="52">
        <f t="shared" si="99"/>
        <v>65516.73</v>
      </c>
    </row>
    <row r="320" spans="1:17" ht="12.75" hidden="1">
      <c r="A320" s="17" t="s">
        <v>75</v>
      </c>
      <c r="B320" s="65"/>
      <c r="C320" s="134"/>
      <c r="D320" s="99"/>
      <c r="E320" s="99"/>
      <c r="F320" s="89">
        <f t="shared" si="98"/>
        <v>0</v>
      </c>
      <c r="G320" s="169"/>
      <c r="H320" s="210"/>
      <c r="I320" s="230">
        <f t="shared" si="100"/>
        <v>0</v>
      </c>
      <c r="J320" s="169"/>
      <c r="K320" s="249"/>
      <c r="L320" s="248">
        <f t="shared" si="101"/>
        <v>0</v>
      </c>
      <c r="M320" s="292"/>
      <c r="N320" s="249"/>
      <c r="O320" s="248">
        <f t="shared" si="102"/>
        <v>0</v>
      </c>
      <c r="P320" s="93"/>
      <c r="Q320" s="52">
        <f t="shared" si="99"/>
        <v>0</v>
      </c>
    </row>
    <row r="321" spans="1:17" ht="12.75" hidden="1">
      <c r="A321" s="17" t="s">
        <v>197</v>
      </c>
      <c r="B321" s="65">
        <v>13234</v>
      </c>
      <c r="C321" s="134"/>
      <c r="D321" s="99"/>
      <c r="E321" s="99"/>
      <c r="F321" s="89">
        <f t="shared" si="98"/>
        <v>0</v>
      </c>
      <c r="G321" s="169"/>
      <c r="H321" s="210"/>
      <c r="I321" s="230">
        <f t="shared" si="100"/>
        <v>0</v>
      </c>
      <c r="J321" s="169"/>
      <c r="K321" s="249"/>
      <c r="L321" s="248">
        <f t="shared" si="101"/>
        <v>0</v>
      </c>
      <c r="M321" s="292"/>
      <c r="N321" s="249"/>
      <c r="O321" s="248">
        <f t="shared" si="102"/>
        <v>0</v>
      </c>
      <c r="P321" s="93"/>
      <c r="Q321" s="52"/>
    </row>
    <row r="322" spans="1:17" ht="12.75">
      <c r="A322" s="17" t="s">
        <v>334</v>
      </c>
      <c r="B322" s="97">
        <v>13014</v>
      </c>
      <c r="C322" s="134"/>
      <c r="D322" s="99"/>
      <c r="E322" s="99"/>
      <c r="F322" s="89">
        <f t="shared" si="98"/>
        <v>0</v>
      </c>
      <c r="G322" s="169">
        <f>234.94</f>
        <v>234.94</v>
      </c>
      <c r="H322" s="210"/>
      <c r="I322" s="230">
        <f t="shared" si="100"/>
        <v>234.94</v>
      </c>
      <c r="J322" s="169"/>
      <c r="K322" s="249"/>
      <c r="L322" s="248">
        <f t="shared" si="101"/>
        <v>234.94</v>
      </c>
      <c r="M322" s="292"/>
      <c r="N322" s="249"/>
      <c r="O322" s="248">
        <f t="shared" si="102"/>
        <v>234.94</v>
      </c>
      <c r="P322" s="93"/>
      <c r="Q322" s="52"/>
    </row>
    <row r="323" spans="1:17" ht="12.75" hidden="1">
      <c r="A323" s="17" t="s">
        <v>57</v>
      </c>
      <c r="B323" s="65"/>
      <c r="C323" s="134"/>
      <c r="D323" s="99"/>
      <c r="E323" s="99"/>
      <c r="F323" s="89">
        <f t="shared" si="98"/>
        <v>0</v>
      </c>
      <c r="G323" s="169"/>
      <c r="H323" s="210"/>
      <c r="I323" s="230">
        <f t="shared" si="100"/>
        <v>0</v>
      </c>
      <c r="J323" s="169"/>
      <c r="K323" s="249"/>
      <c r="L323" s="248">
        <f t="shared" si="101"/>
        <v>0</v>
      </c>
      <c r="M323" s="292"/>
      <c r="N323" s="249"/>
      <c r="O323" s="248">
        <f t="shared" si="102"/>
        <v>0</v>
      </c>
      <c r="P323" s="93"/>
      <c r="Q323" s="52">
        <f>O323+P323</f>
        <v>0</v>
      </c>
    </row>
    <row r="324" spans="1:17" ht="12.75" hidden="1">
      <c r="A324" s="17" t="s">
        <v>255</v>
      </c>
      <c r="B324" s="65">
        <v>98008</v>
      </c>
      <c r="C324" s="134"/>
      <c r="D324" s="99"/>
      <c r="E324" s="99"/>
      <c r="F324" s="89">
        <f t="shared" si="98"/>
        <v>0</v>
      </c>
      <c r="G324" s="169"/>
      <c r="H324" s="210"/>
      <c r="I324" s="230">
        <f t="shared" si="100"/>
        <v>0</v>
      </c>
      <c r="J324" s="169"/>
      <c r="K324" s="249"/>
      <c r="L324" s="248">
        <f t="shared" si="101"/>
        <v>0</v>
      </c>
      <c r="M324" s="292"/>
      <c r="N324" s="249"/>
      <c r="O324" s="248">
        <f t="shared" si="102"/>
        <v>0</v>
      </c>
      <c r="P324" s="93"/>
      <c r="Q324" s="52"/>
    </row>
    <row r="325" spans="1:17" ht="12.75">
      <c r="A325" s="17" t="s">
        <v>354</v>
      </c>
      <c r="B325" s="65">
        <v>98193</v>
      </c>
      <c r="C325" s="134"/>
      <c r="D325" s="99"/>
      <c r="E325" s="99"/>
      <c r="F325" s="89">
        <f t="shared" si="98"/>
        <v>0</v>
      </c>
      <c r="G325" s="169"/>
      <c r="H325" s="210"/>
      <c r="I325" s="230">
        <f t="shared" si="100"/>
        <v>0</v>
      </c>
      <c r="J325" s="169">
        <f>200</f>
        <v>200</v>
      </c>
      <c r="K325" s="249"/>
      <c r="L325" s="248">
        <f t="shared" si="101"/>
        <v>200</v>
      </c>
      <c r="M325" s="292">
        <f>710</f>
        <v>710</v>
      </c>
      <c r="N325" s="249"/>
      <c r="O325" s="248">
        <f t="shared" si="102"/>
        <v>910</v>
      </c>
      <c r="P325" s="93"/>
      <c r="Q325" s="52"/>
    </row>
    <row r="326" spans="1:17" ht="12.75">
      <c r="A326" s="17" t="s">
        <v>58</v>
      </c>
      <c r="B326" s="65">
        <v>98074</v>
      </c>
      <c r="C326" s="134"/>
      <c r="D326" s="99">
        <f>15</f>
        <v>15</v>
      </c>
      <c r="E326" s="99"/>
      <c r="F326" s="89">
        <f t="shared" si="98"/>
        <v>15</v>
      </c>
      <c r="G326" s="169"/>
      <c r="H326" s="210"/>
      <c r="I326" s="230">
        <f>F326+G326+H326</f>
        <v>15</v>
      </c>
      <c r="J326" s="169"/>
      <c r="K326" s="249"/>
      <c r="L326" s="248">
        <f t="shared" si="101"/>
        <v>15</v>
      </c>
      <c r="M326" s="292"/>
      <c r="N326" s="249"/>
      <c r="O326" s="248">
        <f t="shared" si="102"/>
        <v>15</v>
      </c>
      <c r="P326" s="93"/>
      <c r="Q326" s="52">
        <f>O326+P326</f>
        <v>15</v>
      </c>
    </row>
    <row r="327" spans="1:17" ht="12.75" hidden="1">
      <c r="A327" s="17" t="s">
        <v>59</v>
      </c>
      <c r="B327" s="65"/>
      <c r="C327" s="134"/>
      <c r="D327" s="99"/>
      <c r="E327" s="99"/>
      <c r="F327" s="89">
        <f t="shared" si="98"/>
        <v>0</v>
      </c>
      <c r="G327" s="169"/>
      <c r="H327" s="210"/>
      <c r="I327" s="230">
        <f>F327+G327+H327</f>
        <v>0</v>
      </c>
      <c r="J327" s="169"/>
      <c r="K327" s="249"/>
      <c r="L327" s="248">
        <f t="shared" si="101"/>
        <v>0</v>
      </c>
      <c r="M327" s="292"/>
      <c r="N327" s="249"/>
      <c r="O327" s="248">
        <f t="shared" si="102"/>
        <v>0</v>
      </c>
      <c r="P327" s="93"/>
      <c r="Q327" s="52">
        <f>O327+P327</f>
        <v>0</v>
      </c>
    </row>
    <row r="328" spans="1:17" ht="12.75">
      <c r="A328" s="17" t="s">
        <v>336</v>
      </c>
      <c r="B328" s="65">
        <v>13015</v>
      </c>
      <c r="C328" s="134"/>
      <c r="D328" s="99"/>
      <c r="E328" s="99"/>
      <c r="F328" s="89">
        <f t="shared" si="98"/>
        <v>0</v>
      </c>
      <c r="G328" s="169">
        <f>887.92</f>
        <v>887.92</v>
      </c>
      <c r="H328" s="210"/>
      <c r="I328" s="230">
        <f>F328+G328+H328</f>
        <v>887.92</v>
      </c>
      <c r="J328" s="169"/>
      <c r="K328" s="249"/>
      <c r="L328" s="248">
        <f t="shared" si="101"/>
        <v>887.92</v>
      </c>
      <c r="M328" s="292">
        <f>88.65</f>
        <v>88.65</v>
      </c>
      <c r="N328" s="249"/>
      <c r="O328" s="248">
        <f t="shared" si="102"/>
        <v>976.5699999999999</v>
      </c>
      <c r="P328" s="93"/>
      <c r="Q328" s="52"/>
    </row>
    <row r="329" spans="1:17" ht="12.75">
      <c r="A329" s="20" t="s">
        <v>60</v>
      </c>
      <c r="B329" s="68">
        <v>4001</v>
      </c>
      <c r="C329" s="195"/>
      <c r="D329" s="148"/>
      <c r="E329" s="148"/>
      <c r="F329" s="159">
        <f t="shared" si="98"/>
        <v>0</v>
      </c>
      <c r="G329" s="174">
        <f>500</f>
        <v>500</v>
      </c>
      <c r="H329" s="216"/>
      <c r="I329" s="235">
        <f>F329+G329+H329</f>
        <v>500</v>
      </c>
      <c r="J329" s="174"/>
      <c r="K329" s="258"/>
      <c r="L329" s="259">
        <f>I329+J329+K329</f>
        <v>500</v>
      </c>
      <c r="M329" s="302"/>
      <c r="N329" s="258"/>
      <c r="O329" s="259">
        <f>L329+M329+N329</f>
        <v>500</v>
      </c>
      <c r="P329" s="93"/>
      <c r="Q329" s="52">
        <f>O329+P329</f>
        <v>500</v>
      </c>
    </row>
    <row r="330" spans="1:17" ht="12.75" hidden="1">
      <c r="A330" s="23" t="s">
        <v>52</v>
      </c>
      <c r="B330" s="69"/>
      <c r="C330" s="137">
        <f>C333+C332</f>
        <v>0</v>
      </c>
      <c r="D330" s="102">
        <f aca="true" t="shared" si="103" ref="D330:Q330">D333+D332</f>
        <v>0</v>
      </c>
      <c r="E330" s="102">
        <f t="shared" si="103"/>
        <v>0</v>
      </c>
      <c r="F330" s="120">
        <f t="shared" si="103"/>
        <v>0</v>
      </c>
      <c r="G330" s="171">
        <f t="shared" si="103"/>
        <v>0</v>
      </c>
      <c r="H330" s="214">
        <f t="shared" si="103"/>
        <v>0</v>
      </c>
      <c r="I330" s="233">
        <f t="shared" si="103"/>
        <v>0</v>
      </c>
      <c r="J330" s="171">
        <f t="shared" si="103"/>
        <v>0</v>
      </c>
      <c r="K330" s="254">
        <f t="shared" si="103"/>
        <v>0</v>
      </c>
      <c r="L330" s="255">
        <f t="shared" si="103"/>
        <v>0</v>
      </c>
      <c r="M330" s="315">
        <f t="shared" si="103"/>
        <v>0</v>
      </c>
      <c r="N330" s="254">
        <f t="shared" si="103"/>
        <v>0</v>
      </c>
      <c r="O330" s="255">
        <f t="shared" si="103"/>
        <v>0</v>
      </c>
      <c r="P330" s="102">
        <f t="shared" si="103"/>
        <v>0</v>
      </c>
      <c r="Q330" s="137">
        <f t="shared" si="103"/>
        <v>0</v>
      </c>
    </row>
    <row r="331" spans="1:17" ht="12.75" hidden="1">
      <c r="A331" s="19" t="s">
        <v>26</v>
      </c>
      <c r="B331" s="65"/>
      <c r="C331" s="134"/>
      <c r="D331" s="99"/>
      <c r="E331" s="99"/>
      <c r="F331" s="94"/>
      <c r="G331" s="169"/>
      <c r="H331" s="210"/>
      <c r="I331" s="229"/>
      <c r="J331" s="169"/>
      <c r="K331" s="249"/>
      <c r="L331" s="247"/>
      <c r="M331" s="292"/>
      <c r="N331" s="249"/>
      <c r="O331" s="247"/>
      <c r="P331" s="93"/>
      <c r="Q331" s="52"/>
    </row>
    <row r="332" spans="1:17" ht="12.75" hidden="1">
      <c r="A332" s="16" t="s">
        <v>53</v>
      </c>
      <c r="B332" s="65"/>
      <c r="C332" s="134"/>
      <c r="D332" s="99"/>
      <c r="E332" s="99"/>
      <c r="F332" s="89">
        <f>C332+D332+E332</f>
        <v>0</v>
      </c>
      <c r="G332" s="169"/>
      <c r="H332" s="210"/>
      <c r="I332" s="230">
        <f>F332+G332+H332</f>
        <v>0</v>
      </c>
      <c r="J332" s="169"/>
      <c r="K332" s="249"/>
      <c r="L332" s="248">
        <f>I332+J332+K332</f>
        <v>0</v>
      </c>
      <c r="M332" s="292"/>
      <c r="N332" s="249"/>
      <c r="O332" s="248">
        <f>L332+M332+N332</f>
        <v>0</v>
      </c>
      <c r="P332" s="93"/>
      <c r="Q332" s="52">
        <f>O332+P332</f>
        <v>0</v>
      </c>
    </row>
    <row r="333" spans="1:17" ht="12.75" hidden="1">
      <c r="A333" s="20" t="s">
        <v>76</v>
      </c>
      <c r="B333" s="68"/>
      <c r="C333" s="195"/>
      <c r="D333" s="148"/>
      <c r="E333" s="148"/>
      <c r="F333" s="159">
        <f>C333+D333+E333</f>
        <v>0</v>
      </c>
      <c r="G333" s="174"/>
      <c r="H333" s="216"/>
      <c r="I333" s="235">
        <f>F333+G333+H333</f>
        <v>0</v>
      </c>
      <c r="J333" s="174"/>
      <c r="K333" s="258"/>
      <c r="L333" s="259">
        <f>I333+J333+K333</f>
        <v>0</v>
      </c>
      <c r="M333" s="302"/>
      <c r="N333" s="258"/>
      <c r="O333" s="259">
        <f>L333+M333+N333</f>
        <v>0</v>
      </c>
      <c r="P333" s="295"/>
      <c r="Q333" s="54">
        <f>O333+P333</f>
        <v>0</v>
      </c>
    </row>
    <row r="334" spans="1:17" ht="12.75">
      <c r="A334" s="29" t="s">
        <v>163</v>
      </c>
      <c r="B334" s="70"/>
      <c r="C334" s="133">
        <f aca="true" t="shared" si="104" ref="C334:Q334">C335+C359</f>
        <v>829460.8700000001</v>
      </c>
      <c r="D334" s="86">
        <f t="shared" si="104"/>
        <v>1773618.5</v>
      </c>
      <c r="E334" s="86">
        <f t="shared" si="104"/>
        <v>0</v>
      </c>
      <c r="F334" s="94">
        <f t="shared" si="104"/>
        <v>2603079.37</v>
      </c>
      <c r="G334" s="168">
        <f t="shared" si="104"/>
        <v>208518.46999999997</v>
      </c>
      <c r="H334" s="209">
        <f t="shared" si="104"/>
        <v>-540.4199999999936</v>
      </c>
      <c r="I334" s="229">
        <f t="shared" si="104"/>
        <v>2811057.4200000004</v>
      </c>
      <c r="J334" s="168">
        <f t="shared" si="104"/>
        <v>716727.64</v>
      </c>
      <c r="K334" s="246">
        <f t="shared" si="104"/>
        <v>-830.5200000000001</v>
      </c>
      <c r="L334" s="247">
        <f t="shared" si="104"/>
        <v>3526954.54</v>
      </c>
      <c r="M334" s="309">
        <f>M335+M359</f>
        <v>494026.24</v>
      </c>
      <c r="N334" s="246">
        <f>N335+N359</f>
        <v>0</v>
      </c>
      <c r="O334" s="247">
        <f>O335+O359</f>
        <v>4020980.7800000003</v>
      </c>
      <c r="P334" s="86">
        <f t="shared" si="104"/>
        <v>0</v>
      </c>
      <c r="Q334" s="133">
        <f t="shared" si="104"/>
        <v>0</v>
      </c>
    </row>
    <row r="335" spans="1:17" ht="12.75">
      <c r="A335" s="23" t="s">
        <v>48</v>
      </c>
      <c r="B335" s="69"/>
      <c r="C335" s="137">
        <f aca="true" t="shared" si="105" ref="C335:Q335">SUM(C337:C347)</f>
        <v>76319.28</v>
      </c>
      <c r="D335" s="102">
        <f t="shared" si="105"/>
        <v>44694.51</v>
      </c>
      <c r="E335" s="102">
        <f t="shared" si="105"/>
        <v>0</v>
      </c>
      <c r="F335" s="120">
        <f t="shared" si="105"/>
        <v>121013.79000000001</v>
      </c>
      <c r="G335" s="171">
        <f t="shared" si="105"/>
        <v>12631.400000000001</v>
      </c>
      <c r="H335" s="214">
        <f t="shared" si="105"/>
        <v>257.37</v>
      </c>
      <c r="I335" s="233">
        <f t="shared" si="105"/>
        <v>133902.56</v>
      </c>
      <c r="J335" s="171">
        <f t="shared" si="105"/>
        <v>50522.78</v>
      </c>
      <c r="K335" s="254">
        <f t="shared" si="105"/>
        <v>404.87</v>
      </c>
      <c r="L335" s="255">
        <f t="shared" si="105"/>
        <v>184830.21000000002</v>
      </c>
      <c r="M335" s="315">
        <f>SUM(M337:M347)</f>
        <v>396.9499999999998</v>
      </c>
      <c r="N335" s="254">
        <f>SUM(N337:N347)</f>
        <v>0</v>
      </c>
      <c r="O335" s="255">
        <f>SUM(O337:O347)</f>
        <v>185227.16000000003</v>
      </c>
      <c r="P335" s="102">
        <f t="shared" si="105"/>
        <v>0</v>
      </c>
      <c r="Q335" s="137">
        <f t="shared" si="105"/>
        <v>0</v>
      </c>
    </row>
    <row r="336" spans="1:17" ht="12.75">
      <c r="A336" s="19" t="s">
        <v>26</v>
      </c>
      <c r="B336" s="65"/>
      <c r="C336" s="137"/>
      <c r="D336" s="149"/>
      <c r="E336" s="149"/>
      <c r="F336" s="120"/>
      <c r="G336" s="169"/>
      <c r="H336" s="210"/>
      <c r="I336" s="230"/>
      <c r="J336" s="169"/>
      <c r="K336" s="249"/>
      <c r="L336" s="248"/>
      <c r="M336" s="292"/>
      <c r="N336" s="249"/>
      <c r="O336" s="248"/>
      <c r="P336" s="93"/>
      <c r="Q336" s="52"/>
    </row>
    <row r="337" spans="1:17" ht="12.75">
      <c r="A337" s="21" t="s">
        <v>50</v>
      </c>
      <c r="B337" s="65"/>
      <c r="C337" s="134">
        <v>6645.87</v>
      </c>
      <c r="D337" s="150">
        <f>1000</f>
        <v>1000</v>
      </c>
      <c r="E337" s="150"/>
      <c r="F337" s="89">
        <f aca="true" t="shared" si="106" ref="F337:F358">C337+D337+E337</f>
        <v>7645.87</v>
      </c>
      <c r="G337" s="169">
        <f>135.18</f>
        <v>135.18</v>
      </c>
      <c r="H337" s="210"/>
      <c r="I337" s="230">
        <f aca="true" t="shared" si="107" ref="I337:I358">F337+G337+H337</f>
        <v>7781.05</v>
      </c>
      <c r="J337" s="169">
        <f>-114.35</f>
        <v>-114.35</v>
      </c>
      <c r="K337" s="249"/>
      <c r="L337" s="248">
        <f>I337+J337+K337</f>
        <v>7666.7</v>
      </c>
      <c r="M337" s="292">
        <f>-344.85-600</f>
        <v>-944.85</v>
      </c>
      <c r="N337" s="249"/>
      <c r="O337" s="248">
        <f>L337+M337+N337</f>
        <v>6721.849999999999</v>
      </c>
      <c r="P337" s="93"/>
      <c r="Q337" s="52"/>
    </row>
    <row r="338" spans="1:17" ht="12.75">
      <c r="A338" s="21" t="s">
        <v>169</v>
      </c>
      <c r="B338" s="65">
        <v>1080</v>
      </c>
      <c r="C338" s="134"/>
      <c r="D338" s="150">
        <f>1306.05</f>
        <v>1306.05</v>
      </c>
      <c r="E338" s="150"/>
      <c r="F338" s="89">
        <f t="shared" si="106"/>
        <v>1306.05</v>
      </c>
      <c r="G338" s="169"/>
      <c r="H338" s="210"/>
      <c r="I338" s="230">
        <f t="shared" si="107"/>
        <v>1306.05</v>
      </c>
      <c r="J338" s="169"/>
      <c r="K338" s="249"/>
      <c r="L338" s="248">
        <f aca="true" t="shared" si="108" ref="L338:L358">I338+J338+K338</f>
        <v>1306.05</v>
      </c>
      <c r="M338" s="292"/>
      <c r="N338" s="249"/>
      <c r="O338" s="248">
        <f aca="true" t="shared" si="109" ref="O338:O358">L338+M338+N338</f>
        <v>1306.05</v>
      </c>
      <c r="P338" s="93"/>
      <c r="Q338" s="52"/>
    </row>
    <row r="339" spans="1:17" ht="12.75">
      <c r="A339" s="21" t="s">
        <v>170</v>
      </c>
      <c r="B339" s="129">
        <v>1081.1202</v>
      </c>
      <c r="C339" s="134">
        <v>2182</v>
      </c>
      <c r="D339" s="150">
        <f>457.11</f>
        <v>457.11</v>
      </c>
      <c r="E339" s="150"/>
      <c r="F339" s="89">
        <f t="shared" si="106"/>
        <v>2639.11</v>
      </c>
      <c r="G339" s="169"/>
      <c r="H339" s="210"/>
      <c r="I339" s="230">
        <f t="shared" si="107"/>
        <v>2639.11</v>
      </c>
      <c r="J339" s="169"/>
      <c r="K339" s="249"/>
      <c r="L339" s="248">
        <f t="shared" si="108"/>
        <v>2639.11</v>
      </c>
      <c r="M339" s="292"/>
      <c r="N339" s="249"/>
      <c r="O339" s="248">
        <f t="shared" si="109"/>
        <v>2639.11</v>
      </c>
      <c r="P339" s="93"/>
      <c r="Q339" s="52"/>
    </row>
    <row r="340" spans="1:17" ht="12.75">
      <c r="A340" s="66" t="s">
        <v>79</v>
      </c>
      <c r="B340" s="65"/>
      <c r="C340" s="134">
        <v>300</v>
      </c>
      <c r="D340" s="150"/>
      <c r="E340" s="150"/>
      <c r="F340" s="89">
        <f t="shared" si="106"/>
        <v>300</v>
      </c>
      <c r="G340" s="169"/>
      <c r="H340" s="210"/>
      <c r="I340" s="230">
        <f t="shared" si="107"/>
        <v>300</v>
      </c>
      <c r="J340" s="169"/>
      <c r="K340" s="249"/>
      <c r="L340" s="248">
        <f t="shared" si="108"/>
        <v>300</v>
      </c>
      <c r="M340" s="292"/>
      <c r="N340" s="249"/>
      <c r="O340" s="248">
        <f t="shared" si="109"/>
        <v>300</v>
      </c>
      <c r="P340" s="93"/>
      <c r="Q340" s="52"/>
    </row>
    <row r="341" spans="1:17" ht="12.75">
      <c r="A341" s="17" t="s">
        <v>176</v>
      </c>
      <c r="B341" s="65"/>
      <c r="C341" s="134">
        <v>35554.41</v>
      </c>
      <c r="D341" s="150"/>
      <c r="E341" s="150"/>
      <c r="F341" s="89">
        <f t="shared" si="106"/>
        <v>35554.41</v>
      </c>
      <c r="G341" s="169"/>
      <c r="H341" s="210"/>
      <c r="I341" s="230">
        <f t="shared" si="107"/>
        <v>35554.41</v>
      </c>
      <c r="J341" s="169"/>
      <c r="K341" s="249"/>
      <c r="L341" s="248">
        <f t="shared" si="108"/>
        <v>35554.41</v>
      </c>
      <c r="M341" s="292"/>
      <c r="N341" s="249"/>
      <c r="O341" s="248">
        <f t="shared" si="109"/>
        <v>35554.41</v>
      </c>
      <c r="P341" s="93"/>
      <c r="Q341" s="52"/>
    </row>
    <row r="342" spans="1:17" ht="12.75">
      <c r="A342" s="21" t="s">
        <v>230</v>
      </c>
      <c r="B342" s="65"/>
      <c r="C342" s="134"/>
      <c r="D342" s="150">
        <f>330.16</f>
        <v>330.16</v>
      </c>
      <c r="E342" s="150"/>
      <c r="F342" s="89">
        <f t="shared" si="106"/>
        <v>330.16</v>
      </c>
      <c r="G342" s="169">
        <f>3000</f>
        <v>3000</v>
      </c>
      <c r="H342" s="210"/>
      <c r="I342" s="230">
        <f t="shared" si="107"/>
        <v>3330.16</v>
      </c>
      <c r="J342" s="169">
        <f>40000</f>
        <v>40000</v>
      </c>
      <c r="K342" s="249"/>
      <c r="L342" s="248">
        <f t="shared" si="108"/>
        <v>43330.16</v>
      </c>
      <c r="M342" s="292"/>
      <c r="N342" s="249"/>
      <c r="O342" s="248">
        <f t="shared" si="109"/>
        <v>43330.16</v>
      </c>
      <c r="P342" s="93"/>
      <c r="Q342" s="52"/>
    </row>
    <row r="343" spans="1:17" ht="12.75">
      <c r="A343" s="17" t="s">
        <v>194</v>
      </c>
      <c r="B343" s="97">
        <v>212163</v>
      </c>
      <c r="C343" s="134"/>
      <c r="D343" s="150">
        <v>0.05</v>
      </c>
      <c r="E343" s="150"/>
      <c r="F343" s="89">
        <f t="shared" si="106"/>
        <v>0.05</v>
      </c>
      <c r="G343" s="169">
        <f>10</f>
        <v>10</v>
      </c>
      <c r="H343" s="210"/>
      <c r="I343" s="230">
        <f t="shared" si="107"/>
        <v>10.05</v>
      </c>
      <c r="J343" s="169"/>
      <c r="K343" s="249"/>
      <c r="L343" s="248">
        <f t="shared" si="108"/>
        <v>10.05</v>
      </c>
      <c r="M343" s="292"/>
      <c r="N343" s="249"/>
      <c r="O343" s="248">
        <f t="shared" si="109"/>
        <v>10.05</v>
      </c>
      <c r="P343" s="93"/>
      <c r="Q343" s="52"/>
    </row>
    <row r="344" spans="1:17" ht="12.75">
      <c r="A344" s="21" t="s">
        <v>166</v>
      </c>
      <c r="B344" s="97">
        <v>212162</v>
      </c>
      <c r="C344" s="134"/>
      <c r="D344" s="150">
        <f>658.97</f>
        <v>658.97</v>
      </c>
      <c r="E344" s="150"/>
      <c r="F344" s="89">
        <f t="shared" si="106"/>
        <v>658.97</v>
      </c>
      <c r="G344" s="169"/>
      <c r="H344" s="210"/>
      <c r="I344" s="230">
        <f t="shared" si="107"/>
        <v>658.97</v>
      </c>
      <c r="J344" s="169"/>
      <c r="K344" s="249"/>
      <c r="L344" s="248">
        <f t="shared" si="108"/>
        <v>658.97</v>
      </c>
      <c r="M344" s="292"/>
      <c r="N344" s="249"/>
      <c r="O344" s="248">
        <f t="shared" si="109"/>
        <v>658.97</v>
      </c>
      <c r="P344" s="93"/>
      <c r="Q344" s="52"/>
    </row>
    <row r="345" spans="1:17" ht="12.75">
      <c r="A345" s="21" t="s">
        <v>328</v>
      </c>
      <c r="B345" s="97"/>
      <c r="C345" s="134"/>
      <c r="D345" s="150">
        <f>558.14</f>
        <v>558.14</v>
      </c>
      <c r="E345" s="150"/>
      <c r="F345" s="89">
        <f t="shared" si="106"/>
        <v>558.14</v>
      </c>
      <c r="G345" s="169">
        <f>1090.57</f>
        <v>1090.57</v>
      </c>
      <c r="H345" s="210"/>
      <c r="I345" s="230">
        <f t="shared" si="107"/>
        <v>1648.71</v>
      </c>
      <c r="J345" s="169">
        <f>3406.32</f>
        <v>3406.32</v>
      </c>
      <c r="K345" s="249"/>
      <c r="L345" s="248">
        <f t="shared" si="108"/>
        <v>5055.030000000001</v>
      </c>
      <c r="M345" s="292">
        <f>-938.38</f>
        <v>-938.38</v>
      </c>
      <c r="N345" s="249"/>
      <c r="O345" s="248">
        <f t="shared" si="109"/>
        <v>4116.650000000001</v>
      </c>
      <c r="P345" s="296"/>
      <c r="Q345" s="52"/>
    </row>
    <row r="346" spans="1:17" ht="12.75">
      <c r="A346" s="21" t="s">
        <v>307</v>
      </c>
      <c r="B346" s="97"/>
      <c r="C346" s="134"/>
      <c r="D346" s="150">
        <f>181.24</f>
        <v>181.24</v>
      </c>
      <c r="E346" s="150"/>
      <c r="F346" s="89">
        <f t="shared" si="106"/>
        <v>181.24</v>
      </c>
      <c r="G346" s="169"/>
      <c r="H346" s="210"/>
      <c r="I346" s="230">
        <f t="shared" si="107"/>
        <v>181.24</v>
      </c>
      <c r="J346" s="169">
        <f>182.25</f>
        <v>182.25</v>
      </c>
      <c r="K346" s="249"/>
      <c r="L346" s="248">
        <f t="shared" si="108"/>
        <v>363.49</v>
      </c>
      <c r="M346" s="292"/>
      <c r="N346" s="249"/>
      <c r="O346" s="248">
        <f t="shared" si="109"/>
        <v>363.49</v>
      </c>
      <c r="P346" s="296"/>
      <c r="Q346" s="52"/>
    </row>
    <row r="347" spans="1:17" ht="12.75">
      <c r="A347" s="17" t="s">
        <v>76</v>
      </c>
      <c r="B347" s="65"/>
      <c r="C347" s="139">
        <f>SUM(C348:C358)</f>
        <v>31637</v>
      </c>
      <c r="D347" s="150">
        <f>SUM(D348:D358)</f>
        <v>40202.79</v>
      </c>
      <c r="E347" s="150">
        <f aca="true" t="shared" si="110" ref="E347:Q347">SUM(E348:E358)</f>
        <v>0</v>
      </c>
      <c r="F347" s="104">
        <f t="shared" si="110"/>
        <v>71839.79000000001</v>
      </c>
      <c r="G347" s="175">
        <f t="shared" si="110"/>
        <v>8395.650000000001</v>
      </c>
      <c r="H347" s="218">
        <f t="shared" si="110"/>
        <v>257.37</v>
      </c>
      <c r="I347" s="237">
        <f t="shared" si="110"/>
        <v>80492.81000000001</v>
      </c>
      <c r="J347" s="175">
        <f t="shared" si="110"/>
        <v>7048.5599999999995</v>
      </c>
      <c r="K347" s="260">
        <f t="shared" si="110"/>
        <v>404.87</v>
      </c>
      <c r="L347" s="262">
        <f t="shared" si="110"/>
        <v>87946.24</v>
      </c>
      <c r="M347" s="292">
        <f t="shared" si="110"/>
        <v>2280.18</v>
      </c>
      <c r="N347" s="260">
        <f t="shared" si="110"/>
        <v>0</v>
      </c>
      <c r="O347" s="262">
        <f t="shared" si="110"/>
        <v>90226.42</v>
      </c>
      <c r="P347" s="104">
        <f t="shared" si="110"/>
        <v>0</v>
      </c>
      <c r="Q347" s="139">
        <f t="shared" si="110"/>
        <v>0</v>
      </c>
    </row>
    <row r="348" spans="1:17" ht="12.75">
      <c r="A348" s="17" t="s">
        <v>217</v>
      </c>
      <c r="B348" s="65"/>
      <c r="C348" s="139">
        <v>14000</v>
      </c>
      <c r="D348" s="150">
        <f>2350</f>
        <v>2350</v>
      </c>
      <c r="E348" s="99"/>
      <c r="F348" s="89">
        <f t="shared" si="106"/>
        <v>16350</v>
      </c>
      <c r="G348" s="169"/>
      <c r="H348" s="210"/>
      <c r="I348" s="230">
        <f t="shared" si="107"/>
        <v>16350</v>
      </c>
      <c r="J348" s="169"/>
      <c r="K348" s="249"/>
      <c r="L348" s="248">
        <f t="shared" si="108"/>
        <v>16350</v>
      </c>
      <c r="M348" s="292"/>
      <c r="N348" s="249"/>
      <c r="O348" s="248">
        <f t="shared" si="109"/>
        <v>16350</v>
      </c>
      <c r="P348" s="93"/>
      <c r="Q348" s="52"/>
    </row>
    <row r="349" spans="1:17" ht="12.75">
      <c r="A349" s="17" t="s">
        <v>175</v>
      </c>
      <c r="B349" s="65"/>
      <c r="C349" s="139">
        <v>300</v>
      </c>
      <c r="D349" s="150">
        <f>33986.1+236.9+224.26-2350</f>
        <v>32097.260000000002</v>
      </c>
      <c r="E349" s="99"/>
      <c r="F349" s="89">
        <f t="shared" si="106"/>
        <v>32397.260000000002</v>
      </c>
      <c r="G349" s="169">
        <f>50.82+863.99+6854.77</f>
        <v>7769.580000000001</v>
      </c>
      <c r="H349" s="210"/>
      <c r="I349" s="230">
        <f t="shared" si="107"/>
        <v>40166.840000000004</v>
      </c>
      <c r="J349" s="169">
        <f>9.44+160.47</f>
        <v>169.91</v>
      </c>
      <c r="K349" s="249"/>
      <c r="L349" s="248">
        <f t="shared" si="108"/>
        <v>40336.75000000001</v>
      </c>
      <c r="M349" s="292">
        <f>6.51+110.72+1291.87</f>
        <v>1409.1</v>
      </c>
      <c r="N349" s="249"/>
      <c r="O349" s="248">
        <f t="shared" si="109"/>
        <v>41745.850000000006</v>
      </c>
      <c r="P349" s="93"/>
      <c r="Q349" s="52"/>
    </row>
    <row r="350" spans="1:17" ht="12.75" hidden="1">
      <c r="A350" s="17" t="s">
        <v>268</v>
      </c>
      <c r="B350" s="65"/>
      <c r="C350" s="139"/>
      <c r="D350" s="151"/>
      <c r="E350" s="99"/>
      <c r="F350" s="89">
        <f t="shared" si="106"/>
        <v>0</v>
      </c>
      <c r="G350" s="169"/>
      <c r="H350" s="210"/>
      <c r="I350" s="230">
        <f t="shared" si="107"/>
        <v>0</v>
      </c>
      <c r="J350" s="169"/>
      <c r="K350" s="249"/>
      <c r="L350" s="248">
        <f t="shared" si="108"/>
        <v>0</v>
      </c>
      <c r="M350" s="292"/>
      <c r="N350" s="249"/>
      <c r="O350" s="248">
        <f t="shared" si="109"/>
        <v>0</v>
      </c>
      <c r="P350" s="93"/>
      <c r="Q350" s="52"/>
    </row>
    <row r="351" spans="1:17" ht="12.75" hidden="1">
      <c r="A351" s="17" t="s">
        <v>204</v>
      </c>
      <c r="B351" s="65"/>
      <c r="C351" s="139"/>
      <c r="D351" s="150"/>
      <c r="E351" s="99"/>
      <c r="F351" s="89">
        <f t="shared" si="106"/>
        <v>0</v>
      </c>
      <c r="G351" s="169"/>
      <c r="H351" s="210"/>
      <c r="I351" s="230">
        <f t="shared" si="107"/>
        <v>0</v>
      </c>
      <c r="J351" s="169"/>
      <c r="K351" s="249"/>
      <c r="L351" s="248">
        <f t="shared" si="108"/>
        <v>0</v>
      </c>
      <c r="M351" s="292"/>
      <c r="N351" s="249"/>
      <c r="O351" s="248">
        <f t="shared" si="109"/>
        <v>0</v>
      </c>
      <c r="P351" s="93"/>
      <c r="Q351" s="52"/>
    </row>
    <row r="352" spans="1:17" ht="12.75">
      <c r="A352" s="17" t="s">
        <v>229</v>
      </c>
      <c r="B352" s="65"/>
      <c r="C352" s="139"/>
      <c r="D352" s="150">
        <f>11169.53</f>
        <v>11169.53</v>
      </c>
      <c r="E352" s="99"/>
      <c r="F352" s="89">
        <f t="shared" si="106"/>
        <v>11169.53</v>
      </c>
      <c r="G352" s="169"/>
      <c r="H352" s="210"/>
      <c r="I352" s="230">
        <f t="shared" si="107"/>
        <v>11169.53</v>
      </c>
      <c r="J352" s="169"/>
      <c r="K352" s="249"/>
      <c r="L352" s="248">
        <f t="shared" si="108"/>
        <v>11169.53</v>
      </c>
      <c r="M352" s="292"/>
      <c r="N352" s="249"/>
      <c r="O352" s="248">
        <f t="shared" si="109"/>
        <v>11169.53</v>
      </c>
      <c r="P352" s="93"/>
      <c r="Q352" s="52"/>
    </row>
    <row r="353" spans="1:17" ht="12.75">
      <c r="A353" s="17" t="s">
        <v>174</v>
      </c>
      <c r="B353" s="65"/>
      <c r="C353" s="139"/>
      <c r="D353" s="150">
        <f>2726.77+840.5+353.95+205.7</f>
        <v>4126.92</v>
      </c>
      <c r="E353" s="99"/>
      <c r="F353" s="89">
        <f t="shared" si="106"/>
        <v>4126.92</v>
      </c>
      <c r="G353" s="169"/>
      <c r="H353" s="210">
        <f>184.77+72.6</f>
        <v>257.37</v>
      </c>
      <c r="I353" s="230">
        <f t="shared" si="107"/>
        <v>4384.29</v>
      </c>
      <c r="J353" s="169">
        <f>47.19+94.38+709.22</f>
        <v>850.79</v>
      </c>
      <c r="K353" s="249">
        <f>404.87</f>
        <v>404.87</v>
      </c>
      <c r="L353" s="248">
        <f t="shared" si="108"/>
        <v>5639.95</v>
      </c>
      <c r="M353" s="292">
        <f>353</f>
        <v>353</v>
      </c>
      <c r="N353" s="249"/>
      <c r="O353" s="248">
        <f t="shared" si="109"/>
        <v>5992.95</v>
      </c>
      <c r="P353" s="93"/>
      <c r="Q353" s="52"/>
    </row>
    <row r="354" spans="1:17" ht="12.75">
      <c r="A354" s="17" t="s">
        <v>177</v>
      </c>
      <c r="B354" s="65"/>
      <c r="C354" s="139"/>
      <c r="D354" s="150">
        <f>2967.12</f>
        <v>2967.12</v>
      </c>
      <c r="E354" s="99"/>
      <c r="F354" s="89">
        <f t="shared" si="106"/>
        <v>2967.12</v>
      </c>
      <c r="G354" s="169"/>
      <c r="H354" s="210"/>
      <c r="I354" s="230">
        <f t="shared" si="107"/>
        <v>2967.12</v>
      </c>
      <c r="J354" s="169"/>
      <c r="K354" s="249"/>
      <c r="L354" s="248">
        <f t="shared" si="108"/>
        <v>2967.12</v>
      </c>
      <c r="M354" s="292"/>
      <c r="N354" s="249"/>
      <c r="O354" s="248">
        <f t="shared" si="109"/>
        <v>2967.12</v>
      </c>
      <c r="P354" s="93"/>
      <c r="Q354" s="52"/>
    </row>
    <row r="355" spans="1:17" ht="12.75">
      <c r="A355" s="17" t="s">
        <v>181</v>
      </c>
      <c r="B355" s="65"/>
      <c r="C355" s="139">
        <v>7500</v>
      </c>
      <c r="D355" s="150">
        <f>-7500+17.05</f>
        <v>-7482.95</v>
      </c>
      <c r="E355" s="99"/>
      <c r="F355" s="89">
        <f t="shared" si="106"/>
        <v>17.050000000000182</v>
      </c>
      <c r="G355" s="169"/>
      <c r="H355" s="210"/>
      <c r="I355" s="230">
        <f t="shared" si="107"/>
        <v>17.050000000000182</v>
      </c>
      <c r="J355" s="169">
        <f>169.09+500+4900</f>
        <v>5569.09</v>
      </c>
      <c r="K355" s="249"/>
      <c r="L355" s="248">
        <f t="shared" si="108"/>
        <v>5586.14</v>
      </c>
      <c r="M355" s="292">
        <f>518.08</f>
        <v>518.08</v>
      </c>
      <c r="N355" s="249"/>
      <c r="O355" s="248">
        <f t="shared" si="109"/>
        <v>6104.22</v>
      </c>
      <c r="P355" s="93"/>
      <c r="Q355" s="52"/>
    </row>
    <row r="356" spans="1:17" ht="12.75">
      <c r="A356" s="17" t="s">
        <v>180</v>
      </c>
      <c r="B356" s="65"/>
      <c r="C356" s="139">
        <v>8299</v>
      </c>
      <c r="D356" s="150">
        <f>-6743.14+2500.95+129.98+169.29-1500</f>
        <v>-5442.920000000001</v>
      </c>
      <c r="E356" s="99"/>
      <c r="F356" s="89">
        <f t="shared" si="106"/>
        <v>2856.079999999999</v>
      </c>
      <c r="G356" s="169">
        <f>696.88+79.5</f>
        <v>776.38</v>
      </c>
      <c r="H356" s="210"/>
      <c r="I356" s="230">
        <f t="shared" si="107"/>
        <v>3632.459999999999</v>
      </c>
      <c r="J356" s="169">
        <f>458.77</f>
        <v>458.77</v>
      </c>
      <c r="K356" s="249"/>
      <c r="L356" s="248">
        <f t="shared" si="108"/>
        <v>4091.229999999999</v>
      </c>
      <c r="M356" s="292"/>
      <c r="N356" s="249"/>
      <c r="O356" s="248">
        <f t="shared" si="109"/>
        <v>4091.229999999999</v>
      </c>
      <c r="P356" s="93"/>
      <c r="Q356" s="52"/>
    </row>
    <row r="357" spans="1:17" ht="12.75">
      <c r="A357" s="17" t="s">
        <v>208</v>
      </c>
      <c r="B357" s="65"/>
      <c r="C357" s="139">
        <v>1538</v>
      </c>
      <c r="D357" s="150">
        <f>-954+1621.52-400</f>
        <v>267.52</v>
      </c>
      <c r="E357" s="99"/>
      <c r="F357" s="89">
        <f t="shared" si="106"/>
        <v>1805.52</v>
      </c>
      <c r="G357" s="169"/>
      <c r="H357" s="210"/>
      <c r="I357" s="230">
        <f t="shared" si="107"/>
        <v>1805.52</v>
      </c>
      <c r="J357" s="169"/>
      <c r="K357" s="249"/>
      <c r="L357" s="248">
        <f t="shared" si="108"/>
        <v>1805.52</v>
      </c>
      <c r="M357" s="292"/>
      <c r="N357" s="249"/>
      <c r="O357" s="248">
        <f t="shared" si="109"/>
        <v>1805.52</v>
      </c>
      <c r="P357" s="93"/>
      <c r="Q357" s="52"/>
    </row>
    <row r="358" spans="1:17" ht="12.75" hidden="1">
      <c r="A358" s="17" t="s">
        <v>240</v>
      </c>
      <c r="B358" s="65"/>
      <c r="C358" s="139"/>
      <c r="D358" s="151">
        <f>458.38-272.68-35.39</f>
        <v>150.31</v>
      </c>
      <c r="E358" s="99"/>
      <c r="F358" s="89">
        <f t="shared" si="106"/>
        <v>150.31</v>
      </c>
      <c r="G358" s="169">
        <f>-150.31</f>
        <v>-150.31</v>
      </c>
      <c r="H358" s="210"/>
      <c r="I358" s="230">
        <f t="shared" si="107"/>
        <v>0</v>
      </c>
      <c r="J358" s="169"/>
      <c r="K358" s="249"/>
      <c r="L358" s="248">
        <f t="shared" si="108"/>
        <v>0</v>
      </c>
      <c r="M358" s="292"/>
      <c r="N358" s="249"/>
      <c r="O358" s="248">
        <f t="shared" si="109"/>
        <v>0</v>
      </c>
      <c r="P358" s="93"/>
      <c r="Q358" s="52"/>
    </row>
    <row r="359" spans="1:17" ht="12.75">
      <c r="A359" s="23" t="s">
        <v>52</v>
      </c>
      <c r="B359" s="69"/>
      <c r="C359" s="137">
        <f aca="true" t="shared" si="111" ref="C359:Q359">SUM(C361:C379)</f>
        <v>753141.5900000001</v>
      </c>
      <c r="D359" s="102">
        <f t="shared" si="111"/>
        <v>1728923.99</v>
      </c>
      <c r="E359" s="102">
        <f t="shared" si="111"/>
        <v>0</v>
      </c>
      <c r="F359" s="120">
        <f t="shared" si="111"/>
        <v>2482065.58</v>
      </c>
      <c r="G359" s="171">
        <f t="shared" si="111"/>
        <v>195887.06999999998</v>
      </c>
      <c r="H359" s="214">
        <f t="shared" si="111"/>
        <v>-797.7899999999936</v>
      </c>
      <c r="I359" s="233">
        <f t="shared" si="111"/>
        <v>2677154.8600000003</v>
      </c>
      <c r="J359" s="171">
        <f t="shared" si="111"/>
        <v>666204.86</v>
      </c>
      <c r="K359" s="254">
        <f t="shared" si="111"/>
        <v>-1235.39</v>
      </c>
      <c r="L359" s="255">
        <f t="shared" si="111"/>
        <v>3342124.33</v>
      </c>
      <c r="M359" s="315">
        <f t="shared" si="111"/>
        <v>493629.29</v>
      </c>
      <c r="N359" s="254">
        <f t="shared" si="111"/>
        <v>0</v>
      </c>
      <c r="O359" s="255">
        <f t="shared" si="111"/>
        <v>3835753.62</v>
      </c>
      <c r="P359" s="102">
        <f t="shared" si="111"/>
        <v>0</v>
      </c>
      <c r="Q359" s="137">
        <f t="shared" si="111"/>
        <v>0</v>
      </c>
    </row>
    <row r="360" spans="1:17" ht="12.75">
      <c r="A360" s="21" t="s">
        <v>26</v>
      </c>
      <c r="B360" s="65"/>
      <c r="C360" s="134"/>
      <c r="D360" s="99"/>
      <c r="E360" s="99"/>
      <c r="F360" s="89"/>
      <c r="G360" s="169"/>
      <c r="H360" s="210"/>
      <c r="I360" s="230"/>
      <c r="J360" s="169"/>
      <c r="K360" s="249"/>
      <c r="L360" s="248"/>
      <c r="M360" s="292"/>
      <c r="N360" s="249"/>
      <c r="O360" s="248"/>
      <c r="P360" s="93"/>
      <c r="Q360" s="52"/>
    </row>
    <row r="361" spans="1:17" ht="12.75" hidden="1">
      <c r="A361" s="21" t="s">
        <v>171</v>
      </c>
      <c r="B361" s="65"/>
      <c r="C361" s="134"/>
      <c r="D361" s="99"/>
      <c r="E361" s="99"/>
      <c r="F361" s="89">
        <f aca="true" t="shared" si="112" ref="F361:F391">C361+D361+E361</f>
        <v>0</v>
      </c>
      <c r="G361" s="169"/>
      <c r="H361" s="210"/>
      <c r="I361" s="230"/>
      <c r="J361" s="169"/>
      <c r="K361" s="249"/>
      <c r="L361" s="248"/>
      <c r="M361" s="292"/>
      <c r="N361" s="249"/>
      <c r="O361" s="248"/>
      <c r="P361" s="93"/>
      <c r="Q361" s="52"/>
    </row>
    <row r="362" spans="1:17" ht="12.75">
      <c r="A362" s="21" t="s">
        <v>170</v>
      </c>
      <c r="B362" s="129">
        <v>1081.1202</v>
      </c>
      <c r="C362" s="134">
        <v>6044</v>
      </c>
      <c r="D362" s="99">
        <f>692.36</f>
        <v>692.36</v>
      </c>
      <c r="E362" s="99"/>
      <c r="F362" s="89">
        <f t="shared" si="112"/>
        <v>6736.36</v>
      </c>
      <c r="G362" s="169"/>
      <c r="H362" s="210"/>
      <c r="I362" s="230">
        <f aca="true" t="shared" si="113" ref="I362:I378">F362+G362+H362</f>
        <v>6736.36</v>
      </c>
      <c r="J362" s="169"/>
      <c r="K362" s="249"/>
      <c r="L362" s="248">
        <f aca="true" t="shared" si="114" ref="L362:L378">I362+J362+K362</f>
        <v>6736.36</v>
      </c>
      <c r="M362" s="292"/>
      <c r="N362" s="249"/>
      <c r="O362" s="248">
        <f aca="true" t="shared" si="115" ref="O362:O377">L362+M362+N362</f>
        <v>6736.36</v>
      </c>
      <c r="P362" s="93"/>
      <c r="Q362" s="52"/>
    </row>
    <row r="363" spans="1:17" ht="12.75">
      <c r="A363" s="21" t="s">
        <v>165</v>
      </c>
      <c r="B363" s="65"/>
      <c r="C363" s="134">
        <v>19868.59</v>
      </c>
      <c r="D363" s="99">
        <f>711.97+10000</f>
        <v>10711.97</v>
      </c>
      <c r="E363" s="99"/>
      <c r="F363" s="89">
        <f t="shared" si="112"/>
        <v>30580.559999999998</v>
      </c>
      <c r="G363" s="169"/>
      <c r="H363" s="210"/>
      <c r="I363" s="230">
        <f t="shared" si="113"/>
        <v>30580.559999999998</v>
      </c>
      <c r="J363" s="169">
        <f>20000</f>
        <v>20000</v>
      </c>
      <c r="K363" s="249"/>
      <c r="L363" s="248">
        <f t="shared" si="114"/>
        <v>50580.56</v>
      </c>
      <c r="M363" s="292"/>
      <c r="N363" s="249"/>
      <c r="O363" s="248">
        <f t="shared" si="115"/>
        <v>50580.56</v>
      </c>
      <c r="P363" s="93"/>
      <c r="Q363" s="52"/>
    </row>
    <row r="364" spans="1:17" ht="12.75">
      <c r="A364" s="21" t="s">
        <v>280</v>
      </c>
      <c r="B364" s="65"/>
      <c r="C364" s="134">
        <v>5000</v>
      </c>
      <c r="D364" s="99"/>
      <c r="E364" s="99"/>
      <c r="F364" s="89">
        <f t="shared" si="112"/>
        <v>5000</v>
      </c>
      <c r="G364" s="169"/>
      <c r="H364" s="210"/>
      <c r="I364" s="230">
        <f t="shared" si="113"/>
        <v>5000</v>
      </c>
      <c r="J364" s="169"/>
      <c r="K364" s="249"/>
      <c r="L364" s="248">
        <f t="shared" si="114"/>
        <v>5000</v>
      </c>
      <c r="M364" s="292">
        <f>-1000-800</f>
        <v>-1800</v>
      </c>
      <c r="N364" s="249"/>
      <c r="O364" s="248">
        <f t="shared" si="115"/>
        <v>3200</v>
      </c>
      <c r="P364" s="93"/>
      <c r="Q364" s="52"/>
    </row>
    <row r="365" spans="1:17" ht="12.75">
      <c r="A365" s="21" t="s">
        <v>289</v>
      </c>
      <c r="B365" s="65"/>
      <c r="C365" s="134"/>
      <c r="D365" s="150">
        <f>788.1</f>
        <v>788.1</v>
      </c>
      <c r="E365" s="150"/>
      <c r="F365" s="89">
        <f t="shared" si="112"/>
        <v>788.1</v>
      </c>
      <c r="G365" s="169"/>
      <c r="H365" s="210"/>
      <c r="I365" s="230">
        <f t="shared" si="113"/>
        <v>788.1</v>
      </c>
      <c r="J365" s="169"/>
      <c r="K365" s="249"/>
      <c r="L365" s="248">
        <f t="shared" si="114"/>
        <v>788.1</v>
      </c>
      <c r="M365" s="292"/>
      <c r="N365" s="249"/>
      <c r="O365" s="248">
        <f t="shared" si="115"/>
        <v>788.1</v>
      </c>
      <c r="P365" s="93"/>
      <c r="Q365" s="52"/>
    </row>
    <row r="366" spans="1:17" ht="12.75">
      <c r="A366" s="95" t="s">
        <v>230</v>
      </c>
      <c r="B366" s="65"/>
      <c r="C366" s="134">
        <v>400000</v>
      </c>
      <c r="D366" s="151">
        <f>200000+281690.37+30000+150000</f>
        <v>661690.37</v>
      </c>
      <c r="E366" s="151"/>
      <c r="F366" s="89">
        <f t="shared" si="112"/>
        <v>1061690.37</v>
      </c>
      <c r="G366" s="169">
        <f>-3000</f>
        <v>-3000</v>
      </c>
      <c r="H366" s="210"/>
      <c r="I366" s="230">
        <f t="shared" si="113"/>
        <v>1058690.37</v>
      </c>
      <c r="J366" s="175">
        <f>110000</f>
        <v>110000</v>
      </c>
      <c r="K366" s="249"/>
      <c r="L366" s="248">
        <f t="shared" si="114"/>
        <v>1168690.37</v>
      </c>
      <c r="M366" s="292"/>
      <c r="N366" s="249"/>
      <c r="O366" s="248">
        <f t="shared" si="115"/>
        <v>1168690.37</v>
      </c>
      <c r="P366" s="93"/>
      <c r="Q366" s="52"/>
    </row>
    <row r="367" spans="1:17" ht="12.75">
      <c r="A367" s="21" t="s">
        <v>290</v>
      </c>
      <c r="B367" s="97">
        <v>212163</v>
      </c>
      <c r="C367" s="134">
        <v>36000</v>
      </c>
      <c r="D367" s="150">
        <f>50274.06+47194.15</f>
        <v>97468.20999999999</v>
      </c>
      <c r="E367" s="150"/>
      <c r="F367" s="89">
        <f t="shared" si="112"/>
        <v>133468.21</v>
      </c>
      <c r="G367" s="169">
        <f>-10-74650</f>
        <v>-74660</v>
      </c>
      <c r="H367" s="210"/>
      <c r="I367" s="230">
        <f t="shared" si="113"/>
        <v>58808.20999999999</v>
      </c>
      <c r="J367" s="169">
        <f>30000</f>
        <v>30000</v>
      </c>
      <c r="K367" s="249"/>
      <c r="L367" s="248">
        <f t="shared" si="114"/>
        <v>88808.20999999999</v>
      </c>
      <c r="M367" s="292">
        <f>2.42</f>
        <v>2.42</v>
      </c>
      <c r="N367" s="249"/>
      <c r="O367" s="248">
        <f t="shared" si="115"/>
        <v>88810.62999999999</v>
      </c>
      <c r="P367" s="93"/>
      <c r="Q367" s="52"/>
    </row>
    <row r="368" spans="1:17" ht="12.75">
      <c r="A368" s="21" t="s">
        <v>234</v>
      </c>
      <c r="B368" s="97">
        <v>22777</v>
      </c>
      <c r="C368" s="134"/>
      <c r="D368" s="150"/>
      <c r="E368" s="150"/>
      <c r="F368" s="89">
        <f t="shared" si="112"/>
        <v>0</v>
      </c>
      <c r="G368" s="169">
        <f>41783.61</f>
        <v>41783.61</v>
      </c>
      <c r="H368" s="210"/>
      <c r="I368" s="230">
        <f t="shared" si="113"/>
        <v>41783.61</v>
      </c>
      <c r="J368" s="169"/>
      <c r="K368" s="249"/>
      <c r="L368" s="248">
        <f t="shared" si="114"/>
        <v>41783.61</v>
      </c>
      <c r="M368" s="292">
        <f>3636.99</f>
        <v>3636.99</v>
      </c>
      <c r="N368" s="249"/>
      <c r="O368" s="248">
        <f t="shared" si="115"/>
        <v>45420.6</v>
      </c>
      <c r="P368" s="93"/>
      <c r="Q368" s="52"/>
    </row>
    <row r="369" spans="1:17" ht="12.75" hidden="1">
      <c r="A369" s="21" t="s">
        <v>273</v>
      </c>
      <c r="B369" s="97">
        <v>98858</v>
      </c>
      <c r="C369" s="134"/>
      <c r="D369" s="150"/>
      <c r="E369" s="150"/>
      <c r="F369" s="89">
        <f t="shared" si="112"/>
        <v>0</v>
      </c>
      <c r="G369" s="169"/>
      <c r="H369" s="210"/>
      <c r="I369" s="230">
        <f t="shared" si="113"/>
        <v>0</v>
      </c>
      <c r="J369" s="169"/>
      <c r="K369" s="249"/>
      <c r="L369" s="248">
        <f t="shared" si="114"/>
        <v>0</v>
      </c>
      <c r="M369" s="292"/>
      <c r="N369" s="249"/>
      <c r="O369" s="248">
        <f t="shared" si="115"/>
        <v>0</v>
      </c>
      <c r="P369" s="93"/>
      <c r="Q369" s="52"/>
    </row>
    <row r="370" spans="1:17" ht="12.75">
      <c r="A370" s="21" t="s">
        <v>166</v>
      </c>
      <c r="B370" s="97">
        <v>212162</v>
      </c>
      <c r="C370" s="134"/>
      <c r="D370" s="150">
        <f>43486.32</f>
        <v>43486.32</v>
      </c>
      <c r="E370" s="150"/>
      <c r="F370" s="89">
        <f t="shared" si="112"/>
        <v>43486.32</v>
      </c>
      <c r="G370" s="169"/>
      <c r="H370" s="210"/>
      <c r="I370" s="230">
        <f t="shared" si="113"/>
        <v>43486.32</v>
      </c>
      <c r="J370" s="169">
        <f>-30000</f>
        <v>-30000</v>
      </c>
      <c r="K370" s="249"/>
      <c r="L370" s="248">
        <f t="shared" si="114"/>
        <v>13486.32</v>
      </c>
      <c r="M370" s="292"/>
      <c r="N370" s="249"/>
      <c r="O370" s="248">
        <f t="shared" si="115"/>
        <v>13486.32</v>
      </c>
      <c r="P370" s="93"/>
      <c r="Q370" s="52"/>
    </row>
    <row r="371" spans="1:17" ht="12.75">
      <c r="A371" s="21" t="s">
        <v>348</v>
      </c>
      <c r="B371" s="97">
        <v>22777</v>
      </c>
      <c r="C371" s="134"/>
      <c r="D371" s="150"/>
      <c r="E371" s="150"/>
      <c r="F371" s="89"/>
      <c r="G371" s="169"/>
      <c r="H371" s="210"/>
      <c r="I371" s="230">
        <f t="shared" si="113"/>
        <v>0</v>
      </c>
      <c r="J371" s="169">
        <f>1900.88</f>
        <v>1900.88</v>
      </c>
      <c r="K371" s="249"/>
      <c r="L371" s="248">
        <f t="shared" si="114"/>
        <v>1900.88</v>
      </c>
      <c r="M371" s="292"/>
      <c r="N371" s="249"/>
      <c r="O371" s="248">
        <f t="shared" si="115"/>
        <v>1900.88</v>
      </c>
      <c r="P371" s="93"/>
      <c r="Q371" s="52"/>
    </row>
    <row r="372" spans="1:17" ht="12.75">
      <c r="A372" s="21" t="s">
        <v>328</v>
      </c>
      <c r="B372" s="97"/>
      <c r="C372" s="134"/>
      <c r="D372" s="150">
        <f>2568.52</f>
        <v>2568.52</v>
      </c>
      <c r="E372" s="150"/>
      <c r="F372" s="89">
        <f t="shared" si="112"/>
        <v>2568.52</v>
      </c>
      <c r="G372" s="169">
        <f>22697.25</f>
        <v>22697.25</v>
      </c>
      <c r="H372" s="210"/>
      <c r="I372" s="230">
        <f t="shared" si="113"/>
        <v>25265.77</v>
      </c>
      <c r="J372" s="169">
        <f>6853.12</f>
        <v>6853.12</v>
      </c>
      <c r="K372" s="249"/>
      <c r="L372" s="248">
        <f t="shared" si="114"/>
        <v>32118.89</v>
      </c>
      <c r="M372" s="292">
        <f>938.38+1251.77</f>
        <v>2190.15</v>
      </c>
      <c r="N372" s="249"/>
      <c r="O372" s="248">
        <f t="shared" si="115"/>
        <v>34309.04</v>
      </c>
      <c r="P372" s="93"/>
      <c r="Q372" s="52"/>
    </row>
    <row r="373" spans="1:17" ht="12.75">
      <c r="A373" s="21" t="s">
        <v>353</v>
      </c>
      <c r="B373" s="97">
        <v>13501</v>
      </c>
      <c r="C373" s="134"/>
      <c r="D373" s="150"/>
      <c r="E373" s="150"/>
      <c r="F373" s="89"/>
      <c r="G373" s="169"/>
      <c r="H373" s="210"/>
      <c r="I373" s="230">
        <f t="shared" si="113"/>
        <v>0</v>
      </c>
      <c r="J373" s="169">
        <f>29741.91</f>
        <v>29741.91</v>
      </c>
      <c r="K373" s="249"/>
      <c r="L373" s="248">
        <f t="shared" si="114"/>
        <v>29741.91</v>
      </c>
      <c r="M373" s="292"/>
      <c r="N373" s="249"/>
      <c r="O373" s="248">
        <f t="shared" si="115"/>
        <v>29741.91</v>
      </c>
      <c r="P373" s="93"/>
      <c r="Q373" s="52"/>
    </row>
    <row r="374" spans="1:17" ht="12.75">
      <c r="A374" s="21" t="s">
        <v>307</v>
      </c>
      <c r="B374" s="97"/>
      <c r="C374" s="134"/>
      <c r="D374" s="150">
        <f>18961.22</f>
        <v>18961.22</v>
      </c>
      <c r="E374" s="150"/>
      <c r="F374" s="89">
        <f t="shared" si="112"/>
        <v>18961.22</v>
      </c>
      <c r="G374" s="169"/>
      <c r="H374" s="210"/>
      <c r="I374" s="230">
        <f t="shared" si="113"/>
        <v>18961.22</v>
      </c>
      <c r="J374" s="169">
        <f>14004.9</f>
        <v>14004.9</v>
      </c>
      <c r="K374" s="249"/>
      <c r="L374" s="248">
        <f t="shared" si="114"/>
        <v>32966.12</v>
      </c>
      <c r="M374" s="292"/>
      <c r="N374" s="249"/>
      <c r="O374" s="248">
        <f t="shared" si="115"/>
        <v>32966.12</v>
      </c>
      <c r="P374" s="93"/>
      <c r="Q374" s="52"/>
    </row>
    <row r="375" spans="1:17" ht="12.75">
      <c r="A375" s="21" t="s">
        <v>346</v>
      </c>
      <c r="B375" s="97">
        <v>91628</v>
      </c>
      <c r="C375" s="134"/>
      <c r="D375" s="150">
        <f>183880</f>
        <v>183880</v>
      </c>
      <c r="E375" s="150"/>
      <c r="F375" s="89">
        <f t="shared" si="112"/>
        <v>183880</v>
      </c>
      <c r="G375" s="169"/>
      <c r="H375" s="210"/>
      <c r="I375" s="230">
        <f t="shared" si="113"/>
        <v>183880</v>
      </c>
      <c r="J375" s="169"/>
      <c r="K375" s="249"/>
      <c r="L375" s="248">
        <f t="shared" si="114"/>
        <v>183880</v>
      </c>
      <c r="M375" s="292"/>
      <c r="N375" s="249"/>
      <c r="O375" s="248">
        <f t="shared" si="115"/>
        <v>183880</v>
      </c>
      <c r="P375" s="93"/>
      <c r="Q375" s="52"/>
    </row>
    <row r="376" spans="1:17" ht="12.75">
      <c r="A376" s="21" t="s">
        <v>342</v>
      </c>
      <c r="B376" s="97">
        <v>91628</v>
      </c>
      <c r="C376" s="134"/>
      <c r="D376" s="150"/>
      <c r="E376" s="150"/>
      <c r="F376" s="89">
        <f t="shared" si="112"/>
        <v>0</v>
      </c>
      <c r="G376" s="169">
        <f>8953.48</f>
        <v>8953.48</v>
      </c>
      <c r="H376" s="210"/>
      <c r="I376" s="230">
        <f t="shared" si="113"/>
        <v>8953.48</v>
      </c>
      <c r="J376" s="169"/>
      <c r="K376" s="249"/>
      <c r="L376" s="248">
        <f t="shared" si="114"/>
        <v>8953.48</v>
      </c>
      <c r="M376" s="292"/>
      <c r="N376" s="249"/>
      <c r="O376" s="248">
        <f t="shared" si="115"/>
        <v>8953.48</v>
      </c>
      <c r="P376" s="93"/>
      <c r="Q376" s="52"/>
    </row>
    <row r="377" spans="1:17" ht="12.75">
      <c r="A377" s="38" t="s">
        <v>356</v>
      </c>
      <c r="B377" s="97">
        <v>91628</v>
      </c>
      <c r="C377" s="134"/>
      <c r="D377" s="150"/>
      <c r="E377" s="150"/>
      <c r="F377" s="89"/>
      <c r="G377" s="169"/>
      <c r="H377" s="210"/>
      <c r="I377" s="230">
        <f t="shared" si="113"/>
        <v>0</v>
      </c>
      <c r="J377" s="169">
        <f>149400</f>
        <v>149400</v>
      </c>
      <c r="K377" s="249"/>
      <c r="L377" s="248">
        <f t="shared" si="114"/>
        <v>149400</v>
      </c>
      <c r="M377" s="292"/>
      <c r="N377" s="249"/>
      <c r="O377" s="248">
        <f t="shared" si="115"/>
        <v>149400</v>
      </c>
      <c r="P377" s="93"/>
      <c r="Q377" s="52"/>
    </row>
    <row r="378" spans="1:17" ht="12.75" hidden="1">
      <c r="A378" s="21" t="s">
        <v>199</v>
      </c>
      <c r="B378" s="65"/>
      <c r="C378" s="134"/>
      <c r="D378" s="150"/>
      <c r="E378" s="150"/>
      <c r="F378" s="89">
        <f t="shared" si="112"/>
        <v>0</v>
      </c>
      <c r="G378" s="169"/>
      <c r="H378" s="210"/>
      <c r="I378" s="230">
        <f t="shared" si="113"/>
        <v>0</v>
      </c>
      <c r="J378" s="169"/>
      <c r="K378" s="249"/>
      <c r="L378" s="248">
        <f t="shared" si="114"/>
        <v>0</v>
      </c>
      <c r="M378" s="292"/>
      <c r="N378" s="249"/>
      <c r="O378" s="248"/>
      <c r="P378" s="93"/>
      <c r="Q378" s="52"/>
    </row>
    <row r="379" spans="1:17" ht="12.75">
      <c r="A379" s="21" t="s">
        <v>167</v>
      </c>
      <c r="B379" s="65"/>
      <c r="C379" s="134">
        <f>SUM(C380:C391)</f>
        <v>286229</v>
      </c>
      <c r="D379" s="99">
        <f>SUM(D380:D391)</f>
        <v>708676.92</v>
      </c>
      <c r="E379" s="99">
        <f aca="true" t="shared" si="116" ref="E379:Q379">SUM(E380:E391)</f>
        <v>0</v>
      </c>
      <c r="F379" s="89">
        <f t="shared" si="116"/>
        <v>994905.92</v>
      </c>
      <c r="G379" s="169">
        <f t="shared" si="116"/>
        <v>200112.72999999998</v>
      </c>
      <c r="H379" s="210">
        <f t="shared" si="116"/>
        <v>-797.7899999999936</v>
      </c>
      <c r="I379" s="230">
        <f t="shared" si="116"/>
        <v>1194220.8599999999</v>
      </c>
      <c r="J379" s="169">
        <f t="shared" si="116"/>
        <v>334304.05</v>
      </c>
      <c r="K379" s="249">
        <f t="shared" si="116"/>
        <v>-1235.39</v>
      </c>
      <c r="L379" s="248">
        <f t="shared" si="116"/>
        <v>1527289.52</v>
      </c>
      <c r="M379" s="292">
        <f t="shared" si="116"/>
        <v>489599.73</v>
      </c>
      <c r="N379" s="249">
        <f t="shared" si="116"/>
        <v>0</v>
      </c>
      <c r="O379" s="248">
        <f t="shared" si="116"/>
        <v>2016889.25</v>
      </c>
      <c r="P379" s="89">
        <f t="shared" si="116"/>
        <v>0</v>
      </c>
      <c r="Q379" s="134">
        <f t="shared" si="116"/>
        <v>0</v>
      </c>
    </row>
    <row r="380" spans="1:17" ht="12.75">
      <c r="A380" s="17" t="s">
        <v>217</v>
      </c>
      <c r="B380" s="65"/>
      <c r="C380" s="139">
        <v>1000</v>
      </c>
      <c r="D380" s="150"/>
      <c r="E380" s="99"/>
      <c r="F380" s="89">
        <f>C380+D380+E380</f>
        <v>1000</v>
      </c>
      <c r="G380" s="169"/>
      <c r="H380" s="210"/>
      <c r="I380" s="230">
        <f aca="true" t="shared" si="117" ref="I380:I391">F380+G380+H380</f>
        <v>1000</v>
      </c>
      <c r="J380" s="169"/>
      <c r="K380" s="249"/>
      <c r="L380" s="248">
        <f aca="true" t="shared" si="118" ref="L380:L391">I380+J380+K380</f>
        <v>1000</v>
      </c>
      <c r="M380" s="292"/>
      <c r="N380" s="249"/>
      <c r="O380" s="248">
        <f aca="true" t="shared" si="119" ref="O380:O391">L380+M380+N380</f>
        <v>1000</v>
      </c>
      <c r="P380" s="93"/>
      <c r="Q380" s="52"/>
    </row>
    <row r="381" spans="1:17" ht="12.75">
      <c r="A381" s="17" t="s">
        <v>175</v>
      </c>
      <c r="B381" s="65"/>
      <c r="C381" s="139"/>
      <c r="D381" s="150">
        <f>2866+68524.41+3958.35</f>
        <v>75348.76000000001</v>
      </c>
      <c r="E381" s="99"/>
      <c r="F381" s="89">
        <f>C381+D381+E381</f>
        <v>75348.76000000001</v>
      </c>
      <c r="G381" s="169">
        <f>9198.7</f>
        <v>9198.7</v>
      </c>
      <c r="H381" s="210"/>
      <c r="I381" s="230">
        <f t="shared" si="117"/>
        <v>84547.46</v>
      </c>
      <c r="J381" s="169">
        <f>2576.91+5798.02+25854+1327.64+500+8892.9</f>
        <v>44949.47</v>
      </c>
      <c r="K381" s="249"/>
      <c r="L381" s="248">
        <f t="shared" si="118"/>
        <v>129496.93000000001</v>
      </c>
      <c r="M381" s="292">
        <f>11338.35+344.85+8837.52-579.8-436-500-110-36.99+1121.01</f>
        <v>19978.94</v>
      </c>
      <c r="N381" s="249"/>
      <c r="O381" s="248">
        <f t="shared" si="119"/>
        <v>149475.87</v>
      </c>
      <c r="P381" s="93"/>
      <c r="Q381" s="52"/>
    </row>
    <row r="382" spans="1:17" ht="12.75">
      <c r="A382" s="17" t="s">
        <v>268</v>
      </c>
      <c r="B382" s="65"/>
      <c r="C382" s="134"/>
      <c r="D382" s="150">
        <f>420+940.71+1399.29</f>
        <v>2760</v>
      </c>
      <c r="E382" s="99"/>
      <c r="F382" s="89">
        <f t="shared" si="112"/>
        <v>2760</v>
      </c>
      <c r="G382" s="169"/>
      <c r="H382" s="210"/>
      <c r="I382" s="230">
        <f t="shared" si="117"/>
        <v>2760</v>
      </c>
      <c r="J382" s="169">
        <f>750</f>
        <v>750</v>
      </c>
      <c r="K382" s="249"/>
      <c r="L382" s="248">
        <f t="shared" si="118"/>
        <v>3510</v>
      </c>
      <c r="M382" s="292"/>
      <c r="N382" s="249"/>
      <c r="O382" s="248">
        <f t="shared" si="119"/>
        <v>3510</v>
      </c>
      <c r="P382" s="93"/>
      <c r="Q382" s="52"/>
    </row>
    <row r="383" spans="1:17" ht="12.75">
      <c r="A383" s="17" t="s">
        <v>229</v>
      </c>
      <c r="B383" s="65"/>
      <c r="C383" s="134">
        <v>119349</v>
      </c>
      <c r="D383" s="150">
        <f>100000+70380.77</f>
        <v>170380.77000000002</v>
      </c>
      <c r="E383" s="99"/>
      <c r="F383" s="89">
        <f t="shared" si="112"/>
        <v>289729.77</v>
      </c>
      <c r="G383" s="169">
        <f>77371.62+20000</f>
        <v>97371.62</v>
      </c>
      <c r="H383" s="210"/>
      <c r="I383" s="230">
        <f t="shared" si="117"/>
        <v>387101.39</v>
      </c>
      <c r="J383" s="169">
        <f>16410.48+51832.85</f>
        <v>68243.33</v>
      </c>
      <c r="K383" s="249"/>
      <c r="L383" s="248">
        <f t="shared" si="118"/>
        <v>455344.72000000003</v>
      </c>
      <c r="M383" s="292">
        <f>132325.76+95842.39+85936.53+121.73+86951.32</f>
        <v>401177.73000000004</v>
      </c>
      <c r="N383" s="249"/>
      <c r="O383" s="248">
        <f t="shared" si="119"/>
        <v>856522.4500000001</v>
      </c>
      <c r="P383" s="93"/>
      <c r="Q383" s="52"/>
    </row>
    <row r="384" spans="1:19" ht="12.75">
      <c r="A384" s="17" t="s">
        <v>174</v>
      </c>
      <c r="B384" s="65"/>
      <c r="C384" s="134">
        <v>82319</v>
      </c>
      <c r="D384" s="150">
        <f>-70645+813.97+1332.17+1911.58+54.45+1372.24+1188.6+1094.57+4006.77+4204.29+835.25+44.41+352.59</f>
        <v>-53434.11000000001</v>
      </c>
      <c r="E384" s="99"/>
      <c r="F384" s="89">
        <f t="shared" si="112"/>
        <v>28884.889999999992</v>
      </c>
      <c r="G384" s="169">
        <f>2494.52+171.34+43.56+150.04+7114.8+69.39+5410.03+4.84+3956+7.68+2782.77+1222.9+14650+5025.73+150.31+1666</f>
        <v>44919.91</v>
      </c>
      <c r="H384" s="210">
        <f>812.19+37542.28</f>
        <v>38354.47</v>
      </c>
      <c r="I384" s="230">
        <f t="shared" si="117"/>
        <v>112159.26999999999</v>
      </c>
      <c r="J384" s="169">
        <f>4832+2303.84+4398.27+44.77+1983.28+1551.94+2237.44+1601.6+1902.98+758.41+5392.92+1135.18+4873.92+749.74+350.9+1952.02+4409.78+568.43</f>
        <v>41047.41999999999</v>
      </c>
      <c r="K384" s="249">
        <f>78.29+708.05</f>
        <v>786.3399999999999</v>
      </c>
      <c r="L384" s="248">
        <f t="shared" si="118"/>
        <v>153993.02999999997</v>
      </c>
      <c r="M384" s="292">
        <f>119.06+384.68+2550+11528.07+653.82+2475.74+2100.28+4355.65+43.56+3232.06+881.8+813.13+140+2.54+3031.12+3868.33+2032.67+1887.62+2766.23+1099.94</f>
        <v>43966.3</v>
      </c>
      <c r="N384" s="249"/>
      <c r="O384" s="248">
        <f t="shared" si="119"/>
        <v>197959.32999999996</v>
      </c>
      <c r="P384" s="93"/>
      <c r="Q384" s="52"/>
      <c r="S384" s="90"/>
    </row>
    <row r="385" spans="1:17" ht="12.75">
      <c r="A385" s="17" t="s">
        <v>177</v>
      </c>
      <c r="B385" s="65"/>
      <c r="C385" s="134">
        <v>22295</v>
      </c>
      <c r="D385" s="150">
        <f>62130.19+715.39+7090.75+4795.8</f>
        <v>74732.13</v>
      </c>
      <c r="E385" s="99"/>
      <c r="F385" s="89">
        <f t="shared" si="112"/>
        <v>97027.13</v>
      </c>
      <c r="G385" s="169">
        <f>6706.02+356.6+9839.19+900.67+6306.09+1149.61+60000</f>
        <v>85258.18</v>
      </c>
      <c r="H385" s="210"/>
      <c r="I385" s="230">
        <f t="shared" si="117"/>
        <v>182285.31</v>
      </c>
      <c r="J385" s="169">
        <f>11149.75+2907.52+10742.85+1966.58+8100+10363.25</f>
        <v>45229.950000000004</v>
      </c>
      <c r="K385" s="249"/>
      <c r="L385" s="248">
        <f t="shared" si="118"/>
        <v>227515.26</v>
      </c>
      <c r="M385" s="292">
        <f>2348.23+11908.84+11301.34+1157.37+13590.33+3.63+5732.05</f>
        <v>46041.79</v>
      </c>
      <c r="N385" s="249"/>
      <c r="O385" s="248">
        <f t="shared" si="119"/>
        <v>273557.05</v>
      </c>
      <c r="P385" s="93"/>
      <c r="Q385" s="52"/>
    </row>
    <row r="386" spans="1:17" ht="13.5" thickBot="1">
      <c r="A386" s="342" t="s">
        <v>181</v>
      </c>
      <c r="B386" s="330"/>
      <c r="C386" s="331">
        <v>40400</v>
      </c>
      <c r="D386" s="343">
        <f>-1609-5000-31665+22721.54+1928.95+2312.69-5</f>
        <v>-11315.819999999998</v>
      </c>
      <c r="E386" s="332"/>
      <c r="F386" s="333">
        <f t="shared" si="112"/>
        <v>29084.18</v>
      </c>
      <c r="G386" s="334">
        <f>2247.84+1511.46+1762.83+167.71+573.8+2887.23+22.99+1505.58-2000+801.18</f>
        <v>9480.62</v>
      </c>
      <c r="H386" s="335"/>
      <c r="I386" s="336">
        <f t="shared" si="117"/>
        <v>38564.8</v>
      </c>
      <c r="J386" s="334">
        <f>1299.8+32.67+617.52+451.12+22.99+420.5+865.97+3896.94+754.3+1615.38+1100.71+2711.4+22.99+6000-500+307.92+2000+764.04+479.81</f>
        <v>22864.059999999998</v>
      </c>
      <c r="K386" s="337"/>
      <c r="L386" s="338">
        <f t="shared" si="118"/>
        <v>61428.86</v>
      </c>
      <c r="M386" s="341">
        <f>3112.65+983-8000+2154.51+123.2+24.87+348.75+88.19+4078.14+21.42+342.99+3112.51+399.83+39.93+24.87+600+573.87+2638.89</f>
        <v>10667.62</v>
      </c>
      <c r="N386" s="337"/>
      <c r="O386" s="338">
        <f t="shared" si="119"/>
        <v>72096.48</v>
      </c>
      <c r="P386" s="93"/>
      <c r="Q386" s="52"/>
    </row>
    <row r="387" spans="1:17" ht="12.75">
      <c r="A387" s="344" t="s">
        <v>180</v>
      </c>
      <c r="B387" s="345"/>
      <c r="C387" s="346">
        <v>15000</v>
      </c>
      <c r="D387" s="347">
        <f>33882.33+1244.53+9.26+17.97+1775.78-0.27+18.51+8.71+1331.96</f>
        <v>38288.780000000006</v>
      </c>
      <c r="E387" s="347"/>
      <c r="F387" s="348">
        <f t="shared" si="112"/>
        <v>53288.780000000006</v>
      </c>
      <c r="G387" s="349">
        <f>10.89+8.71+8.71+578.26+37.4+31.25+10.69+9.63-8000</f>
        <v>-7304.46</v>
      </c>
      <c r="H387" s="350"/>
      <c r="I387" s="351">
        <f t="shared" si="117"/>
        <v>45984.32000000001</v>
      </c>
      <c r="J387" s="352">
        <f>31.26+2131.73+95.55+4109.21+28350+3324.26+32704.17+49889.03+3000+462.23</f>
        <v>124097.43999999999</v>
      </c>
      <c r="K387" s="353"/>
      <c r="L387" s="354">
        <f t="shared" si="118"/>
        <v>170081.76</v>
      </c>
      <c r="M387" s="355">
        <f>4039.62+208.94+13.98+1598.55+4002.72+1351.01+503.29+286.49+11570.09+198.78+2414.87+712.83+904.94+726.14+4288.15</f>
        <v>32820.4</v>
      </c>
      <c r="N387" s="353"/>
      <c r="O387" s="354">
        <f t="shared" si="119"/>
        <v>202902.16</v>
      </c>
      <c r="P387" s="93"/>
      <c r="Q387" s="52"/>
    </row>
    <row r="388" spans="1:17" ht="12.75" hidden="1">
      <c r="A388" s="17" t="s">
        <v>208</v>
      </c>
      <c r="B388" s="65">
        <v>2088</v>
      </c>
      <c r="C388" s="134"/>
      <c r="D388" s="99"/>
      <c r="E388" s="99"/>
      <c r="F388" s="89">
        <f t="shared" si="112"/>
        <v>0</v>
      </c>
      <c r="G388" s="169"/>
      <c r="H388" s="210"/>
      <c r="I388" s="230">
        <f t="shared" si="117"/>
        <v>0</v>
      </c>
      <c r="J388" s="169"/>
      <c r="K388" s="249"/>
      <c r="L388" s="248">
        <f t="shared" si="118"/>
        <v>0</v>
      </c>
      <c r="M388" s="292"/>
      <c r="N388" s="249"/>
      <c r="O388" s="248">
        <f t="shared" si="119"/>
        <v>0</v>
      </c>
      <c r="P388" s="93"/>
      <c r="Q388" s="52"/>
    </row>
    <row r="389" spans="1:17" ht="12.75">
      <c r="A389" s="17" t="s">
        <v>281</v>
      </c>
      <c r="B389" s="65">
        <v>2088</v>
      </c>
      <c r="C389" s="134"/>
      <c r="D389" s="99">
        <f>138935.27</f>
        <v>138935.27</v>
      </c>
      <c r="E389" s="99"/>
      <c r="F389" s="89">
        <f t="shared" si="112"/>
        <v>138935.27</v>
      </c>
      <c r="G389" s="169">
        <f>2469.43-77371.62</f>
        <v>-74902.19</v>
      </c>
      <c r="H389" s="210"/>
      <c r="I389" s="230">
        <f t="shared" si="117"/>
        <v>64033.07999999999</v>
      </c>
      <c r="J389" s="169">
        <f>27224.83-51832.85+21667.24</f>
        <v>-2940.779999999995</v>
      </c>
      <c r="K389" s="249"/>
      <c r="L389" s="248">
        <f t="shared" si="118"/>
        <v>61092.29999999999</v>
      </c>
      <c r="M389" s="292">
        <f>43383.6+28140.52-132325.76+48563.67+41135.96+20879.53+35750.9-95842.39+12998.81+33225.89+9930.23+22589.67-85936.53+40117.24+54960.25+4948.48-86951.32</f>
        <v>-4431.250000000044</v>
      </c>
      <c r="N389" s="249"/>
      <c r="O389" s="248">
        <f t="shared" si="119"/>
        <v>56661.049999999945</v>
      </c>
      <c r="P389" s="93"/>
      <c r="Q389" s="52"/>
    </row>
    <row r="390" spans="1:17" ht="12.75">
      <c r="A390" s="21" t="s">
        <v>240</v>
      </c>
      <c r="B390" s="65">
        <v>2077</v>
      </c>
      <c r="C390" s="134">
        <v>5866</v>
      </c>
      <c r="D390" s="99">
        <f>1609+5000+31665+70645-2866+116514.28-813.97-799.3-1911.58-54.45-820.8-118.86-1094.57-3413.15-368.93-1399.29+131.48-4.44-558.29</f>
        <v>211341.13000000003</v>
      </c>
      <c r="E390" s="99"/>
      <c r="F390" s="89">
        <f t="shared" si="112"/>
        <v>217207.13000000003</v>
      </c>
      <c r="G390" s="169">
        <f>-1216.49-171.34-26.14-88.94-69.39-5409.18-4.84-3418.56-1672.99-812.92-315.59-13.79-15025.73-480.71</f>
        <v>-28726.61</v>
      </c>
      <c r="H390" s="210"/>
      <c r="I390" s="230">
        <f t="shared" si="117"/>
        <v>188480.52000000002</v>
      </c>
      <c r="J390" s="169">
        <f>-1382.3-401.39-4086.93-270.67-91.96-1191.35-1008.76-1454.34-13.79-964.14-273.33-1141.79-476.28-452.58-94.38-3235.75-994.64-660.43-3029.81-13.79-350.9-1268.81-2645.87-284.38-436.72-410.43</f>
        <v>-26635.520000000004</v>
      </c>
      <c r="K390" s="249"/>
      <c r="L390" s="248">
        <f t="shared" si="118"/>
        <v>161845</v>
      </c>
      <c r="M390" s="292">
        <f>-94.5-230.81-62.8-7306.38-1239.48-928.63-92.93+8000-2446.86-1916.61-73.92-24.87-26.14-88.19-2451.62-2341.64-21.42-487.88-36.41-2984.65-321-1867.51-399.83-2593.98-25.96-24.87-344.32-1659.74-1087.69</f>
        <v>-23180.639999999996</v>
      </c>
      <c r="N390" s="249"/>
      <c r="O390" s="248">
        <f t="shared" si="119"/>
        <v>138664.36000000002</v>
      </c>
      <c r="P390" s="93"/>
      <c r="Q390" s="52"/>
    </row>
    <row r="391" spans="1:19" ht="12.75">
      <c r="A391" s="28" t="s">
        <v>282</v>
      </c>
      <c r="B391" s="68">
        <v>2099</v>
      </c>
      <c r="C391" s="195"/>
      <c r="D391" s="148">
        <f>68906.93-532.87-1244.53-9.26-1928.95-715.39-17.97-7090.75-551.44-3523.83-1775.78+25164.74+3126.66+19217.2-593.62-2312.69-466.32-4795.8+5241.84-2441.18-148.49-178-30000-358.53-1331.96</f>
        <v>61640.01</v>
      </c>
      <c r="E391" s="148"/>
      <c r="F391" s="159">
        <f t="shared" si="112"/>
        <v>61640.01</v>
      </c>
      <c r="G391" s="174">
        <f>30365.86+16108.22+67.54+2580.64+6945.11-6706.02-1278.03-356.6-10.89-8.71-8.71-2247.84-17.42-61.1-7114.8-578.26-9839.19-0.85-1511.46-2300.27-900.67-37.4-167.71-728.13+2900+34672.14+14458.98-6306.09-90.19-1109.78-409.98-258.21-2887.23-9.2-1149.61-1505.58-9.63+5932+382.5-1666-320.47</f>
        <v>64816.96000000001</v>
      </c>
      <c r="H391" s="216">
        <f>-996.96-37614.88-540.42</f>
        <v>-39152.259999999995</v>
      </c>
      <c r="I391" s="235">
        <f t="shared" si="117"/>
        <v>87304.71</v>
      </c>
      <c r="J391" s="174">
        <f>18592.58+12944.72+2286.13-1299.8-4832-5500-11149.75-32.67-921.54-216.13-490.03-2907.52-311.34-750-180.45-791.93-2131.73-95.55-543.18-783.1-9.2-637.46-147.17-761.19-389.69-4066.03-758.41-10742.85-301.72-1615.38-1966.58-709.22-2157.17-4109.21-5798.02+2269.26-140.54-440.28-2711.4-1844.11-9.2+462.48+10194.92+534.48+13590.04+13844.44-6000-8100+42479.94-749.74-683.21-1763.91-23.54-10363.25-8000-43.09-3324.26+10259.44-8892.9+7914.37+2274.76-500+315-568.43</f>
        <v>16698.680000000008</v>
      </c>
      <c r="K391" s="258">
        <f>-1191.21-830.52</f>
        <v>-2021.73</v>
      </c>
      <c r="L391" s="259">
        <f t="shared" si="118"/>
        <v>101981.66000000002</v>
      </c>
      <c r="M391" s="302">
        <f>2027.86+978.99+27295.02+4816.86-2348.23-24.56-153.87-2550-4158.89-944.54-11908.84-983-653.82-4039.62-208.94-13.98-8837.52-2154.51-28.88-183.67-49.28-4355.65-493-17.42-866.83-1626.52+1191.2-11301.34-890.42+579.8-1598.55-881.8-4002.72-1351.01-325.25-503.29-286.49-1157.37+19.18+21.05+18.36+22.8+24.85+14.14-327.69+13.31-46.47-21.99+9654.84+10580.6-13590.33+13604.82-198.78-2414.87-1274.35-1245-13.97-2032.67-5732.05-229.55-712.83-1887.62-1106.49-904.94-726.14-4288.15-12.25-2638.89</f>
        <v>-37441.16</v>
      </c>
      <c r="N391" s="258"/>
      <c r="O391" s="259">
        <f t="shared" si="119"/>
        <v>64540.500000000015</v>
      </c>
      <c r="P391" s="93"/>
      <c r="Q391" s="52"/>
      <c r="S391" s="90"/>
    </row>
    <row r="392" spans="1:17" ht="12.75">
      <c r="A392" s="14" t="s">
        <v>90</v>
      </c>
      <c r="B392" s="69"/>
      <c r="C392" s="133">
        <f aca="true" t="shared" si="120" ref="C392:Q392">C393+C423</f>
        <v>251309.76</v>
      </c>
      <c r="D392" s="86">
        <f t="shared" si="120"/>
        <v>1127845.5800000003</v>
      </c>
      <c r="E392" s="86">
        <f t="shared" si="120"/>
        <v>0</v>
      </c>
      <c r="F392" s="94">
        <f t="shared" si="120"/>
        <v>1379155.34</v>
      </c>
      <c r="G392" s="168">
        <f t="shared" si="120"/>
        <v>66243.52</v>
      </c>
      <c r="H392" s="209">
        <f t="shared" si="120"/>
        <v>0</v>
      </c>
      <c r="I392" s="229">
        <f t="shared" si="120"/>
        <v>1445398.8600000003</v>
      </c>
      <c r="J392" s="168">
        <f t="shared" si="120"/>
        <v>61588.46000000001</v>
      </c>
      <c r="K392" s="246">
        <f t="shared" si="120"/>
        <v>0</v>
      </c>
      <c r="L392" s="247">
        <f t="shared" si="120"/>
        <v>1506987.3200000003</v>
      </c>
      <c r="M392" s="309">
        <f>M393+M423</f>
        <v>68878.40999999999</v>
      </c>
      <c r="N392" s="246">
        <f>N393+N423</f>
        <v>0</v>
      </c>
      <c r="O392" s="247">
        <f>O393+O423</f>
        <v>1575865.7300000002</v>
      </c>
      <c r="P392" s="86">
        <f t="shared" si="120"/>
        <v>0</v>
      </c>
      <c r="Q392" s="133">
        <f t="shared" si="120"/>
        <v>298449.43999999994</v>
      </c>
    </row>
    <row r="393" spans="1:17" ht="12.75">
      <c r="A393" s="23" t="s">
        <v>48</v>
      </c>
      <c r="B393" s="69"/>
      <c r="C393" s="137">
        <f aca="true" t="shared" si="121" ref="C393:Q393">SUM(C395:C422)</f>
        <v>251309.76</v>
      </c>
      <c r="D393" s="102">
        <f t="shared" si="121"/>
        <v>1127845.5800000003</v>
      </c>
      <c r="E393" s="102">
        <f t="shared" si="121"/>
        <v>0</v>
      </c>
      <c r="F393" s="120">
        <f t="shared" si="121"/>
        <v>1379155.34</v>
      </c>
      <c r="G393" s="171">
        <f t="shared" si="121"/>
        <v>66058.17</v>
      </c>
      <c r="H393" s="214">
        <f t="shared" si="121"/>
        <v>0</v>
      </c>
      <c r="I393" s="233">
        <f t="shared" si="121"/>
        <v>1445213.5100000002</v>
      </c>
      <c r="J393" s="171">
        <f t="shared" si="121"/>
        <v>59388.46000000001</v>
      </c>
      <c r="K393" s="254">
        <f t="shared" si="121"/>
        <v>0</v>
      </c>
      <c r="L393" s="255">
        <f t="shared" si="121"/>
        <v>1504601.9700000002</v>
      </c>
      <c r="M393" s="315">
        <f>SUM(M395:M422)</f>
        <v>68878.40999999999</v>
      </c>
      <c r="N393" s="254">
        <f>SUM(N395:N422)</f>
        <v>0</v>
      </c>
      <c r="O393" s="255">
        <f>SUM(O395:O422)</f>
        <v>1573480.3800000001</v>
      </c>
      <c r="P393" s="102">
        <f t="shared" si="121"/>
        <v>0</v>
      </c>
      <c r="Q393" s="137">
        <f t="shared" si="121"/>
        <v>296064.08999999997</v>
      </c>
    </row>
    <row r="394" spans="1:17" ht="12.75">
      <c r="A394" s="19" t="s">
        <v>26</v>
      </c>
      <c r="B394" s="65"/>
      <c r="C394" s="134"/>
      <c r="D394" s="99"/>
      <c r="E394" s="99"/>
      <c r="F394" s="89"/>
      <c r="G394" s="169"/>
      <c r="H394" s="210"/>
      <c r="I394" s="230"/>
      <c r="J394" s="169"/>
      <c r="K394" s="249"/>
      <c r="L394" s="248"/>
      <c r="M394" s="292"/>
      <c r="N394" s="249"/>
      <c r="O394" s="248"/>
      <c r="P394" s="93"/>
      <c r="Q394" s="52"/>
    </row>
    <row r="395" spans="1:17" ht="12.75">
      <c r="A395" s="167" t="s">
        <v>91</v>
      </c>
      <c r="B395" s="71"/>
      <c r="C395" s="134">
        <v>190000</v>
      </c>
      <c r="D395" s="99">
        <f>35000</f>
        <v>35000</v>
      </c>
      <c r="E395" s="99"/>
      <c r="F395" s="109">
        <f aca="true" t="shared" si="122" ref="F395:F422">C395+D395+E395</f>
        <v>225000</v>
      </c>
      <c r="G395" s="169">
        <f>15000</f>
        <v>15000</v>
      </c>
      <c r="H395" s="210"/>
      <c r="I395" s="230">
        <f>F395+G395+H395</f>
        <v>240000</v>
      </c>
      <c r="J395" s="169"/>
      <c r="K395" s="249">
        <f>7820</f>
        <v>7820</v>
      </c>
      <c r="L395" s="248">
        <f>I395+J395+K395</f>
        <v>247820</v>
      </c>
      <c r="M395" s="292"/>
      <c r="N395" s="249"/>
      <c r="O395" s="248">
        <f>L395+M395+N395</f>
        <v>247820</v>
      </c>
      <c r="P395" s="93"/>
      <c r="Q395" s="52">
        <f>O395+P395</f>
        <v>247820</v>
      </c>
    </row>
    <row r="396" spans="1:17" ht="12.75" hidden="1">
      <c r="A396" s="66" t="s">
        <v>205</v>
      </c>
      <c r="B396" s="71"/>
      <c r="C396" s="134"/>
      <c r="D396" s="99"/>
      <c r="E396" s="99"/>
      <c r="F396" s="89">
        <f t="shared" si="122"/>
        <v>0</v>
      </c>
      <c r="G396" s="169"/>
      <c r="H396" s="210"/>
      <c r="I396" s="230">
        <f aca="true" t="shared" si="123" ref="I396:I422">F396+G396+H396</f>
        <v>0</v>
      </c>
      <c r="J396" s="169"/>
      <c r="K396" s="249"/>
      <c r="L396" s="248">
        <f aca="true" t="shared" si="124" ref="L396:L421">I396+J396+K396</f>
        <v>0</v>
      </c>
      <c r="M396" s="292"/>
      <c r="N396" s="249"/>
      <c r="O396" s="248">
        <f aca="true" t="shared" si="125" ref="O396:O422">L396+M396+N396</f>
        <v>0</v>
      </c>
      <c r="P396" s="93"/>
      <c r="Q396" s="52"/>
    </row>
    <row r="397" spans="1:17" ht="12.75" hidden="1">
      <c r="A397" s="17" t="s">
        <v>143</v>
      </c>
      <c r="B397" s="65"/>
      <c r="C397" s="134"/>
      <c r="D397" s="99"/>
      <c r="E397" s="99"/>
      <c r="F397" s="89">
        <f t="shared" si="122"/>
        <v>0</v>
      </c>
      <c r="G397" s="169"/>
      <c r="H397" s="210"/>
      <c r="I397" s="230">
        <f t="shared" si="123"/>
        <v>0</v>
      </c>
      <c r="J397" s="169"/>
      <c r="K397" s="249"/>
      <c r="L397" s="248">
        <f t="shared" si="124"/>
        <v>0</v>
      </c>
      <c r="M397" s="292"/>
      <c r="N397" s="249"/>
      <c r="O397" s="248">
        <f t="shared" si="125"/>
        <v>0</v>
      </c>
      <c r="P397" s="93"/>
      <c r="Q397" s="52">
        <f>O397+P397</f>
        <v>0</v>
      </c>
    </row>
    <row r="398" spans="1:17" ht="12.75">
      <c r="A398" s="17" t="s">
        <v>160</v>
      </c>
      <c r="B398" s="65"/>
      <c r="C398" s="134">
        <v>50000</v>
      </c>
      <c r="D398" s="99">
        <f>5000+1847.46</f>
        <v>6847.46</v>
      </c>
      <c r="E398" s="99"/>
      <c r="F398" s="89">
        <f t="shared" si="122"/>
        <v>56847.46</v>
      </c>
      <c r="G398" s="169">
        <f>17.58+20000</f>
        <v>20017.58</v>
      </c>
      <c r="H398" s="210"/>
      <c r="I398" s="230">
        <f t="shared" si="123"/>
        <v>76865.04000000001</v>
      </c>
      <c r="J398" s="169"/>
      <c r="K398" s="249">
        <f>-7820</f>
        <v>-7820</v>
      </c>
      <c r="L398" s="248">
        <f t="shared" si="124"/>
        <v>69045.04000000001</v>
      </c>
      <c r="M398" s="292">
        <f>591.39</f>
        <v>591.39</v>
      </c>
      <c r="N398" s="249"/>
      <c r="O398" s="248">
        <f t="shared" si="125"/>
        <v>69636.43000000001</v>
      </c>
      <c r="P398" s="93"/>
      <c r="Q398" s="52"/>
    </row>
    <row r="399" spans="1:17" ht="12.75">
      <c r="A399" s="17" t="s">
        <v>50</v>
      </c>
      <c r="B399" s="65"/>
      <c r="C399" s="134">
        <v>10809.76</v>
      </c>
      <c r="D399" s="99">
        <f>47.41</f>
        <v>47.41</v>
      </c>
      <c r="E399" s="99"/>
      <c r="F399" s="89">
        <f t="shared" si="122"/>
        <v>10857.17</v>
      </c>
      <c r="G399" s="169">
        <f>23.66-185.35-25</f>
        <v>-186.69</v>
      </c>
      <c r="H399" s="210"/>
      <c r="I399" s="230">
        <f t="shared" si="123"/>
        <v>10670.48</v>
      </c>
      <c r="J399" s="169"/>
      <c r="K399" s="249"/>
      <c r="L399" s="248">
        <f t="shared" si="124"/>
        <v>10670.48</v>
      </c>
      <c r="M399" s="292"/>
      <c r="N399" s="249"/>
      <c r="O399" s="248">
        <f t="shared" si="125"/>
        <v>10670.48</v>
      </c>
      <c r="P399" s="93"/>
      <c r="Q399" s="52">
        <f>O399+P399</f>
        <v>10670.48</v>
      </c>
    </row>
    <row r="400" spans="1:17" ht="12.75" hidden="1">
      <c r="A400" s="17" t="s">
        <v>63</v>
      </c>
      <c r="B400" s="65"/>
      <c r="C400" s="134"/>
      <c r="D400" s="99"/>
      <c r="E400" s="99"/>
      <c r="F400" s="89">
        <f t="shared" si="122"/>
        <v>0</v>
      </c>
      <c r="G400" s="169"/>
      <c r="H400" s="210"/>
      <c r="I400" s="230">
        <f t="shared" si="123"/>
        <v>0</v>
      </c>
      <c r="J400" s="169"/>
      <c r="K400" s="249"/>
      <c r="L400" s="248">
        <f t="shared" si="124"/>
        <v>0</v>
      </c>
      <c r="M400" s="292"/>
      <c r="N400" s="249"/>
      <c r="O400" s="248">
        <f t="shared" si="125"/>
        <v>0</v>
      </c>
      <c r="P400" s="93"/>
      <c r="Q400" s="52">
        <f>O400+P400</f>
        <v>0</v>
      </c>
    </row>
    <row r="401" spans="1:17" ht="12.75">
      <c r="A401" s="17" t="s">
        <v>264</v>
      </c>
      <c r="B401" s="65">
        <v>13013</v>
      </c>
      <c r="C401" s="134"/>
      <c r="D401" s="99"/>
      <c r="E401" s="99"/>
      <c r="F401" s="89">
        <f t="shared" si="122"/>
        <v>0</v>
      </c>
      <c r="G401" s="169">
        <f>1664.94+1323.92</f>
        <v>2988.86</v>
      </c>
      <c r="H401" s="210"/>
      <c r="I401" s="230">
        <f t="shared" si="123"/>
        <v>2988.86</v>
      </c>
      <c r="J401" s="169"/>
      <c r="K401" s="249"/>
      <c r="L401" s="248">
        <f t="shared" si="124"/>
        <v>2988.86</v>
      </c>
      <c r="M401" s="292"/>
      <c r="N401" s="249"/>
      <c r="O401" s="248">
        <f t="shared" si="125"/>
        <v>2988.86</v>
      </c>
      <c r="P401" s="93"/>
      <c r="Q401" s="52"/>
    </row>
    <row r="402" spans="1:17" ht="12.75" hidden="1">
      <c r="A402" s="66" t="s">
        <v>303</v>
      </c>
      <c r="B402" s="65">
        <v>2043</v>
      </c>
      <c r="C402" s="134"/>
      <c r="D402" s="99"/>
      <c r="E402" s="99"/>
      <c r="F402" s="89">
        <f t="shared" si="122"/>
        <v>0</v>
      </c>
      <c r="G402" s="169"/>
      <c r="H402" s="210"/>
      <c r="I402" s="230">
        <f t="shared" si="123"/>
        <v>0</v>
      </c>
      <c r="J402" s="169"/>
      <c r="K402" s="249"/>
      <c r="L402" s="248">
        <f t="shared" si="124"/>
        <v>0</v>
      </c>
      <c r="M402" s="292"/>
      <c r="N402" s="249"/>
      <c r="O402" s="248">
        <f t="shared" si="125"/>
        <v>0</v>
      </c>
      <c r="P402" s="93"/>
      <c r="Q402" s="52"/>
    </row>
    <row r="403" spans="1:17" ht="12.75">
      <c r="A403" s="66" t="s">
        <v>317</v>
      </c>
      <c r="B403" s="65">
        <v>2177</v>
      </c>
      <c r="C403" s="134"/>
      <c r="D403" s="99">
        <f>1910.11</f>
        <v>1910.11</v>
      </c>
      <c r="E403" s="99"/>
      <c r="F403" s="89">
        <f t="shared" si="122"/>
        <v>1910.11</v>
      </c>
      <c r="G403" s="169"/>
      <c r="H403" s="210"/>
      <c r="I403" s="230">
        <f t="shared" si="123"/>
        <v>1910.11</v>
      </c>
      <c r="J403" s="169"/>
      <c r="K403" s="249"/>
      <c r="L403" s="248">
        <f t="shared" si="124"/>
        <v>1910.11</v>
      </c>
      <c r="M403" s="292"/>
      <c r="N403" s="249"/>
      <c r="O403" s="248">
        <f t="shared" si="125"/>
        <v>1910.11</v>
      </c>
      <c r="P403" s="93"/>
      <c r="Q403" s="52"/>
    </row>
    <row r="404" spans="1:17" ht="12.75">
      <c r="A404" s="66" t="s">
        <v>332</v>
      </c>
      <c r="B404" s="65">
        <v>2177</v>
      </c>
      <c r="C404" s="134"/>
      <c r="D404" s="99"/>
      <c r="E404" s="99"/>
      <c r="F404" s="89">
        <f t="shared" si="122"/>
        <v>0</v>
      </c>
      <c r="G404" s="169">
        <f>3267.11</f>
        <v>3267.11</v>
      </c>
      <c r="H404" s="210"/>
      <c r="I404" s="230">
        <f t="shared" si="123"/>
        <v>3267.11</v>
      </c>
      <c r="J404" s="169"/>
      <c r="K404" s="249"/>
      <c r="L404" s="248">
        <f t="shared" si="124"/>
        <v>3267.11</v>
      </c>
      <c r="M404" s="292">
        <f>1893.18</f>
        <v>1893.18</v>
      </c>
      <c r="N404" s="249"/>
      <c r="O404" s="248">
        <f t="shared" si="125"/>
        <v>5160.29</v>
      </c>
      <c r="P404" s="93"/>
      <c r="Q404" s="52"/>
    </row>
    <row r="405" spans="1:17" ht="12.75">
      <c r="A405" s="66" t="s">
        <v>361</v>
      </c>
      <c r="B405" s="65"/>
      <c r="C405" s="134"/>
      <c r="D405" s="99"/>
      <c r="E405" s="99"/>
      <c r="F405" s="89"/>
      <c r="G405" s="169"/>
      <c r="H405" s="210"/>
      <c r="I405" s="230">
        <f t="shared" si="123"/>
        <v>0</v>
      </c>
      <c r="J405" s="169">
        <f>2659.8</f>
        <v>2659.8</v>
      </c>
      <c r="K405" s="249"/>
      <c r="L405" s="248">
        <f t="shared" si="124"/>
        <v>2659.8</v>
      </c>
      <c r="M405" s="292"/>
      <c r="N405" s="249"/>
      <c r="O405" s="248">
        <f t="shared" si="125"/>
        <v>2659.8</v>
      </c>
      <c r="P405" s="93"/>
      <c r="Q405" s="52"/>
    </row>
    <row r="406" spans="1:17" ht="12.75">
      <c r="A406" s="17" t="s">
        <v>301</v>
      </c>
      <c r="B406" s="65">
        <v>2050</v>
      </c>
      <c r="C406" s="134"/>
      <c r="D406" s="99">
        <f>3899.66</f>
        <v>3899.66</v>
      </c>
      <c r="E406" s="99"/>
      <c r="F406" s="89">
        <f t="shared" si="122"/>
        <v>3899.66</v>
      </c>
      <c r="G406" s="169"/>
      <c r="H406" s="210"/>
      <c r="I406" s="230">
        <f t="shared" si="123"/>
        <v>3899.66</v>
      </c>
      <c r="J406" s="169"/>
      <c r="K406" s="249"/>
      <c r="L406" s="248">
        <f t="shared" si="124"/>
        <v>3899.66</v>
      </c>
      <c r="M406" s="292"/>
      <c r="N406" s="249"/>
      <c r="O406" s="248">
        <f t="shared" si="125"/>
        <v>3899.66</v>
      </c>
      <c r="P406" s="93"/>
      <c r="Q406" s="52"/>
    </row>
    <row r="407" spans="1:17" ht="12.75">
      <c r="A407" s="17" t="s">
        <v>237</v>
      </c>
      <c r="B407" s="65">
        <v>2050</v>
      </c>
      <c r="C407" s="134"/>
      <c r="D407" s="99"/>
      <c r="E407" s="99"/>
      <c r="F407" s="89">
        <f t="shared" si="122"/>
        <v>0</v>
      </c>
      <c r="G407" s="169">
        <f>9217.43</f>
        <v>9217.43</v>
      </c>
      <c r="H407" s="210"/>
      <c r="I407" s="230">
        <f t="shared" si="123"/>
        <v>9217.43</v>
      </c>
      <c r="J407" s="169"/>
      <c r="K407" s="249"/>
      <c r="L407" s="248">
        <f t="shared" si="124"/>
        <v>9217.43</v>
      </c>
      <c r="M407" s="292"/>
      <c r="N407" s="249"/>
      <c r="O407" s="248">
        <f t="shared" si="125"/>
        <v>9217.43</v>
      </c>
      <c r="P407" s="93"/>
      <c r="Q407" s="52"/>
    </row>
    <row r="408" spans="1:17" ht="12.75">
      <c r="A408" s="17" t="s">
        <v>302</v>
      </c>
      <c r="B408" s="65">
        <v>2073</v>
      </c>
      <c r="C408" s="134"/>
      <c r="D408" s="99">
        <f>13080.16</f>
        <v>13080.16</v>
      </c>
      <c r="E408" s="99"/>
      <c r="F408" s="89">
        <f t="shared" si="122"/>
        <v>13080.16</v>
      </c>
      <c r="G408" s="169"/>
      <c r="H408" s="210"/>
      <c r="I408" s="230">
        <f t="shared" si="123"/>
        <v>13080.16</v>
      </c>
      <c r="J408" s="169"/>
      <c r="K408" s="249"/>
      <c r="L408" s="248">
        <f>I408+J408+K408</f>
        <v>13080.16</v>
      </c>
      <c r="M408" s="292"/>
      <c r="N408" s="249"/>
      <c r="O408" s="248">
        <f t="shared" si="125"/>
        <v>13080.16</v>
      </c>
      <c r="P408" s="93"/>
      <c r="Q408" s="52"/>
    </row>
    <row r="409" spans="1:17" ht="12.75">
      <c r="A409" s="17" t="s">
        <v>367</v>
      </c>
      <c r="B409" s="65"/>
      <c r="C409" s="134"/>
      <c r="D409" s="99"/>
      <c r="E409" s="99"/>
      <c r="F409" s="89"/>
      <c r="G409" s="169"/>
      <c r="H409" s="210"/>
      <c r="I409" s="230"/>
      <c r="J409" s="169"/>
      <c r="K409" s="249"/>
      <c r="L409" s="248">
        <f>I409+J409+K409</f>
        <v>0</v>
      </c>
      <c r="M409" s="292">
        <f>17216.67</f>
        <v>17216.67</v>
      </c>
      <c r="N409" s="249"/>
      <c r="O409" s="248">
        <f t="shared" si="125"/>
        <v>17216.67</v>
      </c>
      <c r="P409" s="93"/>
      <c r="Q409" s="52"/>
    </row>
    <row r="410" spans="1:17" ht="12.75">
      <c r="A410" s="17" t="s">
        <v>319</v>
      </c>
      <c r="B410" s="65">
        <v>1230</v>
      </c>
      <c r="C410" s="134"/>
      <c r="D410" s="99">
        <f>76480</f>
        <v>76480</v>
      </c>
      <c r="E410" s="99"/>
      <c r="F410" s="89">
        <f t="shared" si="122"/>
        <v>76480</v>
      </c>
      <c r="G410" s="169"/>
      <c r="H410" s="210"/>
      <c r="I410" s="230">
        <f t="shared" si="123"/>
        <v>76480</v>
      </c>
      <c r="J410" s="169"/>
      <c r="K410" s="249"/>
      <c r="L410" s="248">
        <f t="shared" si="124"/>
        <v>76480</v>
      </c>
      <c r="M410" s="292"/>
      <c r="N410" s="249"/>
      <c r="O410" s="248">
        <f t="shared" si="125"/>
        <v>76480</v>
      </c>
      <c r="P410" s="93"/>
      <c r="Q410" s="52"/>
    </row>
    <row r="411" spans="1:17" ht="12.75">
      <c r="A411" s="17" t="s">
        <v>318</v>
      </c>
      <c r="B411" s="65">
        <v>2080</v>
      </c>
      <c r="C411" s="134"/>
      <c r="D411" s="99">
        <f>6437.87</f>
        <v>6437.87</v>
      </c>
      <c r="E411" s="99"/>
      <c r="F411" s="89">
        <f t="shared" si="122"/>
        <v>6437.87</v>
      </c>
      <c r="G411" s="169"/>
      <c r="H411" s="210"/>
      <c r="I411" s="230">
        <f t="shared" si="123"/>
        <v>6437.87</v>
      </c>
      <c r="J411" s="169"/>
      <c r="K411" s="249"/>
      <c r="L411" s="248">
        <f t="shared" si="124"/>
        <v>6437.87</v>
      </c>
      <c r="M411" s="292"/>
      <c r="N411" s="249"/>
      <c r="O411" s="248">
        <f t="shared" si="125"/>
        <v>6437.87</v>
      </c>
      <c r="P411" s="93"/>
      <c r="Q411" s="52"/>
    </row>
    <row r="412" spans="1:17" ht="12.75">
      <c r="A412" s="17" t="s">
        <v>374</v>
      </c>
      <c r="B412" s="65"/>
      <c r="C412" s="134"/>
      <c r="D412" s="99"/>
      <c r="E412" s="99"/>
      <c r="F412" s="89"/>
      <c r="G412" s="169"/>
      <c r="H412" s="210"/>
      <c r="I412" s="230"/>
      <c r="J412" s="169"/>
      <c r="K412" s="249"/>
      <c r="L412" s="248">
        <f t="shared" si="124"/>
        <v>0</v>
      </c>
      <c r="M412" s="292">
        <f>1202.64</f>
        <v>1202.64</v>
      </c>
      <c r="N412" s="249"/>
      <c r="O412" s="248">
        <f t="shared" si="125"/>
        <v>1202.64</v>
      </c>
      <c r="P412" s="93"/>
      <c r="Q412" s="52"/>
    </row>
    <row r="413" spans="1:17" ht="12.75">
      <c r="A413" s="26" t="s">
        <v>335</v>
      </c>
      <c r="B413" s="65">
        <v>1233</v>
      </c>
      <c r="C413" s="134"/>
      <c r="D413" s="99"/>
      <c r="E413" s="99"/>
      <c r="F413" s="89">
        <f t="shared" si="122"/>
        <v>0</v>
      </c>
      <c r="G413" s="169">
        <f>15728.88</f>
        <v>15728.88</v>
      </c>
      <c r="H413" s="210"/>
      <c r="I413" s="230">
        <f t="shared" si="123"/>
        <v>15728.88</v>
      </c>
      <c r="J413" s="169"/>
      <c r="K413" s="249"/>
      <c r="L413" s="248">
        <f t="shared" si="124"/>
        <v>15728.88</v>
      </c>
      <c r="M413" s="292"/>
      <c r="N413" s="249"/>
      <c r="O413" s="248">
        <f t="shared" si="125"/>
        <v>15728.88</v>
      </c>
      <c r="P413" s="93"/>
      <c r="Q413" s="52"/>
    </row>
    <row r="414" spans="1:17" ht="12.75">
      <c r="A414" s="26" t="s">
        <v>200</v>
      </c>
      <c r="B414" s="65">
        <v>13305</v>
      </c>
      <c r="C414" s="134"/>
      <c r="D414" s="99">
        <f>960818.68</f>
        <v>960818.68</v>
      </c>
      <c r="E414" s="99"/>
      <c r="F414" s="89">
        <f t="shared" si="122"/>
        <v>960818.68</v>
      </c>
      <c r="G414" s="169"/>
      <c r="H414" s="210"/>
      <c r="I414" s="230">
        <f t="shared" si="123"/>
        <v>960818.68</v>
      </c>
      <c r="J414" s="169"/>
      <c r="K414" s="249"/>
      <c r="L414" s="248">
        <f t="shared" si="124"/>
        <v>960818.68</v>
      </c>
      <c r="M414" s="292"/>
      <c r="N414" s="249"/>
      <c r="O414" s="248">
        <f t="shared" si="125"/>
        <v>960818.68</v>
      </c>
      <c r="P414" s="93"/>
      <c r="Q414" s="52"/>
    </row>
    <row r="415" spans="1:17" ht="12.75">
      <c r="A415" s="26" t="s">
        <v>349</v>
      </c>
      <c r="B415" s="65">
        <v>13351</v>
      </c>
      <c r="C415" s="134"/>
      <c r="D415" s="99"/>
      <c r="E415" s="99"/>
      <c r="F415" s="89"/>
      <c r="G415" s="169"/>
      <c r="H415" s="210"/>
      <c r="I415" s="230">
        <f t="shared" si="123"/>
        <v>0</v>
      </c>
      <c r="J415" s="169">
        <f>43228.66</f>
        <v>43228.66</v>
      </c>
      <c r="K415" s="249"/>
      <c r="L415" s="248">
        <f t="shared" si="124"/>
        <v>43228.66</v>
      </c>
      <c r="M415" s="292">
        <f>8535.92</f>
        <v>8535.92</v>
      </c>
      <c r="N415" s="249"/>
      <c r="O415" s="248">
        <f t="shared" si="125"/>
        <v>51764.58</v>
      </c>
      <c r="P415" s="93"/>
      <c r="Q415" s="52"/>
    </row>
    <row r="416" spans="1:17" ht="12.75">
      <c r="A416" s="26" t="s">
        <v>376</v>
      </c>
      <c r="B416" s="65">
        <v>13351</v>
      </c>
      <c r="C416" s="134"/>
      <c r="D416" s="99"/>
      <c r="E416" s="99"/>
      <c r="F416" s="89"/>
      <c r="G416" s="169"/>
      <c r="H416" s="210"/>
      <c r="I416" s="230"/>
      <c r="J416" s="169"/>
      <c r="K416" s="249"/>
      <c r="L416" s="248">
        <f t="shared" si="124"/>
        <v>0</v>
      </c>
      <c r="M416" s="292">
        <f>31074.05</f>
        <v>31074.05</v>
      </c>
      <c r="N416" s="249"/>
      <c r="O416" s="248">
        <f t="shared" si="125"/>
        <v>31074.05</v>
      </c>
      <c r="P416" s="93"/>
      <c r="Q416" s="52"/>
    </row>
    <row r="417" spans="1:17" ht="12.75">
      <c r="A417" s="17" t="s">
        <v>92</v>
      </c>
      <c r="B417" s="65">
        <v>13307</v>
      </c>
      <c r="C417" s="134"/>
      <c r="D417" s="99">
        <f>7000</f>
        <v>7000</v>
      </c>
      <c r="E417" s="99"/>
      <c r="F417" s="89">
        <f t="shared" si="122"/>
        <v>7000</v>
      </c>
      <c r="G417" s="169"/>
      <c r="H417" s="210"/>
      <c r="I417" s="230">
        <f t="shared" si="123"/>
        <v>7000</v>
      </c>
      <c r="J417" s="169"/>
      <c r="K417" s="249"/>
      <c r="L417" s="248">
        <f t="shared" si="124"/>
        <v>7000</v>
      </c>
      <c r="M417" s="292">
        <f>1300</f>
        <v>1300</v>
      </c>
      <c r="N417" s="249"/>
      <c r="O417" s="248">
        <f t="shared" si="125"/>
        <v>8300</v>
      </c>
      <c r="P417" s="93"/>
      <c r="Q417" s="52">
        <f>O417+P417</f>
        <v>8300</v>
      </c>
    </row>
    <row r="418" spans="1:17" ht="12.75">
      <c r="A418" s="26" t="s">
        <v>370</v>
      </c>
      <c r="B418" s="65">
        <v>35442</v>
      </c>
      <c r="C418" s="134"/>
      <c r="D418" s="99"/>
      <c r="E418" s="99"/>
      <c r="F418" s="89"/>
      <c r="G418" s="169"/>
      <c r="H418" s="210"/>
      <c r="I418" s="230"/>
      <c r="J418" s="169"/>
      <c r="K418" s="249"/>
      <c r="L418" s="248">
        <f t="shared" si="124"/>
        <v>0</v>
      </c>
      <c r="M418" s="292">
        <f>7655.95</f>
        <v>7655.95</v>
      </c>
      <c r="N418" s="249"/>
      <c r="O418" s="248">
        <f t="shared" si="125"/>
        <v>7655.95</v>
      </c>
      <c r="P418" s="93"/>
      <c r="Q418" s="52"/>
    </row>
    <row r="419" spans="1:17" ht="12.75" hidden="1">
      <c r="A419" s="17" t="s">
        <v>142</v>
      </c>
      <c r="B419" s="65">
        <v>14032</v>
      </c>
      <c r="C419" s="134"/>
      <c r="D419" s="99"/>
      <c r="E419" s="99"/>
      <c r="F419" s="89">
        <f t="shared" si="122"/>
        <v>0</v>
      </c>
      <c r="G419" s="169"/>
      <c r="H419" s="210"/>
      <c r="I419" s="230">
        <f t="shared" si="123"/>
        <v>0</v>
      </c>
      <c r="J419" s="169"/>
      <c r="K419" s="249"/>
      <c r="L419" s="248">
        <f t="shared" si="124"/>
        <v>0</v>
      </c>
      <c r="M419" s="292"/>
      <c r="N419" s="249"/>
      <c r="O419" s="248">
        <f t="shared" si="125"/>
        <v>0</v>
      </c>
      <c r="P419" s="93"/>
      <c r="Q419" s="52">
        <f>O419+P419</f>
        <v>0</v>
      </c>
    </row>
    <row r="420" spans="1:17" ht="12.75" hidden="1">
      <c r="A420" s="26" t="s">
        <v>149</v>
      </c>
      <c r="B420" s="65">
        <v>4359</v>
      </c>
      <c r="C420" s="134"/>
      <c r="D420" s="99"/>
      <c r="E420" s="99"/>
      <c r="F420" s="89">
        <f t="shared" si="122"/>
        <v>0</v>
      </c>
      <c r="G420" s="169"/>
      <c r="H420" s="210"/>
      <c r="I420" s="230">
        <f t="shared" si="123"/>
        <v>0</v>
      </c>
      <c r="J420" s="169"/>
      <c r="K420" s="249"/>
      <c r="L420" s="248">
        <f t="shared" si="124"/>
        <v>0</v>
      </c>
      <c r="M420" s="292"/>
      <c r="N420" s="249"/>
      <c r="O420" s="248">
        <f t="shared" si="125"/>
        <v>0</v>
      </c>
      <c r="P420" s="93"/>
      <c r="Q420" s="52">
        <f>O420+P420</f>
        <v>0</v>
      </c>
    </row>
    <row r="421" spans="1:17" ht="12.75">
      <c r="A421" s="66" t="s">
        <v>355</v>
      </c>
      <c r="B421" s="65"/>
      <c r="C421" s="134"/>
      <c r="D421" s="99">
        <f>1075.62</f>
        <v>1075.62</v>
      </c>
      <c r="E421" s="99"/>
      <c r="F421" s="89">
        <f t="shared" si="122"/>
        <v>1075.62</v>
      </c>
      <c r="G421" s="169"/>
      <c r="H421" s="210"/>
      <c r="I421" s="230">
        <f t="shared" si="123"/>
        <v>1075.62</v>
      </c>
      <c r="J421" s="169"/>
      <c r="K421" s="249"/>
      <c r="L421" s="248">
        <f t="shared" si="124"/>
        <v>1075.62</v>
      </c>
      <c r="M421" s="292">
        <f>-591.39</f>
        <v>-591.39</v>
      </c>
      <c r="N421" s="249"/>
      <c r="O421" s="248">
        <f t="shared" si="125"/>
        <v>484.2299999999999</v>
      </c>
      <c r="P421" s="93"/>
      <c r="Q421" s="52"/>
    </row>
    <row r="422" spans="1:17" ht="12.75">
      <c r="A422" s="17" t="s">
        <v>75</v>
      </c>
      <c r="B422" s="65"/>
      <c r="C422" s="134">
        <v>500</v>
      </c>
      <c r="D422" s="99">
        <f>6743.14+1048.53+269.31+1018.04+3110.79+1558.8+1500</f>
        <v>15248.61</v>
      </c>
      <c r="E422" s="99"/>
      <c r="F422" s="89">
        <f t="shared" si="122"/>
        <v>15748.61</v>
      </c>
      <c r="G422" s="169">
        <f>25</f>
        <v>25</v>
      </c>
      <c r="H422" s="210"/>
      <c r="I422" s="230">
        <f t="shared" si="123"/>
        <v>15773.61</v>
      </c>
      <c r="J422" s="169">
        <f>5500+8000</f>
        <v>13500</v>
      </c>
      <c r="K422" s="249"/>
      <c r="L422" s="248">
        <f>I422+J422+K422</f>
        <v>29273.61</v>
      </c>
      <c r="M422" s="292"/>
      <c r="N422" s="249"/>
      <c r="O422" s="248">
        <f t="shared" si="125"/>
        <v>29273.61</v>
      </c>
      <c r="P422" s="93"/>
      <c r="Q422" s="52">
        <f>O422+P422</f>
        <v>29273.61</v>
      </c>
    </row>
    <row r="423" spans="1:17" ht="12.75">
      <c r="A423" s="23" t="s">
        <v>52</v>
      </c>
      <c r="B423" s="69"/>
      <c r="C423" s="137">
        <f>SUM(C425:C427)</f>
        <v>0</v>
      </c>
      <c r="D423" s="102">
        <f aca="true" t="shared" si="126" ref="D423:Q423">SUM(D425:D427)</f>
        <v>0</v>
      </c>
      <c r="E423" s="102">
        <f t="shared" si="126"/>
        <v>0</v>
      </c>
      <c r="F423" s="120">
        <f t="shared" si="126"/>
        <v>0</v>
      </c>
      <c r="G423" s="171">
        <f t="shared" si="126"/>
        <v>185.35</v>
      </c>
      <c r="H423" s="214">
        <f t="shared" si="126"/>
        <v>0</v>
      </c>
      <c r="I423" s="233">
        <f t="shared" si="126"/>
        <v>185.35</v>
      </c>
      <c r="J423" s="171">
        <f t="shared" si="126"/>
        <v>2200</v>
      </c>
      <c r="K423" s="254">
        <f t="shared" si="126"/>
        <v>0</v>
      </c>
      <c r="L423" s="255">
        <f t="shared" si="126"/>
        <v>2385.35</v>
      </c>
      <c r="M423" s="315">
        <f t="shared" si="126"/>
        <v>0</v>
      </c>
      <c r="N423" s="254">
        <f t="shared" si="126"/>
        <v>0</v>
      </c>
      <c r="O423" s="255">
        <f t="shared" si="126"/>
        <v>2385.35</v>
      </c>
      <c r="P423" s="102">
        <f t="shared" si="126"/>
        <v>0</v>
      </c>
      <c r="Q423" s="137">
        <f t="shared" si="126"/>
        <v>2385.35</v>
      </c>
    </row>
    <row r="424" spans="1:17" ht="12.75">
      <c r="A424" s="19" t="s">
        <v>26</v>
      </c>
      <c r="B424" s="65"/>
      <c r="C424" s="134"/>
      <c r="D424" s="99"/>
      <c r="E424" s="99"/>
      <c r="F424" s="89"/>
      <c r="G424" s="169"/>
      <c r="H424" s="210"/>
      <c r="I424" s="230"/>
      <c r="J424" s="169"/>
      <c r="K424" s="249"/>
      <c r="L424" s="248"/>
      <c r="M424" s="292"/>
      <c r="N424" s="249"/>
      <c r="O424" s="248"/>
      <c r="P424" s="93"/>
      <c r="Q424" s="52"/>
    </row>
    <row r="425" spans="1:17" ht="12.75" hidden="1">
      <c r="A425" s="17" t="s">
        <v>83</v>
      </c>
      <c r="B425" s="65"/>
      <c r="C425" s="134"/>
      <c r="D425" s="99"/>
      <c r="E425" s="99"/>
      <c r="F425" s="89">
        <f>C425+D425+E425</f>
        <v>0</v>
      </c>
      <c r="G425" s="169"/>
      <c r="H425" s="210"/>
      <c r="I425" s="230">
        <f>F425+G425+H425</f>
        <v>0</v>
      </c>
      <c r="J425" s="169"/>
      <c r="K425" s="249"/>
      <c r="L425" s="248">
        <f>I425+J425+K425</f>
        <v>0</v>
      </c>
      <c r="M425" s="292"/>
      <c r="N425" s="249"/>
      <c r="O425" s="248">
        <f>L425+M425+N425</f>
        <v>0</v>
      </c>
      <c r="P425" s="93"/>
      <c r="Q425" s="52">
        <f>O425+P425</f>
        <v>0</v>
      </c>
    </row>
    <row r="426" spans="1:17" ht="12.75">
      <c r="A426" s="20" t="s">
        <v>53</v>
      </c>
      <c r="B426" s="68"/>
      <c r="C426" s="195"/>
      <c r="D426" s="148"/>
      <c r="E426" s="148"/>
      <c r="F426" s="159">
        <f>C426+D426+E426</f>
        <v>0</v>
      </c>
      <c r="G426" s="174">
        <f>185.35</f>
        <v>185.35</v>
      </c>
      <c r="H426" s="216"/>
      <c r="I426" s="235">
        <f>F426+G426+H426</f>
        <v>185.35</v>
      </c>
      <c r="J426" s="174">
        <f>2200</f>
        <v>2200</v>
      </c>
      <c r="K426" s="258"/>
      <c r="L426" s="259">
        <f>I426+J426+K426</f>
        <v>2385.35</v>
      </c>
      <c r="M426" s="302"/>
      <c r="N426" s="258"/>
      <c r="O426" s="259">
        <f>L426+M426+N426</f>
        <v>2385.35</v>
      </c>
      <c r="P426" s="93"/>
      <c r="Q426" s="52">
        <f>O426+P426</f>
        <v>2385.35</v>
      </c>
    </row>
    <row r="427" spans="1:17" ht="12.75" hidden="1">
      <c r="A427" s="20" t="s">
        <v>75</v>
      </c>
      <c r="B427" s="68"/>
      <c r="C427" s="195"/>
      <c r="D427" s="148"/>
      <c r="E427" s="148"/>
      <c r="F427" s="159">
        <f>C427+D427+E427</f>
        <v>0</v>
      </c>
      <c r="G427" s="174"/>
      <c r="H427" s="216"/>
      <c r="I427" s="235">
        <f>F427+G427+H427</f>
        <v>0</v>
      </c>
      <c r="J427" s="169"/>
      <c r="K427" s="249"/>
      <c r="L427" s="248">
        <f>I427+J427+K427</f>
        <v>0</v>
      </c>
      <c r="M427" s="292"/>
      <c r="N427" s="249"/>
      <c r="O427" s="248">
        <f>L427+M427+N427</f>
        <v>0</v>
      </c>
      <c r="P427" s="93"/>
      <c r="Q427" s="52">
        <f>O427+P427</f>
        <v>0</v>
      </c>
    </row>
    <row r="428" spans="1:17" ht="12.75">
      <c r="A428" s="18" t="s">
        <v>178</v>
      </c>
      <c r="B428" s="69"/>
      <c r="C428" s="133">
        <f>C429+C444</f>
        <v>10486.07</v>
      </c>
      <c r="D428" s="86">
        <f aca="true" t="shared" si="127" ref="D428:Q428">D429+D444</f>
        <v>18845.8</v>
      </c>
      <c r="E428" s="86">
        <f t="shared" si="127"/>
        <v>0</v>
      </c>
      <c r="F428" s="94">
        <f t="shared" si="127"/>
        <v>29331.87</v>
      </c>
      <c r="G428" s="168">
        <f t="shared" si="127"/>
        <v>4007.84</v>
      </c>
      <c r="H428" s="209">
        <f t="shared" si="127"/>
        <v>-2709.58</v>
      </c>
      <c r="I428" s="229">
        <f t="shared" si="127"/>
        <v>30630.13</v>
      </c>
      <c r="J428" s="168">
        <f t="shared" si="127"/>
        <v>953.5</v>
      </c>
      <c r="K428" s="246">
        <f t="shared" si="127"/>
        <v>830.52</v>
      </c>
      <c r="L428" s="247">
        <f t="shared" si="127"/>
        <v>32414.15</v>
      </c>
      <c r="M428" s="309">
        <f>M429+M444</f>
        <v>7.099999999999909</v>
      </c>
      <c r="N428" s="246">
        <f>N429+N444</f>
        <v>0</v>
      </c>
      <c r="O428" s="247">
        <f>O429+O444</f>
        <v>32421.25</v>
      </c>
      <c r="P428" s="86">
        <f t="shared" si="127"/>
        <v>0</v>
      </c>
      <c r="Q428" s="133">
        <f t="shared" si="127"/>
        <v>25036</v>
      </c>
    </row>
    <row r="429" spans="1:17" ht="12.75">
      <c r="A429" s="23" t="s">
        <v>48</v>
      </c>
      <c r="B429" s="69"/>
      <c r="C429" s="137">
        <f>SUM(C431:C443)</f>
        <v>8486.07</v>
      </c>
      <c r="D429" s="102">
        <f aca="true" t="shared" si="128" ref="D429:Q429">SUM(D431:D443)</f>
        <v>18845.8</v>
      </c>
      <c r="E429" s="102">
        <f t="shared" si="128"/>
        <v>0</v>
      </c>
      <c r="F429" s="120">
        <f t="shared" si="128"/>
        <v>27331.87</v>
      </c>
      <c r="G429" s="171">
        <f t="shared" si="128"/>
        <v>4007.84</v>
      </c>
      <c r="H429" s="214">
        <f t="shared" si="128"/>
        <v>-709.58</v>
      </c>
      <c r="I429" s="233">
        <f t="shared" si="128"/>
        <v>30630.13</v>
      </c>
      <c r="J429" s="171">
        <f t="shared" si="128"/>
        <v>953.5</v>
      </c>
      <c r="K429" s="254">
        <f t="shared" si="128"/>
        <v>0</v>
      </c>
      <c r="L429" s="255">
        <f t="shared" si="128"/>
        <v>31583.63</v>
      </c>
      <c r="M429" s="315">
        <f>SUM(M431:M443)</f>
        <v>7.099999999999909</v>
      </c>
      <c r="N429" s="254">
        <f>SUM(N431:N443)</f>
        <v>0</v>
      </c>
      <c r="O429" s="255">
        <f>SUM(O431:O443)</f>
        <v>31590.73</v>
      </c>
      <c r="P429" s="102">
        <f t="shared" si="128"/>
        <v>0</v>
      </c>
      <c r="Q429" s="137">
        <f t="shared" si="128"/>
        <v>25036</v>
      </c>
    </row>
    <row r="430" spans="1:17" ht="12.75">
      <c r="A430" s="19" t="s">
        <v>26</v>
      </c>
      <c r="B430" s="65"/>
      <c r="C430" s="134"/>
      <c r="D430" s="99"/>
      <c r="E430" s="99"/>
      <c r="F430" s="94"/>
      <c r="G430" s="169"/>
      <c r="H430" s="210"/>
      <c r="I430" s="229"/>
      <c r="J430" s="169"/>
      <c r="K430" s="249"/>
      <c r="L430" s="247"/>
      <c r="M430" s="292"/>
      <c r="N430" s="249"/>
      <c r="O430" s="247"/>
      <c r="P430" s="93"/>
      <c r="Q430" s="52"/>
    </row>
    <row r="431" spans="1:17" ht="12.75">
      <c r="A431" s="17" t="s">
        <v>50</v>
      </c>
      <c r="B431" s="65"/>
      <c r="C431" s="134">
        <v>8486.07</v>
      </c>
      <c r="D431" s="99">
        <f>3643+9200</f>
        <v>12843</v>
      </c>
      <c r="E431" s="99"/>
      <c r="F431" s="89">
        <f aca="true" t="shared" si="129" ref="F431:F443">C431+D431+E431</f>
        <v>21329.07</v>
      </c>
      <c r="G431" s="169">
        <f>241.62+484.9+819.31</f>
        <v>1545.83</v>
      </c>
      <c r="H431" s="210">
        <f>-1250</f>
        <v>-1250</v>
      </c>
      <c r="I431" s="230">
        <f>F431+G431+H431</f>
        <v>21624.9</v>
      </c>
      <c r="J431" s="169">
        <f>200+53.5</f>
        <v>253.5</v>
      </c>
      <c r="K431" s="249"/>
      <c r="L431" s="248">
        <f>I431+J431+K431</f>
        <v>21878.4</v>
      </c>
      <c r="M431" s="292">
        <f>76-1000</f>
        <v>-924</v>
      </c>
      <c r="N431" s="249"/>
      <c r="O431" s="248">
        <f>L431+M431+N431</f>
        <v>20954.4</v>
      </c>
      <c r="P431" s="93"/>
      <c r="Q431" s="52">
        <f>O431+P431</f>
        <v>20954.4</v>
      </c>
    </row>
    <row r="432" spans="1:17" ht="12.75" hidden="1">
      <c r="A432" s="21" t="s">
        <v>202</v>
      </c>
      <c r="B432" s="65"/>
      <c r="C432" s="134"/>
      <c r="D432" s="99"/>
      <c r="E432" s="99"/>
      <c r="F432" s="89">
        <f t="shared" si="129"/>
        <v>0</v>
      </c>
      <c r="G432" s="169"/>
      <c r="H432" s="210"/>
      <c r="I432" s="230">
        <f aca="true" t="shared" si="130" ref="I432:I443">F432+G432+H432</f>
        <v>0</v>
      </c>
      <c r="J432" s="169"/>
      <c r="K432" s="249"/>
      <c r="L432" s="248">
        <f aca="true" t="shared" si="131" ref="L432:L443">I432+J432+K432</f>
        <v>0</v>
      </c>
      <c r="M432" s="292"/>
      <c r="N432" s="249"/>
      <c r="O432" s="248">
        <f aca="true" t="shared" si="132" ref="O432:O443">L432+M432+N432</f>
        <v>0</v>
      </c>
      <c r="P432" s="93"/>
      <c r="Q432" s="52">
        <f>O432+P432</f>
        <v>0</v>
      </c>
    </row>
    <row r="433" spans="1:17" ht="12.75" hidden="1">
      <c r="A433" s="21" t="s">
        <v>203</v>
      </c>
      <c r="B433" s="65"/>
      <c r="C433" s="134"/>
      <c r="D433" s="99"/>
      <c r="E433" s="99"/>
      <c r="F433" s="89">
        <f t="shared" si="129"/>
        <v>0</v>
      </c>
      <c r="G433" s="169"/>
      <c r="H433" s="210"/>
      <c r="I433" s="230">
        <f t="shared" si="130"/>
        <v>0</v>
      </c>
      <c r="J433" s="169"/>
      <c r="K433" s="249"/>
      <c r="L433" s="248">
        <f t="shared" si="131"/>
        <v>0</v>
      </c>
      <c r="M433" s="292"/>
      <c r="N433" s="249"/>
      <c r="O433" s="248">
        <f t="shared" si="132"/>
        <v>0</v>
      </c>
      <c r="P433" s="93"/>
      <c r="Q433" s="52"/>
    </row>
    <row r="434" spans="1:17" ht="12.75" hidden="1">
      <c r="A434" s="21" t="s">
        <v>206</v>
      </c>
      <c r="B434" s="65">
        <v>1400</v>
      </c>
      <c r="C434" s="134"/>
      <c r="D434" s="150"/>
      <c r="E434" s="99"/>
      <c r="F434" s="89">
        <f t="shared" si="129"/>
        <v>0</v>
      </c>
      <c r="G434" s="169"/>
      <c r="H434" s="210"/>
      <c r="I434" s="230">
        <f t="shared" si="130"/>
        <v>0</v>
      </c>
      <c r="J434" s="169"/>
      <c r="K434" s="249"/>
      <c r="L434" s="248">
        <f t="shared" si="131"/>
        <v>0</v>
      </c>
      <c r="M434" s="292"/>
      <c r="N434" s="249"/>
      <c r="O434" s="248">
        <f t="shared" si="132"/>
        <v>0</v>
      </c>
      <c r="P434" s="93"/>
      <c r="Q434" s="52"/>
    </row>
    <row r="435" spans="1:17" ht="12.75">
      <c r="A435" s="17" t="s">
        <v>75</v>
      </c>
      <c r="B435" s="65"/>
      <c r="C435" s="134"/>
      <c r="D435" s="151">
        <f>400+2441.18+241.62</f>
        <v>3082.7999999999997</v>
      </c>
      <c r="E435" s="99"/>
      <c r="F435" s="89">
        <f t="shared" si="129"/>
        <v>3082.7999999999997</v>
      </c>
      <c r="G435" s="169">
        <f>-241.62</f>
        <v>-241.62</v>
      </c>
      <c r="H435" s="210">
        <f>540.42</f>
        <v>540.42</v>
      </c>
      <c r="I435" s="230">
        <f t="shared" si="130"/>
        <v>3381.6</v>
      </c>
      <c r="J435" s="169">
        <f>700</f>
        <v>700</v>
      </c>
      <c r="K435" s="249"/>
      <c r="L435" s="248">
        <f t="shared" si="131"/>
        <v>4081.6</v>
      </c>
      <c r="M435" s="292"/>
      <c r="N435" s="249"/>
      <c r="O435" s="248">
        <f t="shared" si="132"/>
        <v>4081.6</v>
      </c>
      <c r="P435" s="93"/>
      <c r="Q435" s="52">
        <f>O435+P435</f>
        <v>4081.6</v>
      </c>
    </row>
    <row r="436" spans="1:17" ht="12.75" hidden="1">
      <c r="A436" s="17" t="s">
        <v>63</v>
      </c>
      <c r="B436" s="65"/>
      <c r="C436" s="134"/>
      <c r="D436" s="99"/>
      <c r="E436" s="99"/>
      <c r="F436" s="89">
        <f t="shared" si="129"/>
        <v>0</v>
      </c>
      <c r="G436" s="169"/>
      <c r="H436" s="210"/>
      <c r="I436" s="230">
        <f t="shared" si="130"/>
        <v>0</v>
      </c>
      <c r="J436" s="175"/>
      <c r="K436" s="249"/>
      <c r="L436" s="248">
        <f t="shared" si="131"/>
        <v>0</v>
      </c>
      <c r="M436" s="292"/>
      <c r="N436" s="249"/>
      <c r="O436" s="248">
        <f t="shared" si="132"/>
        <v>0</v>
      </c>
      <c r="P436" s="93"/>
      <c r="Q436" s="52">
        <f>O436+P436</f>
        <v>0</v>
      </c>
    </row>
    <row r="437" spans="1:17" ht="12.75" hidden="1">
      <c r="A437" s="17" t="s">
        <v>156</v>
      </c>
      <c r="B437" s="65"/>
      <c r="C437" s="134"/>
      <c r="D437" s="99"/>
      <c r="E437" s="99"/>
      <c r="F437" s="89">
        <f t="shared" si="129"/>
        <v>0</v>
      </c>
      <c r="G437" s="169"/>
      <c r="H437" s="210"/>
      <c r="I437" s="230">
        <f t="shared" si="130"/>
        <v>0</v>
      </c>
      <c r="J437" s="175"/>
      <c r="K437" s="249"/>
      <c r="L437" s="248">
        <f t="shared" si="131"/>
        <v>0</v>
      </c>
      <c r="M437" s="292"/>
      <c r="N437" s="249"/>
      <c r="O437" s="248">
        <f t="shared" si="132"/>
        <v>0</v>
      </c>
      <c r="P437" s="93"/>
      <c r="Q437" s="52">
        <f>O437+P437</f>
        <v>0</v>
      </c>
    </row>
    <row r="438" spans="1:17" ht="12.75">
      <c r="A438" s="26" t="s">
        <v>341</v>
      </c>
      <c r="B438" s="65">
        <v>27009</v>
      </c>
      <c r="C438" s="134"/>
      <c r="D438" s="99"/>
      <c r="E438" s="99"/>
      <c r="F438" s="89">
        <f t="shared" si="129"/>
        <v>0</v>
      </c>
      <c r="G438" s="169">
        <f>1560</f>
        <v>1560</v>
      </c>
      <c r="H438" s="210"/>
      <c r="I438" s="230">
        <f t="shared" si="130"/>
        <v>1560</v>
      </c>
      <c r="J438" s="175"/>
      <c r="K438" s="249"/>
      <c r="L438" s="248">
        <f t="shared" si="131"/>
        <v>1560</v>
      </c>
      <c r="M438" s="292">
        <f>-40.7</f>
        <v>-40.7</v>
      </c>
      <c r="N438" s="249"/>
      <c r="O438" s="248">
        <f t="shared" si="132"/>
        <v>1519.3</v>
      </c>
      <c r="P438" s="93"/>
      <c r="Q438" s="52"/>
    </row>
    <row r="439" spans="1:17" ht="12.75">
      <c r="A439" s="17" t="s">
        <v>308</v>
      </c>
      <c r="B439" s="65">
        <v>14034</v>
      </c>
      <c r="C439" s="134"/>
      <c r="D439" s="99">
        <f>1645+1275</f>
        <v>2920</v>
      </c>
      <c r="E439" s="99"/>
      <c r="F439" s="89">
        <f t="shared" si="129"/>
        <v>2920</v>
      </c>
      <c r="G439" s="169"/>
      <c r="H439" s="210"/>
      <c r="I439" s="230">
        <f t="shared" si="130"/>
        <v>2920</v>
      </c>
      <c r="J439" s="175"/>
      <c r="K439" s="249"/>
      <c r="L439" s="248">
        <f t="shared" si="131"/>
        <v>2920</v>
      </c>
      <c r="M439" s="292"/>
      <c r="N439" s="249"/>
      <c r="O439" s="248">
        <f t="shared" si="132"/>
        <v>2920</v>
      </c>
      <c r="P439" s="93"/>
      <c r="Q439" s="52"/>
    </row>
    <row r="440" spans="1:17" ht="12.75">
      <c r="A440" s="17" t="s">
        <v>254</v>
      </c>
      <c r="B440" s="65">
        <v>98035</v>
      </c>
      <c r="C440" s="134"/>
      <c r="D440" s="99"/>
      <c r="E440" s="99"/>
      <c r="F440" s="89">
        <f t="shared" si="129"/>
        <v>0</v>
      </c>
      <c r="G440" s="169">
        <f>150</f>
        <v>150</v>
      </c>
      <c r="H440" s="210"/>
      <c r="I440" s="230">
        <f t="shared" si="130"/>
        <v>150</v>
      </c>
      <c r="J440" s="175"/>
      <c r="K440" s="249"/>
      <c r="L440" s="248">
        <f t="shared" si="131"/>
        <v>150</v>
      </c>
      <c r="M440" s="292"/>
      <c r="N440" s="249"/>
      <c r="O440" s="248">
        <f t="shared" si="132"/>
        <v>150</v>
      </c>
      <c r="P440" s="93"/>
      <c r="Q440" s="52"/>
    </row>
    <row r="441" spans="1:17" ht="12.75">
      <c r="A441" s="17" t="s">
        <v>337</v>
      </c>
      <c r="B441" s="98" t="s">
        <v>232</v>
      </c>
      <c r="C441" s="134"/>
      <c r="D441" s="99"/>
      <c r="E441" s="99"/>
      <c r="F441" s="89">
        <f t="shared" si="129"/>
        <v>0</v>
      </c>
      <c r="G441" s="169">
        <f>993.63</f>
        <v>993.63</v>
      </c>
      <c r="H441" s="210"/>
      <c r="I441" s="230">
        <f t="shared" si="130"/>
        <v>993.63</v>
      </c>
      <c r="J441" s="175"/>
      <c r="K441" s="249"/>
      <c r="L441" s="248">
        <f t="shared" si="131"/>
        <v>993.63</v>
      </c>
      <c r="M441" s="292"/>
      <c r="N441" s="249"/>
      <c r="O441" s="248">
        <f t="shared" si="132"/>
        <v>993.63</v>
      </c>
      <c r="P441" s="93"/>
      <c r="Q441" s="52"/>
    </row>
    <row r="442" spans="1:17" ht="12.75">
      <c r="A442" s="17" t="s">
        <v>378</v>
      </c>
      <c r="B442" s="98"/>
      <c r="C442" s="134"/>
      <c r="D442" s="99"/>
      <c r="E442" s="99"/>
      <c r="F442" s="89"/>
      <c r="G442" s="169"/>
      <c r="H442" s="210"/>
      <c r="I442" s="230"/>
      <c r="J442" s="175"/>
      <c r="K442" s="249"/>
      <c r="L442" s="248">
        <f t="shared" si="131"/>
        <v>0</v>
      </c>
      <c r="M442" s="292">
        <f>971.8</f>
        <v>971.8</v>
      </c>
      <c r="N442" s="249"/>
      <c r="O442" s="248">
        <f t="shared" si="132"/>
        <v>971.8</v>
      </c>
      <c r="P442" s="93"/>
      <c r="Q442" s="52"/>
    </row>
    <row r="443" spans="1:17" ht="12.75" hidden="1">
      <c r="A443" s="17" t="s">
        <v>231</v>
      </c>
      <c r="B443" s="65">
        <v>33064</v>
      </c>
      <c r="C443" s="134"/>
      <c r="D443" s="99"/>
      <c r="E443" s="99"/>
      <c r="F443" s="89">
        <f t="shared" si="129"/>
        <v>0</v>
      </c>
      <c r="G443" s="169"/>
      <c r="H443" s="210"/>
      <c r="I443" s="230">
        <f t="shared" si="130"/>
        <v>0</v>
      </c>
      <c r="J443" s="175"/>
      <c r="K443" s="249"/>
      <c r="L443" s="248">
        <f t="shared" si="131"/>
        <v>0</v>
      </c>
      <c r="M443" s="292"/>
      <c r="N443" s="249"/>
      <c r="O443" s="248">
        <f t="shared" si="132"/>
        <v>0</v>
      </c>
      <c r="P443" s="93"/>
      <c r="Q443" s="52"/>
    </row>
    <row r="444" spans="1:17" ht="12.75">
      <c r="A444" s="23" t="s">
        <v>52</v>
      </c>
      <c r="B444" s="69"/>
      <c r="C444" s="137">
        <f>SUM(C446:C452)</f>
        <v>2000</v>
      </c>
      <c r="D444" s="102">
        <f aca="true" t="shared" si="133" ref="D444:Q444">SUM(D446:D452)</f>
        <v>0</v>
      </c>
      <c r="E444" s="102">
        <f t="shared" si="133"/>
        <v>0</v>
      </c>
      <c r="F444" s="120">
        <f t="shared" si="133"/>
        <v>2000</v>
      </c>
      <c r="G444" s="171">
        <f t="shared" si="133"/>
        <v>0</v>
      </c>
      <c r="H444" s="214">
        <f t="shared" si="133"/>
        <v>-2000</v>
      </c>
      <c r="I444" s="233">
        <f t="shared" si="133"/>
        <v>0</v>
      </c>
      <c r="J444" s="171">
        <f t="shared" si="133"/>
        <v>0</v>
      </c>
      <c r="K444" s="254">
        <f t="shared" si="133"/>
        <v>830.52</v>
      </c>
      <c r="L444" s="255">
        <f t="shared" si="133"/>
        <v>830.52</v>
      </c>
      <c r="M444" s="315">
        <f t="shared" si="133"/>
        <v>0</v>
      </c>
      <c r="N444" s="254">
        <f t="shared" si="133"/>
        <v>0</v>
      </c>
      <c r="O444" s="255">
        <f t="shared" si="133"/>
        <v>830.52</v>
      </c>
      <c r="P444" s="102">
        <f t="shared" si="133"/>
        <v>0</v>
      </c>
      <c r="Q444" s="137">
        <f t="shared" si="133"/>
        <v>0</v>
      </c>
    </row>
    <row r="445" spans="1:17" ht="12.75">
      <c r="A445" s="19" t="s">
        <v>26</v>
      </c>
      <c r="B445" s="65"/>
      <c r="C445" s="134"/>
      <c r="D445" s="99"/>
      <c r="E445" s="99"/>
      <c r="F445" s="89"/>
      <c r="G445" s="169"/>
      <c r="H445" s="210"/>
      <c r="I445" s="230"/>
      <c r="J445" s="169"/>
      <c r="K445" s="249"/>
      <c r="L445" s="248"/>
      <c r="M445" s="292"/>
      <c r="N445" s="249"/>
      <c r="O445" s="248"/>
      <c r="P445" s="93"/>
      <c r="Q445" s="52"/>
    </row>
    <row r="446" spans="1:17" ht="12.75" hidden="1">
      <c r="A446" s="21" t="s">
        <v>67</v>
      </c>
      <c r="B446" s="65"/>
      <c r="C446" s="134"/>
      <c r="D446" s="99">
        <f>2000</f>
        <v>2000</v>
      </c>
      <c r="E446" s="99"/>
      <c r="F446" s="89">
        <f aca="true" t="shared" si="134" ref="F446:F452">C446+D446+E446</f>
        <v>2000</v>
      </c>
      <c r="G446" s="169"/>
      <c r="H446" s="210">
        <f>-2000</f>
        <v>-2000</v>
      </c>
      <c r="I446" s="230">
        <f>F446+G446+H446</f>
        <v>0</v>
      </c>
      <c r="J446" s="169"/>
      <c r="K446" s="249"/>
      <c r="L446" s="248">
        <f aca="true" t="shared" si="135" ref="L446:L452">I446+J446+K446</f>
        <v>0</v>
      </c>
      <c r="M446" s="292"/>
      <c r="N446" s="249"/>
      <c r="O446" s="248">
        <f>L446+M446+N446</f>
        <v>0</v>
      </c>
      <c r="P446" s="93"/>
      <c r="Q446" s="52">
        <f>O446+P446</f>
        <v>0</v>
      </c>
    </row>
    <row r="447" spans="1:17" ht="12.75" hidden="1">
      <c r="A447" s="21" t="s">
        <v>188</v>
      </c>
      <c r="B447" s="65"/>
      <c r="C447" s="134"/>
      <c r="D447" s="99"/>
      <c r="E447" s="99"/>
      <c r="F447" s="89">
        <f t="shared" si="134"/>
        <v>0</v>
      </c>
      <c r="G447" s="169"/>
      <c r="H447" s="210"/>
      <c r="I447" s="230"/>
      <c r="J447" s="169"/>
      <c r="K447" s="249"/>
      <c r="L447" s="248">
        <f t="shared" si="135"/>
        <v>0</v>
      </c>
      <c r="M447" s="292"/>
      <c r="N447" s="249"/>
      <c r="O447" s="248"/>
      <c r="P447" s="93"/>
      <c r="Q447" s="52"/>
    </row>
    <row r="448" spans="1:17" ht="12.75" hidden="1">
      <c r="A448" s="21" t="s">
        <v>189</v>
      </c>
      <c r="B448" s="65"/>
      <c r="C448" s="134"/>
      <c r="D448" s="99"/>
      <c r="E448" s="99"/>
      <c r="F448" s="89">
        <f t="shared" si="134"/>
        <v>0</v>
      </c>
      <c r="G448" s="169"/>
      <c r="H448" s="210"/>
      <c r="I448" s="230"/>
      <c r="J448" s="169"/>
      <c r="K448" s="249"/>
      <c r="L448" s="248">
        <f t="shared" si="135"/>
        <v>0</v>
      </c>
      <c r="M448" s="292"/>
      <c r="N448" s="249"/>
      <c r="O448" s="248"/>
      <c r="P448" s="93"/>
      <c r="Q448" s="52"/>
    </row>
    <row r="449" spans="1:17" ht="12.75">
      <c r="A449" s="17" t="s">
        <v>75</v>
      </c>
      <c r="B449" s="65"/>
      <c r="C449" s="134"/>
      <c r="D449" s="99"/>
      <c r="E449" s="99"/>
      <c r="F449" s="89">
        <f t="shared" si="134"/>
        <v>0</v>
      </c>
      <c r="G449" s="169"/>
      <c r="H449" s="210"/>
      <c r="I449" s="230"/>
      <c r="J449" s="169"/>
      <c r="K449" s="249">
        <f>830.52</f>
        <v>830.52</v>
      </c>
      <c r="L449" s="248">
        <f t="shared" si="135"/>
        <v>830.52</v>
      </c>
      <c r="M449" s="292"/>
      <c r="N449" s="249"/>
      <c r="O449" s="248">
        <f>L449+M449+N449</f>
        <v>830.52</v>
      </c>
      <c r="P449" s="93"/>
      <c r="Q449" s="52"/>
    </row>
    <row r="450" spans="1:17" ht="12.75">
      <c r="A450" s="20" t="s">
        <v>53</v>
      </c>
      <c r="B450" s="68"/>
      <c r="C450" s="195">
        <v>2000</v>
      </c>
      <c r="D450" s="148">
        <f>-2000</f>
        <v>-2000</v>
      </c>
      <c r="E450" s="148"/>
      <c r="F450" s="159">
        <f t="shared" si="134"/>
        <v>0</v>
      </c>
      <c r="G450" s="174"/>
      <c r="H450" s="216"/>
      <c r="I450" s="235">
        <f>F450+G450+H450</f>
        <v>0</v>
      </c>
      <c r="J450" s="174"/>
      <c r="K450" s="258"/>
      <c r="L450" s="259">
        <f t="shared" si="135"/>
        <v>0</v>
      </c>
      <c r="M450" s="302"/>
      <c r="N450" s="258"/>
      <c r="O450" s="259">
        <f>L450+M450+N450</f>
        <v>0</v>
      </c>
      <c r="P450" s="93"/>
      <c r="Q450" s="52">
        <f>O450+P450</f>
        <v>0</v>
      </c>
    </row>
    <row r="451" spans="1:17" ht="12.75" hidden="1">
      <c r="A451" s="20" t="s">
        <v>75</v>
      </c>
      <c r="B451" s="68"/>
      <c r="C451" s="195"/>
      <c r="D451" s="148"/>
      <c r="E451" s="148"/>
      <c r="F451" s="159">
        <f t="shared" si="134"/>
        <v>0</v>
      </c>
      <c r="G451" s="169"/>
      <c r="H451" s="210"/>
      <c r="I451" s="230">
        <f>F451+G451+H451</f>
        <v>0</v>
      </c>
      <c r="J451" s="169"/>
      <c r="K451" s="249"/>
      <c r="L451" s="248">
        <f t="shared" si="135"/>
        <v>0</v>
      </c>
      <c r="M451" s="292"/>
      <c r="N451" s="249"/>
      <c r="O451" s="248">
        <f>L451+M451+N451</f>
        <v>0</v>
      </c>
      <c r="P451" s="93"/>
      <c r="Q451" s="52">
        <f>O451+P451</f>
        <v>0</v>
      </c>
    </row>
    <row r="452" spans="1:17" ht="12.75" hidden="1">
      <c r="A452" s="27" t="s">
        <v>179</v>
      </c>
      <c r="B452" s="68"/>
      <c r="C452" s="195"/>
      <c r="D452" s="148"/>
      <c r="E452" s="148"/>
      <c r="F452" s="159">
        <f t="shared" si="134"/>
        <v>0</v>
      </c>
      <c r="G452" s="174"/>
      <c r="H452" s="216"/>
      <c r="I452" s="235">
        <f>F452+G452+H452</f>
        <v>0</v>
      </c>
      <c r="J452" s="174"/>
      <c r="K452" s="258"/>
      <c r="L452" s="259">
        <f t="shared" si="135"/>
        <v>0</v>
      </c>
      <c r="M452" s="302"/>
      <c r="N452" s="258"/>
      <c r="O452" s="259">
        <f>L452+M452+N452</f>
        <v>0</v>
      </c>
      <c r="P452" s="295"/>
      <c r="Q452" s="54">
        <f>O452+P452</f>
        <v>0</v>
      </c>
    </row>
    <row r="453" spans="1:17" ht="12.75">
      <c r="A453" s="14" t="s">
        <v>93</v>
      </c>
      <c r="B453" s="69"/>
      <c r="C453" s="133">
        <f>C454+C457</f>
        <v>3304.9</v>
      </c>
      <c r="D453" s="86">
        <f aca="true" t="shared" si="136" ref="D453:Q453">D454+D457</f>
        <v>0</v>
      </c>
      <c r="E453" s="86">
        <f t="shared" si="136"/>
        <v>0</v>
      </c>
      <c r="F453" s="94">
        <f t="shared" si="136"/>
        <v>3304.9</v>
      </c>
      <c r="G453" s="168">
        <f t="shared" si="136"/>
        <v>0</v>
      </c>
      <c r="H453" s="209">
        <f t="shared" si="136"/>
        <v>0</v>
      </c>
      <c r="I453" s="229">
        <f t="shared" si="136"/>
        <v>3304.9</v>
      </c>
      <c r="J453" s="168">
        <f t="shared" si="136"/>
        <v>0</v>
      </c>
      <c r="K453" s="246">
        <f t="shared" si="136"/>
        <v>0</v>
      </c>
      <c r="L453" s="247">
        <f t="shared" si="136"/>
        <v>3304.9</v>
      </c>
      <c r="M453" s="309">
        <f>M454+M457</f>
        <v>0</v>
      </c>
      <c r="N453" s="246">
        <f>N454+N457</f>
        <v>0</v>
      </c>
      <c r="O453" s="247">
        <f>O454+O457</f>
        <v>3304.9</v>
      </c>
      <c r="P453" s="86">
        <f t="shared" si="136"/>
        <v>0</v>
      </c>
      <c r="Q453" s="133">
        <f t="shared" si="136"/>
        <v>3304.9</v>
      </c>
    </row>
    <row r="454" spans="1:17" ht="12.75">
      <c r="A454" s="23" t="s">
        <v>48</v>
      </c>
      <c r="B454" s="69"/>
      <c r="C454" s="137">
        <f>SUM(C456:C456)</f>
        <v>3304.9</v>
      </c>
      <c r="D454" s="102">
        <f aca="true" t="shared" si="137" ref="D454:Q454">SUM(D456:D456)</f>
        <v>0</v>
      </c>
      <c r="E454" s="102">
        <f t="shared" si="137"/>
        <v>0</v>
      </c>
      <c r="F454" s="120">
        <f t="shared" si="137"/>
        <v>3304.9</v>
      </c>
      <c r="G454" s="171">
        <f t="shared" si="137"/>
        <v>0</v>
      </c>
      <c r="H454" s="214">
        <f t="shared" si="137"/>
        <v>0</v>
      </c>
      <c r="I454" s="233">
        <f t="shared" si="137"/>
        <v>3304.9</v>
      </c>
      <c r="J454" s="171">
        <f t="shared" si="137"/>
        <v>0</v>
      </c>
      <c r="K454" s="254">
        <f t="shared" si="137"/>
        <v>0</v>
      </c>
      <c r="L454" s="255">
        <f t="shared" si="137"/>
        <v>3304.9</v>
      </c>
      <c r="M454" s="315">
        <f>SUM(M456:M456)</f>
        <v>0</v>
      </c>
      <c r="N454" s="254">
        <f>SUM(N456:N456)</f>
        <v>0</v>
      </c>
      <c r="O454" s="255">
        <f>SUM(O456:O456)</f>
        <v>3304.9</v>
      </c>
      <c r="P454" s="102">
        <f t="shared" si="137"/>
        <v>0</v>
      </c>
      <c r="Q454" s="137">
        <f t="shared" si="137"/>
        <v>3304.9</v>
      </c>
    </row>
    <row r="455" spans="1:17" ht="12.75">
      <c r="A455" s="19" t="s">
        <v>26</v>
      </c>
      <c r="B455" s="65"/>
      <c r="C455" s="134"/>
      <c r="D455" s="99"/>
      <c r="E455" s="99"/>
      <c r="F455" s="94"/>
      <c r="G455" s="169"/>
      <c r="H455" s="210"/>
      <c r="I455" s="229"/>
      <c r="J455" s="169"/>
      <c r="K455" s="249"/>
      <c r="L455" s="247"/>
      <c r="M455" s="292"/>
      <c r="N455" s="249"/>
      <c r="O455" s="247"/>
      <c r="P455" s="93"/>
      <c r="Q455" s="52"/>
    </row>
    <row r="456" spans="1:17" ht="12.75">
      <c r="A456" s="20" t="s">
        <v>50</v>
      </c>
      <c r="B456" s="68"/>
      <c r="C456" s="196">
        <v>3304.9</v>
      </c>
      <c r="D456" s="148"/>
      <c r="E456" s="148"/>
      <c r="F456" s="159">
        <f>C456+D456+E456</f>
        <v>3304.9</v>
      </c>
      <c r="G456" s="174"/>
      <c r="H456" s="216"/>
      <c r="I456" s="235">
        <f>F456+G456+H456</f>
        <v>3304.9</v>
      </c>
      <c r="J456" s="174"/>
      <c r="K456" s="258"/>
      <c r="L456" s="259">
        <f>I456+J456+K456</f>
        <v>3304.9</v>
      </c>
      <c r="M456" s="302"/>
      <c r="N456" s="258"/>
      <c r="O456" s="259">
        <f>L456+M456+N456</f>
        <v>3304.9</v>
      </c>
      <c r="P456" s="93"/>
      <c r="Q456" s="52">
        <f>O456+P456</f>
        <v>3304.9</v>
      </c>
    </row>
    <row r="457" spans="1:17" ht="12.75" hidden="1">
      <c r="A457" s="23" t="s">
        <v>52</v>
      </c>
      <c r="B457" s="69"/>
      <c r="C457" s="137">
        <f aca="true" t="shared" si="138" ref="C457:Q457">SUM(C459:C459)</f>
        <v>0</v>
      </c>
      <c r="D457" s="102">
        <f t="shared" si="138"/>
        <v>0</v>
      </c>
      <c r="E457" s="102">
        <f t="shared" si="138"/>
        <v>0</v>
      </c>
      <c r="F457" s="120">
        <f t="shared" si="138"/>
        <v>0</v>
      </c>
      <c r="G457" s="171">
        <f t="shared" si="138"/>
        <v>0</v>
      </c>
      <c r="H457" s="214">
        <f t="shared" si="138"/>
        <v>0</v>
      </c>
      <c r="I457" s="233">
        <f t="shared" si="138"/>
        <v>0</v>
      </c>
      <c r="J457" s="171">
        <f t="shared" si="138"/>
        <v>0</v>
      </c>
      <c r="K457" s="254">
        <f t="shared" si="138"/>
        <v>0</v>
      </c>
      <c r="L457" s="255">
        <f t="shared" si="138"/>
        <v>0</v>
      </c>
      <c r="M457" s="315">
        <f t="shared" si="138"/>
        <v>0</v>
      </c>
      <c r="N457" s="254">
        <f t="shared" si="138"/>
        <v>0</v>
      </c>
      <c r="O457" s="255">
        <f t="shared" si="138"/>
        <v>0</v>
      </c>
      <c r="P457" s="102">
        <f t="shared" si="138"/>
        <v>0</v>
      </c>
      <c r="Q457" s="137">
        <f t="shared" si="138"/>
        <v>0</v>
      </c>
    </row>
    <row r="458" spans="1:17" ht="12.75" hidden="1">
      <c r="A458" s="19" t="s">
        <v>26</v>
      </c>
      <c r="B458" s="65"/>
      <c r="C458" s="134"/>
      <c r="D458" s="99"/>
      <c r="E458" s="99"/>
      <c r="F458" s="89"/>
      <c r="G458" s="169"/>
      <c r="H458" s="210"/>
      <c r="I458" s="230"/>
      <c r="J458" s="169"/>
      <c r="K458" s="249"/>
      <c r="L458" s="248"/>
      <c r="M458" s="292"/>
      <c r="N458" s="249"/>
      <c r="O458" s="248"/>
      <c r="P458" s="93"/>
      <c r="Q458" s="52"/>
    </row>
    <row r="459" spans="1:17" ht="12.75" hidden="1">
      <c r="A459" s="20" t="s">
        <v>53</v>
      </c>
      <c r="B459" s="68"/>
      <c r="C459" s="195"/>
      <c r="D459" s="148"/>
      <c r="E459" s="148"/>
      <c r="F459" s="159">
        <f>C459+D459+E459</f>
        <v>0</v>
      </c>
      <c r="G459" s="174"/>
      <c r="H459" s="216"/>
      <c r="I459" s="235">
        <f>F459+G459+H459</f>
        <v>0</v>
      </c>
      <c r="J459" s="174"/>
      <c r="K459" s="258"/>
      <c r="L459" s="259">
        <f>I459+J459+K459</f>
        <v>0</v>
      </c>
      <c r="M459" s="302"/>
      <c r="N459" s="258"/>
      <c r="O459" s="259">
        <f>L459+M459+N459</f>
        <v>0</v>
      </c>
      <c r="P459" s="295"/>
      <c r="Q459" s="54">
        <f>O459+P459</f>
        <v>0</v>
      </c>
    </row>
    <row r="460" spans="1:17" ht="12.75">
      <c r="A460" s="14" t="s">
        <v>94</v>
      </c>
      <c r="B460" s="69"/>
      <c r="C460" s="133">
        <f aca="true" t="shared" si="139" ref="C460:Q460">C461</f>
        <v>55500</v>
      </c>
      <c r="D460" s="86">
        <f t="shared" si="139"/>
        <v>110819.67000000001</v>
      </c>
      <c r="E460" s="86">
        <f t="shared" si="139"/>
        <v>-10000</v>
      </c>
      <c r="F460" s="94">
        <f t="shared" si="139"/>
        <v>156319.67</v>
      </c>
      <c r="G460" s="168">
        <f t="shared" si="139"/>
        <v>2406.179999999993</v>
      </c>
      <c r="H460" s="209">
        <f t="shared" si="139"/>
        <v>233702.34</v>
      </c>
      <c r="I460" s="229">
        <f t="shared" si="139"/>
        <v>392428.19</v>
      </c>
      <c r="J460" s="168">
        <f t="shared" si="139"/>
        <v>-178672.63</v>
      </c>
      <c r="K460" s="246">
        <f t="shared" si="139"/>
        <v>-646.8</v>
      </c>
      <c r="L460" s="247">
        <f t="shared" si="139"/>
        <v>213108.76</v>
      </c>
      <c r="M460" s="309">
        <f t="shared" si="139"/>
        <v>-8985.29</v>
      </c>
      <c r="N460" s="246">
        <f t="shared" si="139"/>
        <v>0</v>
      </c>
      <c r="O460" s="247">
        <f t="shared" si="139"/>
        <v>204123.47000000003</v>
      </c>
      <c r="P460" s="86">
        <f t="shared" si="139"/>
        <v>0</v>
      </c>
      <c r="Q460" s="133">
        <f t="shared" si="139"/>
        <v>204123.47000000003</v>
      </c>
    </row>
    <row r="461" spans="1:17" ht="12.75">
      <c r="A461" s="23" t="s">
        <v>48</v>
      </c>
      <c r="B461" s="69"/>
      <c r="C461" s="137">
        <f>SUM(C463:C466)</f>
        <v>55500</v>
      </c>
      <c r="D461" s="102">
        <f aca="true" t="shared" si="140" ref="D461:Q461">SUM(D463:D466)</f>
        <v>110819.67000000001</v>
      </c>
      <c r="E461" s="102">
        <f t="shared" si="140"/>
        <v>-10000</v>
      </c>
      <c r="F461" s="120">
        <f t="shared" si="140"/>
        <v>156319.67</v>
      </c>
      <c r="G461" s="171">
        <f t="shared" si="140"/>
        <v>2406.179999999993</v>
      </c>
      <c r="H461" s="214">
        <f t="shared" si="140"/>
        <v>233702.34</v>
      </c>
      <c r="I461" s="233">
        <f t="shared" si="140"/>
        <v>392428.19</v>
      </c>
      <c r="J461" s="171">
        <f t="shared" si="140"/>
        <v>-178672.63</v>
      </c>
      <c r="K461" s="254">
        <f t="shared" si="140"/>
        <v>-646.8</v>
      </c>
      <c r="L461" s="255">
        <f t="shared" si="140"/>
        <v>213108.76</v>
      </c>
      <c r="M461" s="315">
        <f>SUM(M463:M466)</f>
        <v>-8985.29</v>
      </c>
      <c r="N461" s="254">
        <f>SUM(N463:N466)</f>
        <v>0</v>
      </c>
      <c r="O461" s="255">
        <f>SUM(O463:O466)</f>
        <v>204123.47000000003</v>
      </c>
      <c r="P461" s="102">
        <f t="shared" si="140"/>
        <v>0</v>
      </c>
      <c r="Q461" s="137">
        <f t="shared" si="140"/>
        <v>204123.47000000003</v>
      </c>
    </row>
    <row r="462" spans="1:17" ht="12.75">
      <c r="A462" s="19" t="s">
        <v>26</v>
      </c>
      <c r="B462" s="65"/>
      <c r="C462" s="133"/>
      <c r="D462" s="86"/>
      <c r="E462" s="86"/>
      <c r="F462" s="94"/>
      <c r="G462" s="168"/>
      <c r="H462" s="209"/>
      <c r="I462" s="229"/>
      <c r="J462" s="168"/>
      <c r="K462" s="246"/>
      <c r="L462" s="247"/>
      <c r="M462" s="309"/>
      <c r="N462" s="246"/>
      <c r="O462" s="247"/>
      <c r="P462" s="93"/>
      <c r="Q462" s="52"/>
    </row>
    <row r="463" spans="1:17" ht="12.75">
      <c r="A463" s="66" t="s">
        <v>190</v>
      </c>
      <c r="B463" s="65"/>
      <c r="C463" s="134">
        <v>15000</v>
      </c>
      <c r="D463" s="99">
        <v>67000</v>
      </c>
      <c r="E463" s="99">
        <v>-10000</v>
      </c>
      <c r="F463" s="89">
        <f>C463+D463+E463</f>
        <v>72000</v>
      </c>
      <c r="G463" s="169">
        <f>140000-137593.82</f>
        <v>2406.179999999993</v>
      </c>
      <c r="H463" s="210">
        <f>14871.71+222830.63-4000</f>
        <v>233702.34</v>
      </c>
      <c r="I463" s="230">
        <f>F463+G463+H463</f>
        <v>308108.52</v>
      </c>
      <c r="J463" s="175">
        <f>-200+16.43-270-120-3500-5000-856.8-7500-335+1545.43+15.32+85.99-25854-150000-6000-3000+22300</f>
        <v>-178672.63</v>
      </c>
      <c r="K463" s="249">
        <f>-500-146.8</f>
        <v>-646.8</v>
      </c>
      <c r="L463" s="248">
        <f>I463+J463+K463</f>
        <v>128789.09000000001</v>
      </c>
      <c r="M463" s="292">
        <f>-600-1500-347.99-537.3-6000</f>
        <v>-8985.29</v>
      </c>
      <c r="N463" s="249"/>
      <c r="O463" s="248">
        <f>L463+M463+N463</f>
        <v>119803.80000000002</v>
      </c>
      <c r="P463" s="93"/>
      <c r="Q463" s="52">
        <f>O463+P463</f>
        <v>119803.80000000002</v>
      </c>
    </row>
    <row r="464" spans="1:17" ht="12.75">
      <c r="A464" s="66" t="s">
        <v>95</v>
      </c>
      <c r="B464" s="65"/>
      <c r="C464" s="134"/>
      <c r="D464" s="150">
        <f>26787.85</f>
        <v>26787.85</v>
      </c>
      <c r="E464" s="99"/>
      <c r="F464" s="89">
        <f>C464+D464+E464</f>
        <v>26787.85</v>
      </c>
      <c r="G464" s="169"/>
      <c r="H464" s="210"/>
      <c r="I464" s="230">
        <f>F464+G464+H464</f>
        <v>26787.85</v>
      </c>
      <c r="J464" s="169"/>
      <c r="K464" s="249"/>
      <c r="L464" s="248">
        <f>I464+J464+K464</f>
        <v>26787.85</v>
      </c>
      <c r="M464" s="292"/>
      <c r="N464" s="249"/>
      <c r="O464" s="248">
        <f>L464+M464+N464</f>
        <v>26787.85</v>
      </c>
      <c r="P464" s="93"/>
      <c r="Q464" s="52">
        <f>O464+P464</f>
        <v>26787.85</v>
      </c>
    </row>
    <row r="465" spans="1:17" ht="12.75">
      <c r="A465" s="66" t="s">
        <v>96</v>
      </c>
      <c r="B465" s="65"/>
      <c r="C465" s="134"/>
      <c r="D465" s="99">
        <f>17031.82</f>
        <v>17031.82</v>
      </c>
      <c r="E465" s="99"/>
      <c r="F465" s="89">
        <f>C465+D465+E465</f>
        <v>17031.82</v>
      </c>
      <c r="G465" s="169"/>
      <c r="H465" s="210"/>
      <c r="I465" s="230">
        <f>F465+G465+H465</f>
        <v>17031.82</v>
      </c>
      <c r="J465" s="169"/>
      <c r="K465" s="249"/>
      <c r="L465" s="248">
        <f>I465+J465+K465</f>
        <v>17031.82</v>
      </c>
      <c r="M465" s="292"/>
      <c r="N465" s="249"/>
      <c r="O465" s="248">
        <f>L465+M465+N465</f>
        <v>17031.82</v>
      </c>
      <c r="P465" s="93"/>
      <c r="Q465" s="52">
        <f>O465+P465</f>
        <v>17031.82</v>
      </c>
    </row>
    <row r="466" spans="1:17" ht="12.75">
      <c r="A466" s="20" t="s">
        <v>50</v>
      </c>
      <c r="B466" s="68"/>
      <c r="C466" s="195">
        <v>40500</v>
      </c>
      <c r="D466" s="148"/>
      <c r="E466" s="148"/>
      <c r="F466" s="159">
        <f>C466+D466+E466</f>
        <v>40500</v>
      </c>
      <c r="G466" s="174"/>
      <c r="H466" s="216"/>
      <c r="I466" s="235">
        <f>F466+G466+H466</f>
        <v>40500</v>
      </c>
      <c r="J466" s="174"/>
      <c r="K466" s="258"/>
      <c r="L466" s="259">
        <f>I466+J466+K466</f>
        <v>40500</v>
      </c>
      <c r="M466" s="302"/>
      <c r="N466" s="258"/>
      <c r="O466" s="259">
        <f>L466+M466+N466</f>
        <v>40500</v>
      </c>
      <c r="P466" s="295"/>
      <c r="Q466" s="54">
        <f>O466+P466</f>
        <v>40500</v>
      </c>
    </row>
    <row r="467" spans="1:17" ht="12.75">
      <c r="A467" s="14" t="s">
        <v>164</v>
      </c>
      <c r="B467" s="69"/>
      <c r="C467" s="133">
        <f aca="true" t="shared" si="141" ref="C467:Q467">C468+C482</f>
        <v>185407.7</v>
      </c>
      <c r="D467" s="86">
        <f t="shared" si="141"/>
        <v>44177.64</v>
      </c>
      <c r="E467" s="86">
        <f t="shared" si="141"/>
        <v>1900</v>
      </c>
      <c r="F467" s="94">
        <f t="shared" si="141"/>
        <v>231485.34</v>
      </c>
      <c r="G467" s="168">
        <f t="shared" si="141"/>
        <v>0</v>
      </c>
      <c r="H467" s="209">
        <f t="shared" si="141"/>
        <v>81273.29</v>
      </c>
      <c r="I467" s="229">
        <f t="shared" si="141"/>
        <v>312758.63</v>
      </c>
      <c r="J467" s="168">
        <f t="shared" si="141"/>
        <v>12090.980000000001</v>
      </c>
      <c r="K467" s="246">
        <f t="shared" si="141"/>
        <v>7242.8</v>
      </c>
      <c r="L467" s="247">
        <f t="shared" si="141"/>
        <v>332092.41000000003</v>
      </c>
      <c r="M467" s="309">
        <f>M468+M482</f>
        <v>-4018.3100000000004</v>
      </c>
      <c r="N467" s="246">
        <f>N468+N482</f>
        <v>0</v>
      </c>
      <c r="O467" s="247">
        <f>O468+O482</f>
        <v>328074.10000000003</v>
      </c>
      <c r="P467" s="86">
        <f t="shared" si="141"/>
        <v>0</v>
      </c>
      <c r="Q467" s="133">
        <f t="shared" si="141"/>
        <v>0</v>
      </c>
    </row>
    <row r="468" spans="1:17" ht="12.75">
      <c r="A468" s="23" t="s">
        <v>48</v>
      </c>
      <c r="B468" s="69"/>
      <c r="C468" s="137">
        <f>SUM(C470:C481)</f>
        <v>130807.7</v>
      </c>
      <c r="D468" s="102">
        <f>SUM(D470:D481)</f>
        <v>10517.640000000001</v>
      </c>
      <c r="E468" s="102">
        <f>SUM(E469:E481)</f>
        <v>-23.4</v>
      </c>
      <c r="F468" s="120">
        <f>SUM(F470:F481)</f>
        <v>141301.94</v>
      </c>
      <c r="G468" s="171">
        <f aca="true" t="shared" si="142" ref="G468:Q468">SUM(G469:G481)</f>
        <v>-26064</v>
      </c>
      <c r="H468" s="214">
        <f t="shared" si="142"/>
        <v>14233</v>
      </c>
      <c r="I468" s="233">
        <f t="shared" si="142"/>
        <v>129470.94000000002</v>
      </c>
      <c r="J468" s="171">
        <f t="shared" si="142"/>
        <v>7432.55</v>
      </c>
      <c r="K468" s="254">
        <f t="shared" si="142"/>
        <v>90.46999999999997</v>
      </c>
      <c r="L468" s="255">
        <f t="shared" si="142"/>
        <v>136993.96</v>
      </c>
      <c r="M468" s="315">
        <f>SUM(M469:M481)</f>
        <v>-7080.31</v>
      </c>
      <c r="N468" s="254">
        <f>SUM(N469:N481)</f>
        <v>0</v>
      </c>
      <c r="O468" s="255">
        <f>SUM(O469:O481)</f>
        <v>129913.65000000001</v>
      </c>
      <c r="P468" s="102">
        <f t="shared" si="142"/>
        <v>0</v>
      </c>
      <c r="Q468" s="137">
        <f t="shared" si="142"/>
        <v>0</v>
      </c>
    </row>
    <row r="469" spans="1:17" ht="12.75">
      <c r="A469" s="19" t="s">
        <v>26</v>
      </c>
      <c r="B469" s="65"/>
      <c r="C469" s="134"/>
      <c r="D469" s="99"/>
      <c r="E469" s="99"/>
      <c r="F469" s="89"/>
      <c r="G469" s="169"/>
      <c r="H469" s="210"/>
      <c r="I469" s="230"/>
      <c r="J469" s="169"/>
      <c r="K469" s="249"/>
      <c r="L469" s="248"/>
      <c r="M469" s="292"/>
      <c r="N469" s="249"/>
      <c r="O469" s="248"/>
      <c r="P469" s="93"/>
      <c r="Q469" s="52"/>
    </row>
    <row r="470" spans="1:17" ht="12.75">
      <c r="A470" s="17" t="s">
        <v>250</v>
      </c>
      <c r="B470" s="65">
        <v>1202</v>
      </c>
      <c r="C470" s="134">
        <v>15900</v>
      </c>
      <c r="D470" s="99">
        <f>6660.58-4000</f>
        <v>2660.58</v>
      </c>
      <c r="E470" s="99"/>
      <c r="F470" s="89">
        <f aca="true" t="shared" si="143" ref="F470:F481">C470+D470+E470</f>
        <v>18560.58</v>
      </c>
      <c r="G470" s="169">
        <f>-607</f>
        <v>-607</v>
      </c>
      <c r="H470" s="210">
        <f>-5335</f>
        <v>-5335</v>
      </c>
      <c r="I470" s="230">
        <f>F470+G470+H470</f>
        <v>12618.580000000002</v>
      </c>
      <c r="J470" s="169">
        <f>335</f>
        <v>335</v>
      </c>
      <c r="K470" s="249"/>
      <c r="L470" s="248">
        <f>I470+J470+K470</f>
        <v>12953.580000000002</v>
      </c>
      <c r="M470" s="292"/>
      <c r="N470" s="249"/>
      <c r="O470" s="248">
        <f>L470+M470+N470</f>
        <v>12953.580000000002</v>
      </c>
      <c r="P470" s="93"/>
      <c r="Q470" s="52"/>
    </row>
    <row r="471" spans="1:17" ht="12.75">
      <c r="A471" s="17" t="s">
        <v>182</v>
      </c>
      <c r="B471" s="65">
        <v>1208</v>
      </c>
      <c r="C471" s="134">
        <v>4500</v>
      </c>
      <c r="D471" s="99">
        <f>20.18</f>
        <v>20.18</v>
      </c>
      <c r="E471" s="99"/>
      <c r="F471" s="89">
        <f t="shared" si="143"/>
        <v>4520.18</v>
      </c>
      <c r="G471" s="169"/>
      <c r="H471" s="210"/>
      <c r="I471" s="230">
        <f aca="true" t="shared" si="144" ref="I471:I481">F471+G471+H471</f>
        <v>4520.18</v>
      </c>
      <c r="J471" s="169"/>
      <c r="K471" s="249"/>
      <c r="L471" s="248">
        <f aca="true" t="shared" si="145" ref="L471:L481">I471+J471+K471</f>
        <v>4520.18</v>
      </c>
      <c r="M471" s="292"/>
      <c r="N471" s="249"/>
      <c r="O471" s="248">
        <f aca="true" t="shared" si="146" ref="O471:O481">L471+M471+N471</f>
        <v>4520.18</v>
      </c>
      <c r="P471" s="93"/>
      <c r="Q471" s="52"/>
    </row>
    <row r="472" spans="1:17" ht="12.75">
      <c r="A472" s="17" t="s">
        <v>183</v>
      </c>
      <c r="B472" s="65">
        <v>1207</v>
      </c>
      <c r="C472" s="134">
        <v>10600</v>
      </c>
      <c r="D472" s="99">
        <f>114.87+1430</f>
        <v>1544.87</v>
      </c>
      <c r="E472" s="99"/>
      <c r="F472" s="89">
        <f t="shared" si="143"/>
        <v>12144.869999999999</v>
      </c>
      <c r="G472" s="169"/>
      <c r="H472" s="210"/>
      <c r="I472" s="230">
        <f t="shared" si="144"/>
        <v>12144.869999999999</v>
      </c>
      <c r="J472" s="169"/>
      <c r="K472" s="249"/>
      <c r="L472" s="248">
        <f t="shared" si="145"/>
        <v>12144.869999999999</v>
      </c>
      <c r="M472" s="292"/>
      <c r="N472" s="249"/>
      <c r="O472" s="248">
        <f t="shared" si="146"/>
        <v>12144.869999999999</v>
      </c>
      <c r="P472" s="93"/>
      <c r="Q472" s="52"/>
    </row>
    <row r="473" spans="1:17" ht="12.75">
      <c r="A473" s="21" t="s">
        <v>270</v>
      </c>
      <c r="B473" s="65">
        <v>1209</v>
      </c>
      <c r="C473" s="134">
        <v>2860</v>
      </c>
      <c r="D473" s="99">
        <f>781+88.6+11.32</f>
        <v>880.9200000000001</v>
      </c>
      <c r="E473" s="99"/>
      <c r="F473" s="89">
        <f t="shared" si="143"/>
        <v>3740.92</v>
      </c>
      <c r="G473" s="169"/>
      <c r="H473" s="210"/>
      <c r="I473" s="230">
        <f t="shared" si="144"/>
        <v>3740.92</v>
      </c>
      <c r="J473" s="169">
        <f>24</f>
        <v>24</v>
      </c>
      <c r="K473" s="249"/>
      <c r="L473" s="248">
        <f t="shared" si="145"/>
        <v>3764.92</v>
      </c>
      <c r="M473" s="292">
        <f>-24</f>
        <v>-24</v>
      </c>
      <c r="N473" s="249"/>
      <c r="O473" s="248">
        <f t="shared" si="146"/>
        <v>3740.92</v>
      </c>
      <c r="P473" s="93"/>
      <c r="Q473" s="52"/>
    </row>
    <row r="474" spans="1:17" ht="12.75">
      <c r="A474" s="17" t="s">
        <v>184</v>
      </c>
      <c r="B474" s="65">
        <v>1211</v>
      </c>
      <c r="C474" s="134">
        <v>3900</v>
      </c>
      <c r="D474" s="150">
        <f>125.1</f>
        <v>125.1</v>
      </c>
      <c r="E474" s="150"/>
      <c r="F474" s="89">
        <f t="shared" si="143"/>
        <v>4025.1</v>
      </c>
      <c r="G474" s="169"/>
      <c r="H474" s="210"/>
      <c r="I474" s="230">
        <f t="shared" si="144"/>
        <v>4025.1</v>
      </c>
      <c r="J474" s="169">
        <f>493.92</f>
        <v>493.92</v>
      </c>
      <c r="K474" s="249"/>
      <c r="L474" s="248">
        <f t="shared" si="145"/>
        <v>4519.0199999999995</v>
      </c>
      <c r="M474" s="292">
        <f>35.12</f>
        <v>35.12</v>
      </c>
      <c r="N474" s="249"/>
      <c r="O474" s="248">
        <f t="shared" si="146"/>
        <v>4554.139999999999</v>
      </c>
      <c r="P474" s="93"/>
      <c r="Q474" s="52"/>
    </row>
    <row r="475" spans="1:17" ht="12.75">
      <c r="A475" s="17" t="s">
        <v>235</v>
      </c>
      <c r="B475" s="65">
        <v>1214</v>
      </c>
      <c r="C475" s="134">
        <v>2800</v>
      </c>
      <c r="D475" s="150">
        <f>70.05</f>
        <v>70.05</v>
      </c>
      <c r="E475" s="99"/>
      <c r="F475" s="89">
        <f t="shared" si="143"/>
        <v>2870.05</v>
      </c>
      <c r="G475" s="169"/>
      <c r="H475" s="210"/>
      <c r="I475" s="230">
        <f t="shared" si="144"/>
        <v>2870.05</v>
      </c>
      <c r="J475" s="169"/>
      <c r="K475" s="249"/>
      <c r="L475" s="248">
        <f t="shared" si="145"/>
        <v>2870.05</v>
      </c>
      <c r="M475" s="292">
        <f>10.32</f>
        <v>10.32</v>
      </c>
      <c r="N475" s="249"/>
      <c r="O475" s="248">
        <f t="shared" si="146"/>
        <v>2880.3700000000003</v>
      </c>
      <c r="P475" s="93"/>
      <c r="Q475" s="52"/>
    </row>
    <row r="476" spans="1:17" ht="12.75">
      <c r="A476" s="17" t="s">
        <v>236</v>
      </c>
      <c r="B476" s="65">
        <v>1213</v>
      </c>
      <c r="C476" s="134">
        <v>1500</v>
      </c>
      <c r="D476" s="150">
        <f>53.5</f>
        <v>53.5</v>
      </c>
      <c r="E476" s="99"/>
      <c r="F476" s="89">
        <f t="shared" si="143"/>
        <v>1553.5</v>
      </c>
      <c r="G476" s="169"/>
      <c r="H476" s="210"/>
      <c r="I476" s="230">
        <f t="shared" si="144"/>
        <v>1553.5</v>
      </c>
      <c r="J476" s="169"/>
      <c r="K476" s="249"/>
      <c r="L476" s="248">
        <f t="shared" si="145"/>
        <v>1553.5</v>
      </c>
      <c r="M476" s="292"/>
      <c r="N476" s="249"/>
      <c r="O476" s="248">
        <f t="shared" si="146"/>
        <v>1553.5</v>
      </c>
      <c r="P476" s="93"/>
      <c r="Q476" s="52"/>
    </row>
    <row r="477" spans="1:17" ht="12.75">
      <c r="A477" s="17" t="s">
        <v>269</v>
      </c>
      <c r="B477" s="65">
        <v>1216</v>
      </c>
      <c r="C477" s="134">
        <v>22000</v>
      </c>
      <c r="D477" s="99">
        <f>2369.13-221</f>
        <v>2148.13</v>
      </c>
      <c r="E477" s="99"/>
      <c r="F477" s="89">
        <f t="shared" si="143"/>
        <v>24148.13</v>
      </c>
      <c r="G477" s="169"/>
      <c r="H477" s="210"/>
      <c r="I477" s="230">
        <f t="shared" si="144"/>
        <v>24148.13</v>
      </c>
      <c r="J477" s="169">
        <f>86</f>
        <v>86</v>
      </c>
      <c r="K477" s="249">
        <f>101</f>
        <v>101</v>
      </c>
      <c r="L477" s="248">
        <f t="shared" si="145"/>
        <v>24335.13</v>
      </c>
      <c r="M477" s="292">
        <f>-86</f>
        <v>-86</v>
      </c>
      <c r="N477" s="249"/>
      <c r="O477" s="248">
        <f t="shared" si="146"/>
        <v>24249.13</v>
      </c>
      <c r="P477" s="93"/>
      <c r="Q477" s="52"/>
    </row>
    <row r="478" spans="1:17" ht="12.75">
      <c r="A478" s="17" t="s">
        <v>185</v>
      </c>
      <c r="B478" s="65">
        <v>1239</v>
      </c>
      <c r="C478" s="134">
        <v>21900</v>
      </c>
      <c r="D478" s="99">
        <f>2000-15000+1000+500+500+8323.45</f>
        <v>-2676.5499999999993</v>
      </c>
      <c r="E478" s="99"/>
      <c r="F478" s="89">
        <f t="shared" si="143"/>
        <v>19223.45</v>
      </c>
      <c r="G478" s="169">
        <f>-489-9150</f>
        <v>-9639</v>
      </c>
      <c r="H478" s="210"/>
      <c r="I478" s="230">
        <f t="shared" si="144"/>
        <v>9584.45</v>
      </c>
      <c r="J478" s="169">
        <f>6100+6.63</f>
        <v>6106.63</v>
      </c>
      <c r="K478" s="249"/>
      <c r="L478" s="248">
        <f t="shared" si="145"/>
        <v>15691.080000000002</v>
      </c>
      <c r="M478" s="292"/>
      <c r="N478" s="249"/>
      <c r="O478" s="248">
        <f t="shared" si="146"/>
        <v>15691.080000000002</v>
      </c>
      <c r="P478" s="93"/>
      <c r="Q478" s="52"/>
    </row>
    <row r="479" spans="1:17" ht="12.75">
      <c r="A479" s="17" t="s">
        <v>207</v>
      </c>
      <c r="B479" s="65">
        <v>1300</v>
      </c>
      <c r="C479" s="134">
        <v>29845.7</v>
      </c>
      <c r="D479" s="99">
        <f>-1050-9000+8724.02</f>
        <v>-1325.9799999999996</v>
      </c>
      <c r="E479" s="99">
        <v>-23.4</v>
      </c>
      <c r="F479" s="89">
        <f t="shared" si="143"/>
        <v>28496.32</v>
      </c>
      <c r="G479" s="169"/>
      <c r="H479" s="210">
        <f>-2000+800+20768</f>
        <v>19568</v>
      </c>
      <c r="I479" s="230">
        <f t="shared" si="144"/>
        <v>48064.32</v>
      </c>
      <c r="J479" s="169"/>
      <c r="K479" s="249">
        <f>493.28-4.36-140-379.08+19.63</f>
        <v>-10.530000000000026</v>
      </c>
      <c r="L479" s="248">
        <f t="shared" si="145"/>
        <v>48053.79</v>
      </c>
      <c r="M479" s="292">
        <f>-1050-6000</f>
        <v>-7050</v>
      </c>
      <c r="N479" s="249"/>
      <c r="O479" s="248">
        <f t="shared" si="146"/>
        <v>41003.79</v>
      </c>
      <c r="P479" s="93"/>
      <c r="Q479" s="52"/>
    </row>
    <row r="480" spans="1:17" ht="12.75">
      <c r="A480" s="17" t="s">
        <v>186</v>
      </c>
      <c r="B480" s="65">
        <v>1110</v>
      </c>
      <c r="C480" s="134">
        <v>15000</v>
      </c>
      <c r="D480" s="99">
        <f>5000+928.52</f>
        <v>5928.52</v>
      </c>
      <c r="E480" s="99"/>
      <c r="F480" s="89">
        <f t="shared" si="143"/>
        <v>20928.52</v>
      </c>
      <c r="G480" s="169">
        <f>-15818</f>
        <v>-15818</v>
      </c>
      <c r="H480" s="210"/>
      <c r="I480" s="230">
        <f t="shared" si="144"/>
        <v>5110.52</v>
      </c>
      <c r="J480" s="169">
        <f>387</f>
        <v>387</v>
      </c>
      <c r="K480" s="249"/>
      <c r="L480" s="248">
        <f t="shared" si="145"/>
        <v>5497.52</v>
      </c>
      <c r="M480" s="292">
        <f>24.25+10</f>
        <v>34.25</v>
      </c>
      <c r="N480" s="249"/>
      <c r="O480" s="248">
        <f t="shared" si="146"/>
        <v>5531.77</v>
      </c>
      <c r="P480" s="93"/>
      <c r="Q480" s="52"/>
    </row>
    <row r="481" spans="1:17" ht="13.5" thickBot="1">
      <c r="A481" s="342" t="s">
        <v>249</v>
      </c>
      <c r="B481" s="330"/>
      <c r="C481" s="331">
        <v>2</v>
      </c>
      <c r="D481" s="332">
        <f>1088.32</f>
        <v>1088.32</v>
      </c>
      <c r="E481" s="332"/>
      <c r="F481" s="333">
        <f t="shared" si="143"/>
        <v>1090.32</v>
      </c>
      <c r="G481" s="334"/>
      <c r="H481" s="335"/>
      <c r="I481" s="336">
        <f t="shared" si="144"/>
        <v>1090.32</v>
      </c>
      <c r="J481" s="334"/>
      <c r="K481" s="337"/>
      <c r="L481" s="338">
        <f t="shared" si="145"/>
        <v>1090.32</v>
      </c>
      <c r="M481" s="341"/>
      <c r="N481" s="337"/>
      <c r="O481" s="338">
        <f t="shared" si="146"/>
        <v>1090.32</v>
      </c>
      <c r="P481" s="93"/>
      <c r="Q481" s="52"/>
    </row>
    <row r="482" spans="1:17" ht="12.75">
      <c r="A482" s="23" t="s">
        <v>52</v>
      </c>
      <c r="B482" s="69"/>
      <c r="C482" s="137">
        <f>SUM(C484:C491)</f>
        <v>54600</v>
      </c>
      <c r="D482" s="102">
        <f aca="true" t="shared" si="147" ref="D482:Q482">SUM(D484:D491)</f>
        <v>33660</v>
      </c>
      <c r="E482" s="102">
        <f t="shared" si="147"/>
        <v>1923.4</v>
      </c>
      <c r="F482" s="120">
        <f t="shared" si="147"/>
        <v>90183.4</v>
      </c>
      <c r="G482" s="171">
        <f t="shared" si="147"/>
        <v>26064</v>
      </c>
      <c r="H482" s="214">
        <f t="shared" si="147"/>
        <v>67040.29</v>
      </c>
      <c r="I482" s="233">
        <f t="shared" si="147"/>
        <v>183287.69</v>
      </c>
      <c r="J482" s="171">
        <f t="shared" si="147"/>
        <v>4658.430000000001</v>
      </c>
      <c r="K482" s="254">
        <f t="shared" si="147"/>
        <v>7152.33</v>
      </c>
      <c r="L482" s="255">
        <f t="shared" si="147"/>
        <v>195098.45</v>
      </c>
      <c r="M482" s="315">
        <f t="shared" si="147"/>
        <v>3062</v>
      </c>
      <c r="N482" s="254">
        <f t="shared" si="147"/>
        <v>0</v>
      </c>
      <c r="O482" s="255">
        <f t="shared" si="147"/>
        <v>198160.45</v>
      </c>
      <c r="P482" s="102">
        <f t="shared" si="147"/>
        <v>0</v>
      </c>
      <c r="Q482" s="137">
        <f t="shared" si="147"/>
        <v>0</v>
      </c>
    </row>
    <row r="483" spans="1:17" ht="12.75">
      <c r="A483" s="19" t="s">
        <v>26</v>
      </c>
      <c r="B483" s="65"/>
      <c r="C483" s="134"/>
      <c r="D483" s="99"/>
      <c r="E483" s="99"/>
      <c r="F483" s="89"/>
      <c r="G483" s="169"/>
      <c r="H483" s="210"/>
      <c r="I483" s="230"/>
      <c r="J483" s="169"/>
      <c r="K483" s="249"/>
      <c r="L483" s="248"/>
      <c r="M483" s="292"/>
      <c r="N483" s="249"/>
      <c r="O483" s="248"/>
      <c r="P483" s="93"/>
      <c r="Q483" s="52"/>
    </row>
    <row r="484" spans="1:17" ht="12.75">
      <c r="A484" s="21" t="s">
        <v>283</v>
      </c>
      <c r="B484" s="65">
        <v>1239</v>
      </c>
      <c r="C484" s="134">
        <v>8000</v>
      </c>
      <c r="D484" s="99">
        <f>270</f>
        <v>270</v>
      </c>
      <c r="E484" s="99"/>
      <c r="F484" s="89">
        <f aca="true" t="shared" si="148" ref="F484:F491">C484+D484+E484</f>
        <v>8270</v>
      </c>
      <c r="G484" s="169"/>
      <c r="H484" s="210"/>
      <c r="I484" s="230">
        <f aca="true" t="shared" si="149" ref="I484:I491">F484+G484+H484</f>
        <v>8270</v>
      </c>
      <c r="J484" s="169"/>
      <c r="K484" s="249"/>
      <c r="L484" s="248">
        <f aca="true" t="shared" si="150" ref="L484:L491">I484+J484+K484</f>
        <v>8270</v>
      </c>
      <c r="M484" s="292"/>
      <c r="N484" s="249"/>
      <c r="O484" s="248">
        <f aca="true" t="shared" si="151" ref="O484:O491">L484+M484+N484</f>
        <v>8270</v>
      </c>
      <c r="P484" s="93"/>
      <c r="Q484" s="52"/>
    </row>
    <row r="485" spans="1:17" ht="12.75" hidden="1">
      <c r="A485" s="21" t="s">
        <v>320</v>
      </c>
      <c r="B485" s="65">
        <v>1214</v>
      </c>
      <c r="C485" s="134"/>
      <c r="D485" s="99"/>
      <c r="E485" s="99"/>
      <c r="F485" s="89">
        <f t="shared" si="148"/>
        <v>0</v>
      </c>
      <c r="G485" s="169"/>
      <c r="H485" s="210"/>
      <c r="I485" s="230">
        <f t="shared" si="149"/>
        <v>0</v>
      </c>
      <c r="J485" s="169"/>
      <c r="K485" s="249"/>
      <c r="L485" s="248">
        <f t="shared" si="150"/>
        <v>0</v>
      </c>
      <c r="M485" s="292"/>
      <c r="N485" s="249"/>
      <c r="O485" s="248">
        <f t="shared" si="151"/>
        <v>0</v>
      </c>
      <c r="P485" s="93"/>
      <c r="Q485" s="52"/>
    </row>
    <row r="486" spans="1:17" ht="12.75">
      <c r="A486" s="21" t="s">
        <v>284</v>
      </c>
      <c r="B486" s="65">
        <v>1209</v>
      </c>
      <c r="C486" s="134">
        <v>600</v>
      </c>
      <c r="D486" s="99">
        <f>219</f>
        <v>219</v>
      </c>
      <c r="E486" s="99"/>
      <c r="F486" s="89">
        <f t="shared" si="148"/>
        <v>819</v>
      </c>
      <c r="G486" s="169"/>
      <c r="H486" s="210"/>
      <c r="I486" s="230">
        <f t="shared" si="149"/>
        <v>819</v>
      </c>
      <c r="J486" s="169"/>
      <c r="K486" s="249"/>
      <c r="L486" s="248">
        <f t="shared" si="150"/>
        <v>819</v>
      </c>
      <c r="M486" s="292"/>
      <c r="N486" s="249"/>
      <c r="O486" s="248">
        <f t="shared" si="151"/>
        <v>819</v>
      </c>
      <c r="P486" s="93"/>
      <c r="Q486" s="52"/>
    </row>
    <row r="487" spans="1:17" ht="12.75">
      <c r="A487" s="17" t="s">
        <v>285</v>
      </c>
      <c r="B487" s="65">
        <v>1202</v>
      </c>
      <c r="C487" s="134"/>
      <c r="D487" s="99"/>
      <c r="E487" s="99"/>
      <c r="F487" s="89">
        <f t="shared" si="148"/>
        <v>0</v>
      </c>
      <c r="G487" s="169">
        <f>607</f>
        <v>607</v>
      </c>
      <c r="H487" s="210"/>
      <c r="I487" s="230">
        <f t="shared" si="149"/>
        <v>607</v>
      </c>
      <c r="J487" s="169"/>
      <c r="K487" s="249"/>
      <c r="L487" s="248">
        <f t="shared" si="150"/>
        <v>607</v>
      </c>
      <c r="M487" s="292"/>
      <c r="N487" s="249"/>
      <c r="O487" s="248">
        <f t="shared" si="151"/>
        <v>607</v>
      </c>
      <c r="P487" s="93"/>
      <c r="Q487" s="52"/>
    </row>
    <row r="488" spans="1:17" ht="12.75">
      <c r="A488" s="17" t="s">
        <v>322</v>
      </c>
      <c r="B488" s="65">
        <v>1216</v>
      </c>
      <c r="C488" s="134"/>
      <c r="D488" s="99">
        <f>221</f>
        <v>221</v>
      </c>
      <c r="E488" s="99"/>
      <c r="F488" s="89">
        <f t="shared" si="148"/>
        <v>221</v>
      </c>
      <c r="G488" s="169"/>
      <c r="H488" s="210"/>
      <c r="I488" s="230">
        <f t="shared" si="149"/>
        <v>221</v>
      </c>
      <c r="J488" s="169"/>
      <c r="K488" s="249">
        <f>-101</f>
        <v>-101</v>
      </c>
      <c r="L488" s="248">
        <f t="shared" si="150"/>
        <v>120</v>
      </c>
      <c r="M488" s="292"/>
      <c r="N488" s="249"/>
      <c r="O488" s="248">
        <f t="shared" si="151"/>
        <v>120</v>
      </c>
      <c r="P488" s="93"/>
      <c r="Q488" s="52"/>
    </row>
    <row r="489" spans="1:17" ht="12.75">
      <c r="A489" s="17" t="s">
        <v>327</v>
      </c>
      <c r="B489" s="65">
        <v>1239</v>
      </c>
      <c r="C489" s="134"/>
      <c r="D489" s="99">
        <f>10000+2000+13500+2500+3000</f>
        <v>31000</v>
      </c>
      <c r="E489" s="99"/>
      <c r="F489" s="89">
        <f t="shared" si="148"/>
        <v>31000</v>
      </c>
      <c r="G489" s="169">
        <f>489+9150</f>
        <v>9639</v>
      </c>
      <c r="H489" s="210"/>
      <c r="I489" s="230">
        <f t="shared" si="149"/>
        <v>40639</v>
      </c>
      <c r="J489" s="169">
        <f>-6100</f>
        <v>-6100</v>
      </c>
      <c r="K489" s="249"/>
      <c r="L489" s="248">
        <f t="shared" si="150"/>
        <v>34539</v>
      </c>
      <c r="M489" s="292">
        <f>10.35</f>
        <v>10.35</v>
      </c>
      <c r="N489" s="249"/>
      <c r="O489" s="248">
        <f t="shared" si="151"/>
        <v>34549.35</v>
      </c>
      <c r="P489" s="93"/>
      <c r="Q489" s="52"/>
    </row>
    <row r="490" spans="1:17" ht="12.75">
      <c r="A490" s="21" t="s">
        <v>286</v>
      </c>
      <c r="B490" s="65">
        <v>1300</v>
      </c>
      <c r="C490" s="134">
        <v>16000</v>
      </c>
      <c r="D490" s="99">
        <f>1050+900</f>
        <v>1950</v>
      </c>
      <c r="E490" s="99">
        <f>23.4+1900</f>
        <v>1923.4</v>
      </c>
      <c r="F490" s="89">
        <f t="shared" si="148"/>
        <v>19873.4</v>
      </c>
      <c r="G490" s="169"/>
      <c r="H490" s="210">
        <f>67040.29</f>
        <v>67040.29</v>
      </c>
      <c r="I490" s="230">
        <f t="shared" si="149"/>
        <v>86913.69</v>
      </c>
      <c r="J490" s="169">
        <f>5500+5048.54</f>
        <v>10548.54</v>
      </c>
      <c r="K490" s="249">
        <f>4978.08+1624.64+4.36+140+379.08+127.17</f>
        <v>7253.33</v>
      </c>
      <c r="L490" s="248">
        <f t="shared" si="150"/>
        <v>104715.56000000001</v>
      </c>
      <c r="M490" s="292">
        <f>-3000+6000</f>
        <v>3000</v>
      </c>
      <c r="N490" s="249"/>
      <c r="O490" s="248">
        <f t="shared" si="151"/>
        <v>107715.56000000001</v>
      </c>
      <c r="P490" s="93"/>
      <c r="Q490" s="52"/>
    </row>
    <row r="491" spans="1:17" ht="12.75">
      <c r="A491" s="20" t="s">
        <v>321</v>
      </c>
      <c r="B491" s="68">
        <v>1110</v>
      </c>
      <c r="C491" s="293">
        <v>30000</v>
      </c>
      <c r="D491" s="148"/>
      <c r="E491" s="148"/>
      <c r="F491" s="159">
        <f t="shared" si="148"/>
        <v>30000</v>
      </c>
      <c r="G491" s="174">
        <f>15818</f>
        <v>15818</v>
      </c>
      <c r="H491" s="216"/>
      <c r="I491" s="235">
        <f t="shared" si="149"/>
        <v>45818</v>
      </c>
      <c r="J491" s="174">
        <f>209.89</f>
        <v>209.89</v>
      </c>
      <c r="K491" s="258"/>
      <c r="L491" s="259">
        <f t="shared" si="150"/>
        <v>46027.89</v>
      </c>
      <c r="M491" s="302">
        <f>61.65-10</f>
        <v>51.65</v>
      </c>
      <c r="N491" s="258"/>
      <c r="O491" s="259">
        <f t="shared" si="151"/>
        <v>46079.54</v>
      </c>
      <c r="P491" s="93"/>
      <c r="Q491" s="52"/>
    </row>
    <row r="492" spans="1:17" ht="12.75">
      <c r="A492" s="14" t="s">
        <v>139</v>
      </c>
      <c r="B492" s="69"/>
      <c r="C492" s="133">
        <f aca="true" t="shared" si="152" ref="C492:Q492">C493</f>
        <v>1</v>
      </c>
      <c r="D492" s="86">
        <f t="shared" si="152"/>
        <v>2347.5</v>
      </c>
      <c r="E492" s="86">
        <f t="shared" si="152"/>
        <v>0</v>
      </c>
      <c r="F492" s="94">
        <f t="shared" si="152"/>
        <v>2348.5</v>
      </c>
      <c r="G492" s="168">
        <f t="shared" si="152"/>
        <v>0</v>
      </c>
      <c r="H492" s="209">
        <f t="shared" si="152"/>
        <v>0</v>
      </c>
      <c r="I492" s="229">
        <f t="shared" si="152"/>
        <v>2348.5</v>
      </c>
      <c r="J492" s="168">
        <f t="shared" si="152"/>
        <v>0</v>
      </c>
      <c r="K492" s="246">
        <f t="shared" si="152"/>
        <v>0</v>
      </c>
      <c r="L492" s="247">
        <f t="shared" si="152"/>
        <v>2348.5</v>
      </c>
      <c r="M492" s="309">
        <f t="shared" si="152"/>
        <v>0</v>
      </c>
      <c r="N492" s="246">
        <f t="shared" si="152"/>
        <v>0</v>
      </c>
      <c r="O492" s="247">
        <f t="shared" si="152"/>
        <v>2348.5</v>
      </c>
      <c r="P492" s="86">
        <f t="shared" si="152"/>
        <v>0</v>
      </c>
      <c r="Q492" s="133">
        <f t="shared" si="152"/>
        <v>2348.5</v>
      </c>
    </row>
    <row r="493" spans="1:17" ht="12.75">
      <c r="A493" s="23" t="s">
        <v>48</v>
      </c>
      <c r="B493" s="69"/>
      <c r="C493" s="137">
        <f>C495</f>
        <v>1</v>
      </c>
      <c r="D493" s="102">
        <f aca="true" t="shared" si="153" ref="D493:Q493">D495</f>
        <v>2347.5</v>
      </c>
      <c r="E493" s="102">
        <f t="shared" si="153"/>
        <v>0</v>
      </c>
      <c r="F493" s="120">
        <f t="shared" si="153"/>
        <v>2348.5</v>
      </c>
      <c r="G493" s="171">
        <f t="shared" si="153"/>
        <v>0</v>
      </c>
      <c r="H493" s="214">
        <f t="shared" si="153"/>
        <v>0</v>
      </c>
      <c r="I493" s="233">
        <f t="shared" si="153"/>
        <v>2348.5</v>
      </c>
      <c r="J493" s="171">
        <f t="shared" si="153"/>
        <v>0</v>
      </c>
      <c r="K493" s="254">
        <f t="shared" si="153"/>
        <v>0</v>
      </c>
      <c r="L493" s="255">
        <f t="shared" si="153"/>
        <v>2348.5</v>
      </c>
      <c r="M493" s="315">
        <f>M495</f>
        <v>0</v>
      </c>
      <c r="N493" s="254">
        <f>N495</f>
        <v>0</v>
      </c>
      <c r="O493" s="255">
        <f>O495</f>
        <v>2348.5</v>
      </c>
      <c r="P493" s="102">
        <f t="shared" si="153"/>
        <v>0</v>
      </c>
      <c r="Q493" s="137">
        <f t="shared" si="153"/>
        <v>2348.5</v>
      </c>
    </row>
    <row r="494" spans="1:17" ht="12.75">
      <c r="A494" s="19" t="s">
        <v>26</v>
      </c>
      <c r="B494" s="65"/>
      <c r="C494" s="134"/>
      <c r="D494" s="99"/>
      <c r="E494" s="99"/>
      <c r="F494" s="89"/>
      <c r="G494" s="169"/>
      <c r="H494" s="210"/>
      <c r="I494" s="230"/>
      <c r="J494" s="169"/>
      <c r="K494" s="249"/>
      <c r="L494" s="248"/>
      <c r="M494" s="292"/>
      <c r="N494" s="249"/>
      <c r="O494" s="248"/>
      <c r="P494" s="93"/>
      <c r="Q494" s="52"/>
    </row>
    <row r="495" spans="1:17" ht="12.75">
      <c r="A495" s="155" t="s">
        <v>50</v>
      </c>
      <c r="B495" s="156"/>
      <c r="C495" s="195">
        <v>1</v>
      </c>
      <c r="D495" s="148">
        <f>5347.5-3000</f>
        <v>2347.5</v>
      </c>
      <c r="E495" s="157"/>
      <c r="F495" s="161">
        <f>C495+D495+E495</f>
        <v>2348.5</v>
      </c>
      <c r="G495" s="174"/>
      <c r="H495" s="216"/>
      <c r="I495" s="235">
        <f>F495+G495+H495</f>
        <v>2348.5</v>
      </c>
      <c r="J495" s="174"/>
      <c r="K495" s="258"/>
      <c r="L495" s="259">
        <f>I495+J495+K495</f>
        <v>2348.5</v>
      </c>
      <c r="M495" s="302"/>
      <c r="N495" s="258"/>
      <c r="O495" s="259">
        <f>L495+M495+N495</f>
        <v>2348.5</v>
      </c>
      <c r="P495" s="295"/>
      <c r="Q495" s="54">
        <f>O495+P495</f>
        <v>2348.5</v>
      </c>
    </row>
    <row r="496" spans="1:17" ht="12.75">
      <c r="A496" s="14" t="s">
        <v>97</v>
      </c>
      <c r="B496" s="69"/>
      <c r="C496" s="133">
        <f>C498+C499</f>
        <v>671652</v>
      </c>
      <c r="D496" s="86">
        <f aca="true" t="shared" si="154" ref="D496:Q496">D498+D499</f>
        <v>572038.9000000001</v>
      </c>
      <c r="E496" s="86">
        <f t="shared" si="154"/>
        <v>0</v>
      </c>
      <c r="F496" s="94">
        <f t="shared" si="154"/>
        <v>1243690.9000000001</v>
      </c>
      <c r="G496" s="168">
        <f t="shared" si="154"/>
        <v>21127.149999999998</v>
      </c>
      <c r="H496" s="209">
        <f t="shared" si="154"/>
        <v>-159470.13</v>
      </c>
      <c r="I496" s="229">
        <f t="shared" si="154"/>
        <v>1105347.9200000002</v>
      </c>
      <c r="J496" s="283">
        <f t="shared" si="154"/>
        <v>-168118.7</v>
      </c>
      <c r="K496" s="209">
        <f t="shared" si="154"/>
        <v>-5000</v>
      </c>
      <c r="L496" s="284">
        <f t="shared" si="154"/>
        <v>932229.2200000002</v>
      </c>
      <c r="M496" s="317">
        <f>M498+M499</f>
        <v>2882.99</v>
      </c>
      <c r="N496" s="291">
        <f>N498+N499</f>
        <v>0</v>
      </c>
      <c r="O496" s="284">
        <f>O498+O499</f>
        <v>935112.2100000002</v>
      </c>
      <c r="P496" s="86">
        <f t="shared" si="154"/>
        <v>0</v>
      </c>
      <c r="Q496" s="133">
        <f t="shared" si="154"/>
        <v>896223.8600000001</v>
      </c>
    </row>
    <row r="497" spans="1:17" ht="12.75">
      <c r="A497" s="16" t="s">
        <v>26</v>
      </c>
      <c r="B497" s="65"/>
      <c r="C497" s="133"/>
      <c r="D497" s="86"/>
      <c r="E497" s="86"/>
      <c r="F497" s="94"/>
      <c r="G497" s="168"/>
      <c r="H497" s="209"/>
      <c r="I497" s="229"/>
      <c r="J497" s="168"/>
      <c r="K497" s="209"/>
      <c r="L497" s="247"/>
      <c r="M497" s="309"/>
      <c r="N497" s="246"/>
      <c r="O497" s="247"/>
      <c r="P497" s="86"/>
      <c r="Q497" s="133"/>
    </row>
    <row r="498" spans="1:17" ht="12.75">
      <c r="A498" s="14" t="s">
        <v>48</v>
      </c>
      <c r="B498" s="69"/>
      <c r="C498" s="231">
        <f>C505+C507+C519+C521+C526+C538+C522+C512+C540+C514+C544+C528</f>
        <v>42850.65</v>
      </c>
      <c r="D498" s="100">
        <f>D505+D507+D519+D521+D526+D538+D522+D512+D540+D514+D544</f>
        <v>10290.630000000001</v>
      </c>
      <c r="E498" s="100">
        <f>E505+E507+E519+E521+E526+E538+E522+E512+E540+E514+E544</f>
        <v>0</v>
      </c>
      <c r="F498" s="162">
        <f>F505+F507+F519+F521+F526+F538+F522+F512+F540+F514+F544</f>
        <v>53141.28</v>
      </c>
      <c r="G498" s="173">
        <f aca="true" t="shared" si="155" ref="G498:Q498">G505+G507+G519+G521+G526+G538+G522+G512+G540+G514+G544</f>
        <v>4810.8</v>
      </c>
      <c r="H498" s="212">
        <f t="shared" si="155"/>
        <v>-500</v>
      </c>
      <c r="I498" s="173">
        <f>I505+I507+I519+I521+I526+I538+I522+I512+I540+I514+I544+I528</f>
        <v>57452.08</v>
      </c>
      <c r="J498" s="173">
        <f>J505+J507+J519+J521+J526+J538+J522+J512+J540+J514+J544+J528</f>
        <v>-129.94999999999982</v>
      </c>
      <c r="K498" s="212">
        <f t="shared" si="155"/>
        <v>0</v>
      </c>
      <c r="L498" s="158">
        <f>L505+L507+L519+L521+L526+L538+L522+L512+L540+L514+L544+L528</f>
        <v>57322.130000000005</v>
      </c>
      <c r="M498" s="312">
        <f>M505+M507+M519+M521+M526+M538+M522+M512+M540+M514+M544+M528</f>
        <v>0</v>
      </c>
      <c r="N498" s="251">
        <f>N505+N507+N519+N521+N526+N538+N522+N512+N540+N514+N544+N528</f>
        <v>0</v>
      </c>
      <c r="O498" s="158">
        <f>O505+O507+O519+O521+O526+O538+O522+O512+O540+O514+O544+O528</f>
        <v>57322.130000000005</v>
      </c>
      <c r="P498" s="110">
        <f t="shared" si="155"/>
        <v>0</v>
      </c>
      <c r="Q498" s="130">
        <f t="shared" si="155"/>
        <v>52302.130000000005</v>
      </c>
    </row>
    <row r="499" spans="1:17" ht="12.75">
      <c r="A499" s="14" t="s">
        <v>52</v>
      </c>
      <c r="B499" s="69"/>
      <c r="C499" s="231">
        <f>+C502+C503+C504+C508+C509+C511+C513+C515+C517+C518+C520+C523+C525+C527+C529+C531+C532+C534+C535+C537+C539+C541+C543</f>
        <v>628801.35</v>
      </c>
      <c r="D499" s="100">
        <f>+D502+D503+D504+D508+D509+D511+D513+D515+D517+D518+D520+D523+D525+D527+D529+D531+D532+D534+D535+D537+D539+D541+D543</f>
        <v>561748.2700000001</v>
      </c>
      <c r="E499" s="100">
        <f>+E502+E503+E504+E508+E509+E511+E513+E515+E517+E518+E520+E523+E525+E527+E529+E531+E532+E534+E535+E537+E539+E541+E543</f>
        <v>0</v>
      </c>
      <c r="F499" s="162">
        <f>+F502+F503+F504+F508+F509+F511+F513+F515+F517+F518+F520+F523+F525+F527+F529+F531+F532+F534+F535+F537+F539+F541+F543</f>
        <v>1190549.62</v>
      </c>
      <c r="G499" s="173">
        <f aca="true" t="shared" si="156" ref="G499:Q499">+G502+G503+G504+G508+G509+G511+G513+G515+G517+G518+G520+G523+G525+G527+G529+G531+G532+G534+G535+G537+G539+G541+G543</f>
        <v>16316.349999999999</v>
      </c>
      <c r="H499" s="212">
        <f t="shared" si="156"/>
        <v>-158970.13</v>
      </c>
      <c r="I499" s="173">
        <f>+I502+I503+I504+I508+I509+I511+I513+I515+I517+I518+I520+I523+I525+I527+I529+I531+I532+I534+I535+I537+I539+I541+I543</f>
        <v>1047895.8400000002</v>
      </c>
      <c r="J499" s="173">
        <f>+J502+J503+J504+J508+J509+J511+J513+J515+J517+J518+J520+J523+J525+J527+J529+J531+J532+J534+J535+J537+J539+J541+J543</f>
        <v>-167988.75</v>
      </c>
      <c r="K499" s="212">
        <f t="shared" si="156"/>
        <v>-5000</v>
      </c>
      <c r="L499" s="158">
        <f>+L502+L503+L504+L508+L509+L511+L513+L515+L517+L518+L520+L523+L525+L527+L529+L531+L532+L534+L535+L537+L539+L541+L543</f>
        <v>874907.0900000002</v>
      </c>
      <c r="M499" s="312">
        <f>+M502+M503+M504+M508+M509+M511+M513+M515+M517+M518+M520+M523+M525+M527+M529+M531+M532+M534+M535+M537+M539+M541+M543</f>
        <v>2882.99</v>
      </c>
      <c r="N499" s="251">
        <f>+N502+N503+N504+N508+N509+N511+N513+N515+N517+N518+N520+N523+N525+N527+N529+N531+N532+N534+N535+N537+N539+N541+N543</f>
        <v>0</v>
      </c>
      <c r="O499" s="158">
        <f>+O502+O503+O504+O508+O509+O511+O513+O515+O517+O518+O520+O523+O525+O527+O529+O531+O532+O534+O535+O537+O539+O541+O543</f>
        <v>877790.0800000002</v>
      </c>
      <c r="P499" s="110">
        <f t="shared" si="156"/>
        <v>0</v>
      </c>
      <c r="Q499" s="130">
        <f t="shared" si="156"/>
        <v>843921.7300000001</v>
      </c>
    </row>
    <row r="500" spans="1:17" ht="12.75">
      <c r="A500" s="15" t="s">
        <v>98</v>
      </c>
      <c r="B500" s="65"/>
      <c r="C500" s="133"/>
      <c r="D500" s="86"/>
      <c r="E500" s="86"/>
      <c r="F500" s="94"/>
      <c r="G500" s="168"/>
      <c r="H500" s="209"/>
      <c r="I500" s="229"/>
      <c r="J500" s="168"/>
      <c r="K500" s="209"/>
      <c r="L500" s="247"/>
      <c r="M500" s="309"/>
      <c r="N500" s="246"/>
      <c r="O500" s="247"/>
      <c r="P500" s="93"/>
      <c r="Q500" s="52"/>
    </row>
    <row r="501" spans="1:17" ht="12.75">
      <c r="A501" s="16" t="s">
        <v>102</v>
      </c>
      <c r="B501" s="65">
        <v>10</v>
      </c>
      <c r="C501" s="134">
        <f>SUM(C502:C505)</f>
        <v>155000</v>
      </c>
      <c r="D501" s="99">
        <f aca="true" t="shared" si="157" ref="D501:Q501">SUM(D502:D505)</f>
        <v>67670.95999999999</v>
      </c>
      <c r="E501" s="99">
        <f t="shared" si="157"/>
        <v>0</v>
      </c>
      <c r="F501" s="89">
        <f t="shared" si="157"/>
        <v>222670.96000000002</v>
      </c>
      <c r="G501" s="169">
        <f t="shared" si="157"/>
        <v>16146.619999999999</v>
      </c>
      <c r="H501" s="210">
        <f t="shared" si="157"/>
        <v>0</v>
      </c>
      <c r="I501" s="230">
        <f t="shared" si="157"/>
        <v>238817.58000000002</v>
      </c>
      <c r="J501" s="169">
        <f t="shared" si="157"/>
        <v>-57500</v>
      </c>
      <c r="K501" s="210">
        <f t="shared" si="157"/>
        <v>0</v>
      </c>
      <c r="L501" s="248">
        <f t="shared" si="157"/>
        <v>181317.58000000002</v>
      </c>
      <c r="M501" s="292">
        <f t="shared" si="157"/>
        <v>0</v>
      </c>
      <c r="N501" s="249">
        <f t="shared" si="157"/>
        <v>0</v>
      </c>
      <c r="O501" s="248">
        <f t="shared" si="157"/>
        <v>181317.58000000002</v>
      </c>
      <c r="P501" s="109">
        <f t="shared" si="157"/>
        <v>0</v>
      </c>
      <c r="Q501" s="109">
        <f t="shared" si="157"/>
        <v>181317.58000000002</v>
      </c>
    </row>
    <row r="502" spans="1:17" ht="12.75" hidden="1">
      <c r="A502" s="16" t="s">
        <v>103</v>
      </c>
      <c r="B502" s="65"/>
      <c r="C502" s="134"/>
      <c r="D502" s="99"/>
      <c r="E502" s="99"/>
      <c r="F502" s="89">
        <f aca="true" t="shared" si="158" ref="F502:F547">C502+D502+E502</f>
        <v>0</v>
      </c>
      <c r="G502" s="169"/>
      <c r="H502" s="210"/>
      <c r="I502" s="230">
        <f>F502+G502+H502</f>
        <v>0</v>
      </c>
      <c r="J502" s="169"/>
      <c r="K502" s="210"/>
      <c r="L502" s="248">
        <f>I502+J502+K502</f>
        <v>0</v>
      </c>
      <c r="M502" s="292"/>
      <c r="N502" s="249"/>
      <c r="O502" s="248">
        <f>L502+M502+N502</f>
        <v>0</v>
      </c>
      <c r="P502" s="93"/>
      <c r="Q502" s="52">
        <f>O502+P502</f>
        <v>0</v>
      </c>
    </row>
    <row r="503" spans="1:17" ht="12.75">
      <c r="A503" s="66" t="s">
        <v>100</v>
      </c>
      <c r="B503" s="65"/>
      <c r="C503" s="134">
        <v>140000</v>
      </c>
      <c r="D503" s="150">
        <f>24156.01+55000</f>
        <v>79156.01</v>
      </c>
      <c r="E503" s="150"/>
      <c r="F503" s="89">
        <f t="shared" si="158"/>
        <v>219156.01</v>
      </c>
      <c r="G503" s="169">
        <f>14000</f>
        <v>14000</v>
      </c>
      <c r="H503" s="210"/>
      <c r="I503" s="230">
        <f>F503+G503+H503</f>
        <v>233156.01</v>
      </c>
      <c r="J503" s="169">
        <f>-2500-55000</f>
        <v>-57500</v>
      </c>
      <c r="K503" s="210"/>
      <c r="L503" s="248">
        <f>I503+J503+K503</f>
        <v>175656.01</v>
      </c>
      <c r="M503" s="292"/>
      <c r="N503" s="249"/>
      <c r="O503" s="248">
        <f>L503+M503+N503</f>
        <v>175656.01</v>
      </c>
      <c r="P503" s="93"/>
      <c r="Q503" s="52">
        <f>O503+P503</f>
        <v>175656.01</v>
      </c>
    </row>
    <row r="504" spans="1:17" ht="12.75">
      <c r="A504" s="16" t="s">
        <v>101</v>
      </c>
      <c r="B504" s="65"/>
      <c r="C504" s="134"/>
      <c r="D504" s="99">
        <f>1000</f>
        <v>1000</v>
      </c>
      <c r="E504" s="99"/>
      <c r="F504" s="89">
        <f t="shared" si="158"/>
        <v>1000</v>
      </c>
      <c r="G504" s="169">
        <f>1146.62</f>
        <v>1146.62</v>
      </c>
      <c r="H504" s="210"/>
      <c r="I504" s="230">
        <f>F504+G504+H504</f>
        <v>2146.62</v>
      </c>
      <c r="J504" s="169"/>
      <c r="K504" s="249"/>
      <c r="L504" s="248">
        <f>I504+J504+K504</f>
        <v>2146.62</v>
      </c>
      <c r="M504" s="292"/>
      <c r="N504" s="249"/>
      <c r="O504" s="248">
        <f>L504+M504+N504</f>
        <v>2146.62</v>
      </c>
      <c r="P504" s="93"/>
      <c r="Q504" s="52">
        <f>O504+P504</f>
        <v>2146.62</v>
      </c>
    </row>
    <row r="505" spans="1:17" ht="12.75">
      <c r="A505" s="17" t="s">
        <v>130</v>
      </c>
      <c r="B505" s="65"/>
      <c r="C505" s="134">
        <v>15000</v>
      </c>
      <c r="D505" s="186">
        <f>-12485.05</f>
        <v>-12485.05</v>
      </c>
      <c r="E505" s="99"/>
      <c r="F505" s="89">
        <f t="shared" si="158"/>
        <v>2514.9500000000007</v>
      </c>
      <c r="G505" s="169">
        <f>1000</f>
        <v>1000</v>
      </c>
      <c r="H505" s="210"/>
      <c r="I505" s="230">
        <f>F505+G505+H505</f>
        <v>3514.9500000000007</v>
      </c>
      <c r="J505" s="169"/>
      <c r="K505" s="249"/>
      <c r="L505" s="248">
        <f>I505+J505+K505</f>
        <v>3514.9500000000007</v>
      </c>
      <c r="M505" s="292"/>
      <c r="N505" s="249"/>
      <c r="O505" s="248">
        <f>L505+M505+N505</f>
        <v>3514.9500000000007</v>
      </c>
      <c r="P505" s="93"/>
      <c r="Q505" s="52">
        <f>O505+P505</f>
        <v>3514.9500000000007</v>
      </c>
    </row>
    <row r="506" spans="1:17" ht="12.75">
      <c r="A506" s="16" t="s">
        <v>105</v>
      </c>
      <c r="B506" s="65">
        <v>12</v>
      </c>
      <c r="C506" s="134">
        <f aca="true" t="shared" si="159" ref="C506:Q506">C507+C508+C509</f>
        <v>46500</v>
      </c>
      <c r="D506" s="99">
        <f t="shared" si="159"/>
        <v>103625.43000000001</v>
      </c>
      <c r="E506" s="99">
        <f t="shared" si="159"/>
        <v>0</v>
      </c>
      <c r="F506" s="89">
        <f t="shared" si="159"/>
        <v>150125.43000000002</v>
      </c>
      <c r="G506" s="169">
        <f t="shared" si="159"/>
        <v>-20000</v>
      </c>
      <c r="H506" s="210">
        <f t="shared" si="159"/>
        <v>-90500</v>
      </c>
      <c r="I506" s="230">
        <f t="shared" si="159"/>
        <v>39625.43</v>
      </c>
      <c r="J506" s="169">
        <f t="shared" si="159"/>
        <v>-28350.000000000004</v>
      </c>
      <c r="K506" s="249">
        <f t="shared" si="159"/>
        <v>0</v>
      </c>
      <c r="L506" s="248">
        <f t="shared" si="159"/>
        <v>11275.43</v>
      </c>
      <c r="M506" s="292">
        <f t="shared" si="159"/>
        <v>0</v>
      </c>
      <c r="N506" s="249">
        <f t="shared" si="159"/>
        <v>0</v>
      </c>
      <c r="O506" s="248">
        <f t="shared" si="159"/>
        <v>11275.43</v>
      </c>
      <c r="P506" s="109">
        <f t="shared" si="159"/>
        <v>0</v>
      </c>
      <c r="Q506" s="109">
        <f t="shared" si="159"/>
        <v>11275.43</v>
      </c>
    </row>
    <row r="507" spans="1:17" ht="12.75">
      <c r="A507" s="16" t="s">
        <v>106</v>
      </c>
      <c r="B507" s="65"/>
      <c r="C507" s="134">
        <v>3249.65</v>
      </c>
      <c r="D507" s="99">
        <f>1639.99</f>
        <v>1639.99</v>
      </c>
      <c r="E507" s="99"/>
      <c r="F507" s="89">
        <f t="shared" si="158"/>
        <v>4889.64</v>
      </c>
      <c r="G507" s="169"/>
      <c r="H507" s="210"/>
      <c r="I507" s="230">
        <f>F507+G507+H507</f>
        <v>4889.64</v>
      </c>
      <c r="J507" s="169">
        <f>-1375.06-25</f>
        <v>-1400.06</v>
      </c>
      <c r="K507" s="249"/>
      <c r="L507" s="248">
        <f>I507+J507+K507</f>
        <v>3489.5800000000004</v>
      </c>
      <c r="M507" s="292"/>
      <c r="N507" s="249"/>
      <c r="O507" s="248">
        <f>L507+M507+N507</f>
        <v>3489.5800000000004</v>
      </c>
      <c r="P507" s="93"/>
      <c r="Q507" s="52">
        <f>O507+P507</f>
        <v>3489.5800000000004</v>
      </c>
    </row>
    <row r="508" spans="1:17" ht="12.75">
      <c r="A508" s="16" t="s">
        <v>104</v>
      </c>
      <c r="B508" s="65"/>
      <c r="C508" s="134">
        <v>41500</v>
      </c>
      <c r="D508" s="99">
        <f>102295.44</f>
        <v>102295.44</v>
      </c>
      <c r="E508" s="99"/>
      <c r="F508" s="89">
        <f t="shared" si="158"/>
        <v>143795.44</v>
      </c>
      <c r="G508" s="169">
        <f>-20000</f>
        <v>-20000</v>
      </c>
      <c r="H508" s="210">
        <f>-90500</f>
        <v>-90500</v>
      </c>
      <c r="I508" s="230">
        <f>F508+G508+H508</f>
        <v>33295.44</v>
      </c>
      <c r="J508" s="169">
        <f>1674.71-28325</f>
        <v>-26650.29</v>
      </c>
      <c r="K508" s="249"/>
      <c r="L508" s="248">
        <f>I508+J508+K508</f>
        <v>6645.1500000000015</v>
      </c>
      <c r="M508" s="292"/>
      <c r="N508" s="249"/>
      <c r="O508" s="248">
        <f>L508+M508+N508</f>
        <v>6645.1500000000015</v>
      </c>
      <c r="P508" s="93"/>
      <c r="Q508" s="52">
        <f>O508+P508</f>
        <v>6645.1500000000015</v>
      </c>
    </row>
    <row r="509" spans="1:17" ht="12.75" customHeight="1">
      <c r="A509" s="16" t="s">
        <v>101</v>
      </c>
      <c r="B509" s="65"/>
      <c r="C509" s="134">
        <v>1750.35</v>
      </c>
      <c r="D509" s="99">
        <f>-310</f>
        <v>-310</v>
      </c>
      <c r="E509" s="99"/>
      <c r="F509" s="89">
        <f t="shared" si="158"/>
        <v>1440.35</v>
      </c>
      <c r="G509" s="169">
        <f>1251.29-1251.29</f>
        <v>0</v>
      </c>
      <c r="H509" s="210"/>
      <c r="I509" s="230">
        <f>F509+G509+H509</f>
        <v>1440.35</v>
      </c>
      <c r="J509" s="169">
        <f>-299.65</f>
        <v>-299.65</v>
      </c>
      <c r="K509" s="249"/>
      <c r="L509" s="248">
        <f>I509+J509+K509</f>
        <v>1140.6999999999998</v>
      </c>
      <c r="M509" s="292"/>
      <c r="N509" s="249"/>
      <c r="O509" s="248">
        <f>L509+M509+N509</f>
        <v>1140.6999999999998</v>
      </c>
      <c r="P509" s="93"/>
      <c r="Q509" s="52">
        <f>O509+P509</f>
        <v>1140.6999999999998</v>
      </c>
    </row>
    <row r="510" spans="1:17" ht="12.75">
      <c r="A510" s="16" t="s">
        <v>107</v>
      </c>
      <c r="B510" s="65">
        <v>14</v>
      </c>
      <c r="C510" s="134">
        <f>SUM(C511:C515)</f>
        <v>100000</v>
      </c>
      <c r="D510" s="99">
        <f aca="true" t="shared" si="160" ref="D510:Q510">SUM(D511:D515)</f>
        <v>89233.02</v>
      </c>
      <c r="E510" s="99">
        <f t="shared" si="160"/>
        <v>0</v>
      </c>
      <c r="F510" s="89">
        <f t="shared" si="160"/>
        <v>189233.02</v>
      </c>
      <c r="G510" s="169">
        <f t="shared" si="160"/>
        <v>24980.53</v>
      </c>
      <c r="H510" s="210">
        <f t="shared" si="160"/>
        <v>0</v>
      </c>
      <c r="I510" s="230">
        <f t="shared" si="160"/>
        <v>214213.55</v>
      </c>
      <c r="J510" s="169">
        <f t="shared" si="160"/>
        <v>3074.5</v>
      </c>
      <c r="K510" s="249">
        <f t="shared" si="160"/>
        <v>0</v>
      </c>
      <c r="L510" s="248">
        <f t="shared" si="160"/>
        <v>217288.05</v>
      </c>
      <c r="M510" s="292">
        <f t="shared" si="160"/>
        <v>1846</v>
      </c>
      <c r="N510" s="249">
        <f t="shared" si="160"/>
        <v>0</v>
      </c>
      <c r="O510" s="248">
        <f t="shared" si="160"/>
        <v>219134.05</v>
      </c>
      <c r="P510" s="109">
        <f t="shared" si="160"/>
        <v>0</v>
      </c>
      <c r="Q510" s="109">
        <f t="shared" si="160"/>
        <v>219134.05</v>
      </c>
    </row>
    <row r="511" spans="1:17" ht="12.75">
      <c r="A511" s="16" t="s">
        <v>108</v>
      </c>
      <c r="B511" s="65"/>
      <c r="C511" s="134">
        <v>64700</v>
      </c>
      <c r="D511" s="150">
        <f>45466.63-500+500</f>
        <v>45466.63</v>
      </c>
      <c r="E511" s="150"/>
      <c r="F511" s="89">
        <f t="shared" si="158"/>
        <v>110166.63</v>
      </c>
      <c r="G511" s="169">
        <f>560+56.73+2258+7350</f>
        <v>10224.73</v>
      </c>
      <c r="H511" s="210"/>
      <c r="I511" s="230">
        <f>F511+G511+H511</f>
        <v>120391.36</v>
      </c>
      <c r="J511" s="169">
        <f>3420</f>
        <v>3420</v>
      </c>
      <c r="K511" s="249"/>
      <c r="L511" s="248">
        <f>I511+J511+K511</f>
        <v>123811.36</v>
      </c>
      <c r="M511" s="292">
        <f>1665+103+500+800+110</f>
        <v>3178</v>
      </c>
      <c r="N511" s="249"/>
      <c r="O511" s="248">
        <f>L511+M511+N511</f>
        <v>126989.36</v>
      </c>
      <c r="P511" s="93"/>
      <c r="Q511" s="52">
        <f aca="true" t="shared" si="161" ref="Q511:Q558">O511+P511</f>
        <v>126989.36</v>
      </c>
    </row>
    <row r="512" spans="1:17" ht="12.75">
      <c r="A512" s="16" t="s">
        <v>109</v>
      </c>
      <c r="B512" s="65"/>
      <c r="C512" s="134">
        <v>15300</v>
      </c>
      <c r="D512" s="99">
        <f>7126.46</f>
        <v>7126.46</v>
      </c>
      <c r="E512" s="99"/>
      <c r="F512" s="89">
        <f t="shared" si="158"/>
        <v>22426.46</v>
      </c>
      <c r="G512" s="169">
        <f>-60+40.8-2000+1150</f>
        <v>-869.2</v>
      </c>
      <c r="H512" s="210"/>
      <c r="I512" s="230">
        <f>F512+G512+H512</f>
        <v>21557.26</v>
      </c>
      <c r="J512" s="169">
        <f>1580</f>
        <v>1580</v>
      </c>
      <c r="K512" s="249"/>
      <c r="L512" s="248">
        <f>I512+J512+K512</f>
        <v>23137.26</v>
      </c>
      <c r="M512" s="292">
        <f>605-376-500+436+500</f>
        <v>665</v>
      </c>
      <c r="N512" s="249"/>
      <c r="O512" s="248">
        <f>L512+M512+N512</f>
        <v>23802.26</v>
      </c>
      <c r="P512" s="93"/>
      <c r="Q512" s="52">
        <f t="shared" si="161"/>
        <v>23802.26</v>
      </c>
    </row>
    <row r="513" spans="1:17" ht="13.5" customHeight="1">
      <c r="A513" s="16" t="s">
        <v>110</v>
      </c>
      <c r="B513" s="65"/>
      <c r="C513" s="134">
        <v>11000</v>
      </c>
      <c r="D513" s="99">
        <f>30396.63+500+4500</f>
        <v>35396.630000000005</v>
      </c>
      <c r="E513" s="99"/>
      <c r="F513" s="89">
        <f t="shared" si="158"/>
        <v>46396.630000000005</v>
      </c>
      <c r="G513" s="169">
        <f>-500+3-873.75+16500-120</f>
        <v>15009.25</v>
      </c>
      <c r="H513" s="210"/>
      <c r="I513" s="230">
        <f>F513+G513+H513</f>
        <v>61405.880000000005</v>
      </c>
      <c r="J513" s="169">
        <f>3500-500</f>
        <v>3000</v>
      </c>
      <c r="K513" s="249"/>
      <c r="L513" s="248">
        <f>I513+J513+K513</f>
        <v>64405.880000000005</v>
      </c>
      <c r="M513" s="292">
        <f>-2820-177</f>
        <v>-2997</v>
      </c>
      <c r="N513" s="249"/>
      <c r="O513" s="248">
        <f>L513+M513+N513</f>
        <v>61408.880000000005</v>
      </c>
      <c r="P513" s="93"/>
      <c r="Q513" s="52">
        <f t="shared" si="161"/>
        <v>61408.880000000005</v>
      </c>
    </row>
    <row r="514" spans="1:17" ht="13.5" customHeight="1">
      <c r="A514" s="17" t="s">
        <v>130</v>
      </c>
      <c r="B514" s="65"/>
      <c r="C514" s="134">
        <v>9000</v>
      </c>
      <c r="D514" s="99">
        <f>1179.05</f>
        <v>1179.05</v>
      </c>
      <c r="E514" s="99"/>
      <c r="F514" s="89">
        <f t="shared" si="158"/>
        <v>10179.05</v>
      </c>
      <c r="G514" s="169">
        <f>680</f>
        <v>680</v>
      </c>
      <c r="H514" s="210"/>
      <c r="I514" s="230">
        <f>F514+G514+H514</f>
        <v>10859.05</v>
      </c>
      <c r="J514" s="169">
        <f>-5000+74.5</f>
        <v>-4925.5</v>
      </c>
      <c r="K514" s="249"/>
      <c r="L514" s="248">
        <f>I514+J514+K514</f>
        <v>5933.549999999999</v>
      </c>
      <c r="M514" s="292">
        <f>550+450</f>
        <v>1000</v>
      </c>
      <c r="N514" s="249"/>
      <c r="O514" s="248">
        <f>L514+M514+N514</f>
        <v>6933.549999999999</v>
      </c>
      <c r="P514" s="93"/>
      <c r="Q514" s="52">
        <f t="shared" si="161"/>
        <v>6933.549999999999</v>
      </c>
    </row>
    <row r="515" spans="1:17" ht="12.75" hidden="1">
      <c r="A515" s="16" t="s">
        <v>111</v>
      </c>
      <c r="B515" s="65"/>
      <c r="C515" s="134">
        <v>0</v>
      </c>
      <c r="D515" s="99">
        <f>64.25</f>
        <v>64.25</v>
      </c>
      <c r="E515" s="99"/>
      <c r="F515" s="89">
        <f t="shared" si="158"/>
        <v>64.25</v>
      </c>
      <c r="G515" s="169">
        <f>-64.25</f>
        <v>-64.25</v>
      </c>
      <c r="H515" s="210"/>
      <c r="I515" s="230">
        <f>F515+G515+H515</f>
        <v>0</v>
      </c>
      <c r="J515" s="169"/>
      <c r="K515" s="249"/>
      <c r="L515" s="248">
        <f>I515+J515+K515</f>
        <v>0</v>
      </c>
      <c r="M515" s="292"/>
      <c r="N515" s="249"/>
      <c r="O515" s="248">
        <f>L515+M515+N515</f>
        <v>0</v>
      </c>
      <c r="P515" s="93"/>
      <c r="Q515" s="52">
        <f t="shared" si="161"/>
        <v>0</v>
      </c>
    </row>
    <row r="516" spans="1:17" ht="12.75">
      <c r="A516" s="16" t="s">
        <v>112</v>
      </c>
      <c r="B516" s="65">
        <v>15</v>
      </c>
      <c r="C516" s="134">
        <f>SUM(C517:C523)</f>
        <v>250000</v>
      </c>
      <c r="D516" s="99">
        <f aca="true" t="shared" si="162" ref="D516:Q516">SUM(D517:D523)</f>
        <v>167727.81000000003</v>
      </c>
      <c r="E516" s="99">
        <f t="shared" si="162"/>
        <v>0</v>
      </c>
      <c r="F516" s="89">
        <f t="shared" si="162"/>
        <v>417727.81000000006</v>
      </c>
      <c r="G516" s="169">
        <f t="shared" si="162"/>
        <v>0</v>
      </c>
      <c r="H516" s="210">
        <f t="shared" si="162"/>
        <v>-25970.13</v>
      </c>
      <c r="I516" s="230">
        <f t="shared" si="162"/>
        <v>391757.68000000005</v>
      </c>
      <c r="J516" s="169">
        <f t="shared" si="162"/>
        <v>-6899.999999999999</v>
      </c>
      <c r="K516" s="249">
        <f t="shared" si="162"/>
        <v>0</v>
      </c>
      <c r="L516" s="248">
        <f t="shared" si="162"/>
        <v>384857.68</v>
      </c>
      <c r="M516" s="292">
        <f t="shared" si="162"/>
        <v>1036.9899999999998</v>
      </c>
      <c r="N516" s="249">
        <f t="shared" si="162"/>
        <v>0</v>
      </c>
      <c r="O516" s="248">
        <f t="shared" si="162"/>
        <v>385894.67</v>
      </c>
      <c r="P516" s="99">
        <f t="shared" si="162"/>
        <v>0</v>
      </c>
      <c r="Q516" s="134">
        <f t="shared" si="162"/>
        <v>385894.67</v>
      </c>
    </row>
    <row r="517" spans="1:17" ht="12.75">
      <c r="A517" s="16" t="s">
        <v>113</v>
      </c>
      <c r="B517" s="65"/>
      <c r="C517" s="134">
        <v>218384.89</v>
      </c>
      <c r="D517" s="99">
        <f>335900.53-200000</f>
        <v>135900.53000000003</v>
      </c>
      <c r="E517" s="99"/>
      <c r="F517" s="89">
        <f t="shared" si="158"/>
        <v>354285.42000000004</v>
      </c>
      <c r="G517" s="169">
        <f>1300</f>
        <v>1300</v>
      </c>
      <c r="H517" s="210">
        <f>-22820.74</f>
        <v>-22820.74</v>
      </c>
      <c r="I517" s="230">
        <f aca="true" t="shared" si="163" ref="I517:I523">F517+G517+H517</f>
        <v>332764.68000000005</v>
      </c>
      <c r="J517" s="169">
        <f>164.49-1519.14-4900</f>
        <v>-6254.65</v>
      </c>
      <c r="K517" s="249"/>
      <c r="L517" s="248">
        <f aca="true" t="shared" si="164" ref="L517:L523">I517+J517+K517</f>
        <v>326510.03</v>
      </c>
      <c r="M517" s="292">
        <f>1000+210+1000+36.99</f>
        <v>2246.99</v>
      </c>
      <c r="N517" s="249"/>
      <c r="O517" s="248">
        <f aca="true" t="shared" si="165" ref="O517:O523">L517+M517+N517</f>
        <v>328757.02</v>
      </c>
      <c r="P517" s="93"/>
      <c r="Q517" s="52">
        <f t="shared" si="161"/>
        <v>328757.02</v>
      </c>
    </row>
    <row r="518" spans="1:17" ht="12.75" hidden="1">
      <c r="A518" s="16" t="s">
        <v>114</v>
      </c>
      <c r="B518" s="65"/>
      <c r="C518" s="134"/>
      <c r="D518" s="99"/>
      <c r="E518" s="99"/>
      <c r="F518" s="89">
        <f t="shared" si="158"/>
        <v>0</v>
      </c>
      <c r="G518" s="169"/>
      <c r="H518" s="210"/>
      <c r="I518" s="230">
        <f t="shared" si="163"/>
        <v>0</v>
      </c>
      <c r="J518" s="169"/>
      <c r="K518" s="249"/>
      <c r="L518" s="248">
        <f t="shared" si="164"/>
        <v>0</v>
      </c>
      <c r="M518" s="292"/>
      <c r="N518" s="249"/>
      <c r="O518" s="248">
        <f t="shared" si="165"/>
        <v>0</v>
      </c>
      <c r="P518" s="93"/>
      <c r="Q518" s="52">
        <f t="shared" si="161"/>
        <v>0</v>
      </c>
    </row>
    <row r="519" spans="1:17" ht="12.75" hidden="1">
      <c r="A519" s="16" t="s">
        <v>115</v>
      </c>
      <c r="B519" s="65"/>
      <c r="C519" s="134"/>
      <c r="D519" s="150"/>
      <c r="E519" s="150"/>
      <c r="F519" s="89">
        <f t="shared" si="158"/>
        <v>0</v>
      </c>
      <c r="G519" s="169"/>
      <c r="H519" s="210"/>
      <c r="I519" s="230">
        <f t="shared" si="163"/>
        <v>0</v>
      </c>
      <c r="J519" s="169"/>
      <c r="K519" s="249"/>
      <c r="L519" s="248">
        <f t="shared" si="164"/>
        <v>0</v>
      </c>
      <c r="M519" s="292"/>
      <c r="N519" s="249"/>
      <c r="O519" s="248">
        <f t="shared" si="165"/>
        <v>0</v>
      </c>
      <c r="P519" s="93"/>
      <c r="Q519" s="52">
        <f t="shared" si="161"/>
        <v>0</v>
      </c>
    </row>
    <row r="520" spans="1:17" ht="12.75">
      <c r="A520" s="16" t="s">
        <v>116</v>
      </c>
      <c r="B520" s="65"/>
      <c r="C520" s="134">
        <v>28865.11</v>
      </c>
      <c r="D520" s="99">
        <f>8982.01+600</f>
        <v>9582.01</v>
      </c>
      <c r="E520" s="99"/>
      <c r="F520" s="89">
        <f t="shared" si="158"/>
        <v>38447.12</v>
      </c>
      <c r="G520" s="169"/>
      <c r="H520" s="210">
        <f>-1006</f>
        <v>-1006</v>
      </c>
      <c r="I520" s="230">
        <f t="shared" si="163"/>
        <v>37441.12</v>
      </c>
      <c r="J520" s="169">
        <f>-2000</f>
        <v>-2000</v>
      </c>
      <c r="K520" s="249"/>
      <c r="L520" s="248">
        <f t="shared" si="164"/>
        <v>35441.12</v>
      </c>
      <c r="M520" s="292"/>
      <c r="N520" s="249"/>
      <c r="O520" s="248">
        <f t="shared" si="165"/>
        <v>35441.12</v>
      </c>
      <c r="P520" s="93"/>
      <c r="Q520" s="52">
        <f t="shared" si="161"/>
        <v>35441.12</v>
      </c>
    </row>
    <row r="521" spans="1:17" ht="12.75">
      <c r="A521" s="16" t="s">
        <v>117</v>
      </c>
      <c r="B521" s="65"/>
      <c r="C521" s="134">
        <v>200</v>
      </c>
      <c r="D521" s="99">
        <f>745.74</f>
        <v>745.74</v>
      </c>
      <c r="E521" s="99"/>
      <c r="F521" s="89">
        <f t="shared" si="158"/>
        <v>945.74</v>
      </c>
      <c r="G521" s="169"/>
      <c r="H521" s="210"/>
      <c r="I521" s="230">
        <f t="shared" si="163"/>
        <v>945.74</v>
      </c>
      <c r="J521" s="175"/>
      <c r="K521" s="249"/>
      <c r="L521" s="248">
        <f t="shared" si="164"/>
        <v>945.74</v>
      </c>
      <c r="M521" s="292"/>
      <c r="N521" s="249"/>
      <c r="O521" s="248">
        <f t="shared" si="165"/>
        <v>945.74</v>
      </c>
      <c r="P521" s="93"/>
      <c r="Q521" s="52">
        <f t="shared" si="161"/>
        <v>945.74</v>
      </c>
    </row>
    <row r="522" spans="1:17" ht="12.75">
      <c r="A522" s="16" t="s">
        <v>118</v>
      </c>
      <c r="B522" s="65"/>
      <c r="C522" s="134">
        <v>0</v>
      </c>
      <c r="D522" s="99">
        <f>6940.44</f>
        <v>6940.44</v>
      </c>
      <c r="E522" s="99"/>
      <c r="F522" s="89">
        <f t="shared" si="158"/>
        <v>6940.44</v>
      </c>
      <c r="G522" s="169">
        <f>4000</f>
        <v>4000</v>
      </c>
      <c r="H522" s="210">
        <f>-500</f>
        <v>-500</v>
      </c>
      <c r="I522" s="230">
        <f t="shared" si="163"/>
        <v>10440.439999999999</v>
      </c>
      <c r="J522" s="169">
        <f>-36.39+2700</f>
        <v>2663.61</v>
      </c>
      <c r="K522" s="249"/>
      <c r="L522" s="248">
        <f t="shared" si="164"/>
        <v>13104.05</v>
      </c>
      <c r="M522" s="292">
        <f>-1000</f>
        <v>-1000</v>
      </c>
      <c r="N522" s="249"/>
      <c r="O522" s="248">
        <f t="shared" si="165"/>
        <v>12104.05</v>
      </c>
      <c r="P522" s="93"/>
      <c r="Q522" s="52">
        <f t="shared" si="161"/>
        <v>12104.05</v>
      </c>
    </row>
    <row r="523" spans="1:17" ht="12.75">
      <c r="A523" s="16" t="s">
        <v>111</v>
      </c>
      <c r="B523" s="65"/>
      <c r="C523" s="134">
        <v>2550</v>
      </c>
      <c r="D523" s="99">
        <f>14559.09</f>
        <v>14559.09</v>
      </c>
      <c r="E523" s="99"/>
      <c r="F523" s="89">
        <f t="shared" si="158"/>
        <v>17109.09</v>
      </c>
      <c r="G523" s="169">
        <f>-5300</f>
        <v>-5300</v>
      </c>
      <c r="H523" s="210">
        <f>-1643.39</f>
        <v>-1643.39</v>
      </c>
      <c r="I523" s="230">
        <f t="shared" si="163"/>
        <v>10165.7</v>
      </c>
      <c r="J523" s="169">
        <f>-128.1-1180.86</f>
        <v>-1308.9599999999998</v>
      </c>
      <c r="K523" s="249"/>
      <c r="L523" s="248">
        <f t="shared" si="164"/>
        <v>8856.740000000002</v>
      </c>
      <c r="M523" s="292">
        <f>-210</f>
        <v>-210</v>
      </c>
      <c r="N523" s="249"/>
      <c r="O523" s="248">
        <f t="shared" si="165"/>
        <v>8646.740000000002</v>
      </c>
      <c r="P523" s="93"/>
      <c r="Q523" s="52">
        <f t="shared" si="161"/>
        <v>8646.740000000002</v>
      </c>
    </row>
    <row r="524" spans="1:17" ht="12.75">
      <c r="A524" s="16" t="s">
        <v>119</v>
      </c>
      <c r="B524" s="65">
        <v>16</v>
      </c>
      <c r="C524" s="134">
        <f>SUM(C525:C529)</f>
        <v>5000</v>
      </c>
      <c r="D524" s="99">
        <f aca="true" t="shared" si="166" ref="D524:Q524">SUM(D525:D529)</f>
        <v>36342.310000000005</v>
      </c>
      <c r="E524" s="99">
        <f t="shared" si="166"/>
        <v>0</v>
      </c>
      <c r="F524" s="89">
        <f t="shared" si="166"/>
        <v>41342.310000000005</v>
      </c>
      <c r="G524" s="169">
        <f t="shared" si="166"/>
        <v>0</v>
      </c>
      <c r="H524" s="210">
        <f t="shared" si="166"/>
        <v>-10000</v>
      </c>
      <c r="I524" s="230">
        <f t="shared" si="166"/>
        <v>31342.310000000005</v>
      </c>
      <c r="J524" s="169">
        <f t="shared" si="166"/>
        <v>6350</v>
      </c>
      <c r="K524" s="249">
        <f t="shared" si="166"/>
        <v>0</v>
      </c>
      <c r="L524" s="248">
        <f t="shared" si="166"/>
        <v>37692.310000000005</v>
      </c>
      <c r="M524" s="292">
        <f t="shared" si="166"/>
        <v>0</v>
      </c>
      <c r="N524" s="249">
        <f t="shared" si="166"/>
        <v>0</v>
      </c>
      <c r="O524" s="248">
        <f t="shared" si="166"/>
        <v>37692.310000000005</v>
      </c>
      <c r="P524" s="99">
        <f t="shared" si="166"/>
        <v>0</v>
      </c>
      <c r="Q524" s="134">
        <f t="shared" si="166"/>
        <v>37692.310000000005</v>
      </c>
    </row>
    <row r="525" spans="1:17" ht="12.75">
      <c r="A525" s="16" t="s">
        <v>108</v>
      </c>
      <c r="B525" s="65"/>
      <c r="C525" s="134">
        <v>3201</v>
      </c>
      <c r="D525" s="99">
        <f>1700</f>
        <v>1700</v>
      </c>
      <c r="E525" s="99"/>
      <c r="F525" s="89">
        <f t="shared" si="158"/>
        <v>4901</v>
      </c>
      <c r="G525" s="169"/>
      <c r="H525" s="210"/>
      <c r="I525" s="230">
        <f>F525+G525+H525</f>
        <v>4901</v>
      </c>
      <c r="J525" s="169">
        <f>103</f>
        <v>103</v>
      </c>
      <c r="K525" s="249"/>
      <c r="L525" s="248">
        <f>I525+J525+K525</f>
        <v>5004</v>
      </c>
      <c r="M525" s="292">
        <f>665</f>
        <v>665</v>
      </c>
      <c r="N525" s="249"/>
      <c r="O525" s="248">
        <f>L525+M525+N525</f>
        <v>5669</v>
      </c>
      <c r="P525" s="93"/>
      <c r="Q525" s="52">
        <f t="shared" si="161"/>
        <v>5669</v>
      </c>
    </row>
    <row r="526" spans="1:17" ht="12.75">
      <c r="A526" s="16" t="s">
        <v>109</v>
      </c>
      <c r="B526" s="65"/>
      <c r="C526" s="134">
        <v>99</v>
      </c>
      <c r="D526" s="99"/>
      <c r="E526" s="99"/>
      <c r="F526" s="89">
        <f t="shared" si="158"/>
        <v>99</v>
      </c>
      <c r="G526" s="169"/>
      <c r="H526" s="210"/>
      <c r="I526" s="230">
        <f>F526+G526+H526</f>
        <v>99</v>
      </c>
      <c r="J526" s="169">
        <f>197</f>
        <v>197</v>
      </c>
      <c r="K526" s="249"/>
      <c r="L526" s="248">
        <f>I526+J526+K526</f>
        <v>296</v>
      </c>
      <c r="M526" s="292">
        <f>1080</f>
        <v>1080</v>
      </c>
      <c r="N526" s="249"/>
      <c r="O526" s="248">
        <f>L526+M526+N526</f>
        <v>1376</v>
      </c>
      <c r="P526" s="93"/>
      <c r="Q526" s="52">
        <f t="shared" si="161"/>
        <v>1376</v>
      </c>
    </row>
    <row r="527" spans="1:17" ht="12.75">
      <c r="A527" s="16" t="s">
        <v>110</v>
      </c>
      <c r="B527" s="65"/>
      <c r="C527" s="134">
        <v>1500</v>
      </c>
      <c r="D527" s="99">
        <f>34515.41</f>
        <v>34515.41</v>
      </c>
      <c r="E527" s="99"/>
      <c r="F527" s="89">
        <f t="shared" si="158"/>
        <v>36015.41</v>
      </c>
      <c r="G527" s="169"/>
      <c r="H527" s="210">
        <f>-10000</f>
        <v>-10000</v>
      </c>
      <c r="I527" s="230">
        <f>F527+G527+H527</f>
        <v>26015.410000000003</v>
      </c>
      <c r="J527" s="169">
        <f>350-1745+6000</f>
        <v>4605</v>
      </c>
      <c r="K527" s="249"/>
      <c r="L527" s="248">
        <f>I527+J527+K527</f>
        <v>30620.410000000003</v>
      </c>
      <c r="M527" s="292"/>
      <c r="N527" s="249"/>
      <c r="O527" s="248">
        <f>L527+M527+N527</f>
        <v>30620.410000000003</v>
      </c>
      <c r="P527" s="93"/>
      <c r="Q527" s="52">
        <f t="shared" si="161"/>
        <v>30620.410000000003</v>
      </c>
    </row>
    <row r="528" spans="1:17" ht="12.75">
      <c r="A528" s="16" t="s">
        <v>118</v>
      </c>
      <c r="B528" s="65"/>
      <c r="C528" s="134">
        <v>0</v>
      </c>
      <c r="D528" s="99"/>
      <c r="E528" s="99"/>
      <c r="F528" s="89"/>
      <c r="G528" s="169"/>
      <c r="H528" s="210"/>
      <c r="I528" s="230">
        <f>F528+G528+H528</f>
        <v>0</v>
      </c>
      <c r="J528" s="169">
        <f>1745</f>
        <v>1745</v>
      </c>
      <c r="K528" s="249"/>
      <c r="L528" s="248">
        <f>I528+J528+K528</f>
        <v>1745</v>
      </c>
      <c r="M528" s="292">
        <f>-1745</f>
        <v>-1745</v>
      </c>
      <c r="N528" s="249"/>
      <c r="O528" s="248">
        <f>L528+M528+N528</f>
        <v>0</v>
      </c>
      <c r="P528" s="93"/>
      <c r="Q528" s="52"/>
    </row>
    <row r="529" spans="1:17" ht="12.75">
      <c r="A529" s="16" t="s">
        <v>111</v>
      </c>
      <c r="B529" s="65"/>
      <c r="C529" s="134">
        <v>200</v>
      </c>
      <c r="D529" s="99">
        <f>126.9</f>
        <v>126.9</v>
      </c>
      <c r="E529" s="99"/>
      <c r="F529" s="89">
        <f t="shared" si="158"/>
        <v>326.9</v>
      </c>
      <c r="G529" s="169"/>
      <c r="H529" s="210"/>
      <c r="I529" s="230">
        <f>F529+G529+H529</f>
        <v>326.9</v>
      </c>
      <c r="J529" s="169">
        <f>-300</f>
        <v>-300</v>
      </c>
      <c r="K529" s="249"/>
      <c r="L529" s="248">
        <f>I529+J529+K529</f>
        <v>26.899999999999977</v>
      </c>
      <c r="M529" s="292"/>
      <c r="N529" s="249"/>
      <c r="O529" s="248">
        <f>L529+M529+N529</f>
        <v>26.899999999999977</v>
      </c>
      <c r="P529" s="93"/>
      <c r="Q529" s="52">
        <f t="shared" si="161"/>
        <v>26.899999999999977</v>
      </c>
    </row>
    <row r="530" spans="1:17" ht="12.75">
      <c r="A530" s="16" t="s">
        <v>99</v>
      </c>
      <c r="B530" s="65">
        <v>18</v>
      </c>
      <c r="C530" s="134">
        <f>C531+C532</f>
        <v>1650</v>
      </c>
      <c r="D530" s="99">
        <f>D531+D532</f>
        <v>172.18</v>
      </c>
      <c r="E530" s="99">
        <f>E531+E532</f>
        <v>0</v>
      </c>
      <c r="F530" s="89">
        <f>F531+F532</f>
        <v>1822.18</v>
      </c>
      <c r="G530" s="169">
        <f aca="true" t="shared" si="167" ref="G530:Q530">G531+G532</f>
        <v>0</v>
      </c>
      <c r="H530" s="210">
        <f t="shared" si="167"/>
        <v>0</v>
      </c>
      <c r="I530" s="230">
        <f t="shared" si="167"/>
        <v>1822.18</v>
      </c>
      <c r="J530" s="169">
        <f t="shared" si="167"/>
        <v>0</v>
      </c>
      <c r="K530" s="249">
        <f t="shared" si="167"/>
        <v>0</v>
      </c>
      <c r="L530" s="248">
        <f t="shared" si="167"/>
        <v>1822.18</v>
      </c>
      <c r="M530" s="292">
        <f t="shared" si="167"/>
        <v>0</v>
      </c>
      <c r="N530" s="249">
        <f t="shared" si="167"/>
        <v>0</v>
      </c>
      <c r="O530" s="248">
        <f t="shared" si="167"/>
        <v>1822.18</v>
      </c>
      <c r="P530" s="109">
        <f t="shared" si="167"/>
        <v>0</v>
      </c>
      <c r="Q530" s="109">
        <f t="shared" si="167"/>
        <v>0</v>
      </c>
    </row>
    <row r="531" spans="1:17" ht="12.75">
      <c r="A531" s="16" t="s">
        <v>100</v>
      </c>
      <c r="B531" s="65"/>
      <c r="C531" s="134">
        <v>1650</v>
      </c>
      <c r="D531" s="99">
        <f>172.18</f>
        <v>172.18</v>
      </c>
      <c r="E531" s="99"/>
      <c r="F531" s="89">
        <f>C531+D531+E531</f>
        <v>1822.18</v>
      </c>
      <c r="G531" s="169"/>
      <c r="H531" s="210"/>
      <c r="I531" s="230">
        <f>F531+G531+H531</f>
        <v>1822.18</v>
      </c>
      <c r="J531" s="169"/>
      <c r="K531" s="249"/>
      <c r="L531" s="248">
        <f>I531+J531+K531</f>
        <v>1822.18</v>
      </c>
      <c r="M531" s="292"/>
      <c r="N531" s="249"/>
      <c r="O531" s="248">
        <f>L531+M531+N531</f>
        <v>1822.18</v>
      </c>
      <c r="P531" s="93"/>
      <c r="Q531" s="52"/>
    </row>
    <row r="532" spans="1:17" ht="12.75" hidden="1">
      <c r="A532" s="16" t="s">
        <v>101</v>
      </c>
      <c r="B532" s="65"/>
      <c r="C532" s="134">
        <v>0</v>
      </c>
      <c r="D532" s="99"/>
      <c r="E532" s="99"/>
      <c r="F532" s="89">
        <f>C532+D532+E532</f>
        <v>0</v>
      </c>
      <c r="G532" s="169"/>
      <c r="H532" s="210"/>
      <c r="I532" s="230">
        <f>F532+G532+H532</f>
        <v>0</v>
      </c>
      <c r="J532" s="169"/>
      <c r="K532" s="249"/>
      <c r="L532" s="248">
        <f>I532+J532+K532</f>
        <v>0</v>
      </c>
      <c r="M532" s="292"/>
      <c r="N532" s="249"/>
      <c r="O532" s="248"/>
      <c r="P532" s="93"/>
      <c r="Q532" s="52"/>
    </row>
    <row r="533" spans="1:17" ht="12.75">
      <c r="A533" s="66" t="s">
        <v>251</v>
      </c>
      <c r="B533" s="65">
        <v>19</v>
      </c>
      <c r="C533" s="134">
        <f>C534+C535</f>
        <v>5000</v>
      </c>
      <c r="D533" s="99">
        <f>D534+D535</f>
        <v>33902.079999999994</v>
      </c>
      <c r="E533" s="99">
        <f>E534+E535</f>
        <v>0</v>
      </c>
      <c r="F533" s="89">
        <f>F534+F535</f>
        <v>38902.079999999994</v>
      </c>
      <c r="G533" s="169">
        <f aca="true" t="shared" si="168" ref="G533:Q533">G534+G535</f>
        <v>0</v>
      </c>
      <c r="H533" s="210">
        <f t="shared" si="168"/>
        <v>-8000</v>
      </c>
      <c r="I533" s="230">
        <f t="shared" si="168"/>
        <v>30902.079999999998</v>
      </c>
      <c r="J533" s="169">
        <f t="shared" si="168"/>
        <v>0</v>
      </c>
      <c r="K533" s="249">
        <f t="shared" si="168"/>
        <v>0</v>
      </c>
      <c r="L533" s="248">
        <f t="shared" si="168"/>
        <v>30902.079999999998</v>
      </c>
      <c r="M533" s="292">
        <f t="shared" si="168"/>
        <v>0</v>
      </c>
      <c r="N533" s="249">
        <f t="shared" si="168"/>
        <v>0</v>
      </c>
      <c r="O533" s="248">
        <f t="shared" si="168"/>
        <v>30902.079999999998</v>
      </c>
      <c r="P533" s="109">
        <f t="shared" si="168"/>
        <v>0</v>
      </c>
      <c r="Q533" s="109">
        <f t="shared" si="168"/>
        <v>0</v>
      </c>
    </row>
    <row r="534" spans="1:17" ht="12.75">
      <c r="A534" s="16" t="s">
        <v>100</v>
      </c>
      <c r="B534" s="65"/>
      <c r="C534" s="134">
        <v>5000</v>
      </c>
      <c r="D534" s="99">
        <f>33312.31</f>
        <v>33312.31</v>
      </c>
      <c r="E534" s="99"/>
      <c r="F534" s="89">
        <f>C534+D534+E534</f>
        <v>38312.31</v>
      </c>
      <c r="G534" s="169"/>
      <c r="H534" s="210">
        <f>-8000</f>
        <v>-8000</v>
      </c>
      <c r="I534" s="230">
        <f>F534+G534+H534</f>
        <v>30312.309999999998</v>
      </c>
      <c r="J534" s="169"/>
      <c r="K534" s="249"/>
      <c r="L534" s="248">
        <f>I534+J534+K534</f>
        <v>30312.309999999998</v>
      </c>
      <c r="M534" s="292"/>
      <c r="N534" s="249"/>
      <c r="O534" s="248">
        <f>L534+M534+N534</f>
        <v>30312.309999999998</v>
      </c>
      <c r="P534" s="93"/>
      <c r="Q534" s="52"/>
    </row>
    <row r="535" spans="1:17" ht="12.75">
      <c r="A535" s="16" t="s">
        <v>101</v>
      </c>
      <c r="B535" s="65"/>
      <c r="C535" s="134"/>
      <c r="D535" s="99">
        <f>589.77</f>
        <v>589.77</v>
      </c>
      <c r="E535" s="99"/>
      <c r="F535" s="89">
        <f>C535+D535+E535</f>
        <v>589.77</v>
      </c>
      <c r="G535" s="169"/>
      <c r="H535" s="210"/>
      <c r="I535" s="230">
        <f>F535+G535+H535</f>
        <v>589.77</v>
      </c>
      <c r="J535" s="169"/>
      <c r="K535" s="249"/>
      <c r="L535" s="248">
        <f>I535+J535+K535</f>
        <v>589.77</v>
      </c>
      <c r="M535" s="292"/>
      <c r="N535" s="249"/>
      <c r="O535" s="248">
        <f>L535+M535+N535</f>
        <v>589.77</v>
      </c>
      <c r="P535" s="93"/>
      <c r="Q535" s="52"/>
    </row>
    <row r="536" spans="1:17" ht="12.75">
      <c r="A536" s="16" t="s">
        <v>120</v>
      </c>
      <c r="B536" s="65">
        <v>28</v>
      </c>
      <c r="C536" s="134">
        <f>SUM(C537:C541)</f>
        <v>108500</v>
      </c>
      <c r="D536" s="99">
        <f aca="true" t="shared" si="169" ref="D536:Q536">SUM(D537:D541)</f>
        <v>66957.02</v>
      </c>
      <c r="E536" s="99">
        <f t="shared" si="169"/>
        <v>0</v>
      </c>
      <c r="F536" s="89">
        <f t="shared" si="169"/>
        <v>175457.02</v>
      </c>
      <c r="G536" s="169">
        <f t="shared" si="169"/>
        <v>0</v>
      </c>
      <c r="H536" s="210">
        <f t="shared" si="169"/>
        <v>-25000</v>
      </c>
      <c r="I536" s="230">
        <f t="shared" si="169"/>
        <v>150457.02</v>
      </c>
      <c r="J536" s="169">
        <f t="shared" si="169"/>
        <v>-84547.2</v>
      </c>
      <c r="K536" s="249">
        <f t="shared" si="169"/>
        <v>-5000</v>
      </c>
      <c r="L536" s="248">
        <f t="shared" si="169"/>
        <v>60909.81999999999</v>
      </c>
      <c r="M536" s="292">
        <f t="shared" si="169"/>
        <v>0</v>
      </c>
      <c r="N536" s="249">
        <f t="shared" si="169"/>
        <v>0</v>
      </c>
      <c r="O536" s="248">
        <f t="shared" si="169"/>
        <v>60909.81999999999</v>
      </c>
      <c r="P536" s="99">
        <f t="shared" si="169"/>
        <v>0</v>
      </c>
      <c r="Q536" s="134">
        <f t="shared" si="169"/>
        <v>60909.81999999999</v>
      </c>
    </row>
    <row r="537" spans="1:17" ht="12.75">
      <c r="A537" s="16" t="s">
        <v>108</v>
      </c>
      <c r="B537" s="65"/>
      <c r="C537" s="134">
        <v>2300</v>
      </c>
      <c r="D537" s="99">
        <f>4708.41-136</f>
        <v>4572.41</v>
      </c>
      <c r="E537" s="99"/>
      <c r="F537" s="89">
        <f t="shared" si="158"/>
        <v>6872.41</v>
      </c>
      <c r="G537" s="169">
        <f>3500</f>
        <v>3500</v>
      </c>
      <c r="H537" s="210"/>
      <c r="I537" s="230">
        <f>F537+G537+H537</f>
        <v>10372.41</v>
      </c>
      <c r="J537" s="169">
        <f>246</f>
        <v>246</v>
      </c>
      <c r="K537" s="249"/>
      <c r="L537" s="248">
        <f>I537+J537+K537</f>
        <v>10618.41</v>
      </c>
      <c r="M537" s="292"/>
      <c r="N537" s="249"/>
      <c r="O537" s="248">
        <f>L537+M537+N537</f>
        <v>10618.41</v>
      </c>
      <c r="P537" s="93"/>
      <c r="Q537" s="52">
        <f t="shared" si="161"/>
        <v>10618.41</v>
      </c>
    </row>
    <row r="538" spans="1:17" ht="12.75">
      <c r="A538" s="16" t="s">
        <v>109</v>
      </c>
      <c r="B538" s="65"/>
      <c r="C538" s="134">
        <v>0</v>
      </c>
      <c r="D538" s="99">
        <f>136</f>
        <v>136</v>
      </c>
      <c r="E538" s="99"/>
      <c r="F538" s="89">
        <f t="shared" si="158"/>
        <v>136</v>
      </c>
      <c r="G538" s="169"/>
      <c r="H538" s="210"/>
      <c r="I538" s="230">
        <f>F538+G538+H538</f>
        <v>136</v>
      </c>
      <c r="J538" s="169"/>
      <c r="K538" s="249"/>
      <c r="L538" s="248">
        <f>I538+J538+K538</f>
        <v>136</v>
      </c>
      <c r="M538" s="292"/>
      <c r="N538" s="249"/>
      <c r="O538" s="248">
        <f>L538+M538+N538</f>
        <v>136</v>
      </c>
      <c r="P538" s="93"/>
      <c r="Q538" s="52">
        <f t="shared" si="161"/>
        <v>136</v>
      </c>
    </row>
    <row r="539" spans="1:17" ht="12.75">
      <c r="A539" s="16" t="s">
        <v>121</v>
      </c>
      <c r="B539" s="65"/>
      <c r="C539" s="134">
        <v>106200</v>
      </c>
      <c r="D539" s="99">
        <f>58216.48+4032.13</f>
        <v>62248.61</v>
      </c>
      <c r="E539" s="99"/>
      <c r="F539" s="89">
        <f t="shared" si="158"/>
        <v>168448.61</v>
      </c>
      <c r="G539" s="169">
        <f>-3500</f>
        <v>-3500</v>
      </c>
      <c r="H539" s="210">
        <f>-25000</f>
        <v>-25000</v>
      </c>
      <c r="I539" s="230">
        <f>F539+G539+H539</f>
        <v>139948.61</v>
      </c>
      <c r="J539" s="169">
        <f>-89793.2</f>
        <v>-89793.2</v>
      </c>
      <c r="K539" s="249"/>
      <c r="L539" s="248">
        <f>I539+J539+K539</f>
        <v>50155.40999999999</v>
      </c>
      <c r="M539" s="292"/>
      <c r="N539" s="249"/>
      <c r="O539" s="248">
        <f>L539+M539+N539</f>
        <v>50155.40999999999</v>
      </c>
      <c r="P539" s="93"/>
      <c r="Q539" s="52">
        <f t="shared" si="161"/>
        <v>50155.40999999999</v>
      </c>
    </row>
    <row r="540" spans="1:17" ht="12.75" hidden="1">
      <c r="A540" s="16" t="s">
        <v>118</v>
      </c>
      <c r="B540" s="65"/>
      <c r="C540" s="134"/>
      <c r="D540" s="99"/>
      <c r="E540" s="99"/>
      <c r="F540" s="89">
        <f t="shared" si="158"/>
        <v>0</v>
      </c>
      <c r="G540" s="169"/>
      <c r="H540" s="210"/>
      <c r="I540" s="230">
        <f>F540+G540+H540</f>
        <v>0</v>
      </c>
      <c r="J540" s="169"/>
      <c r="K540" s="249"/>
      <c r="L540" s="248">
        <f>I540+J540+K540</f>
        <v>0</v>
      </c>
      <c r="M540" s="292"/>
      <c r="N540" s="249"/>
      <c r="O540" s="248">
        <f>L540+M540+N540</f>
        <v>0</v>
      </c>
      <c r="P540" s="93"/>
      <c r="Q540" s="52">
        <f t="shared" si="161"/>
        <v>0</v>
      </c>
    </row>
    <row r="541" spans="1:17" ht="12.75" hidden="1">
      <c r="A541" s="16" t="s">
        <v>111</v>
      </c>
      <c r="B541" s="65"/>
      <c r="C541" s="134">
        <v>0</v>
      </c>
      <c r="D541" s="150">
        <f>4032.13-4032.13</f>
        <v>0</v>
      </c>
      <c r="E541" s="99"/>
      <c r="F541" s="89">
        <f t="shared" si="158"/>
        <v>0</v>
      </c>
      <c r="G541" s="169"/>
      <c r="H541" s="210"/>
      <c r="I541" s="230">
        <f>F541+G541+H541</f>
        <v>0</v>
      </c>
      <c r="J541" s="169">
        <f>5000</f>
        <v>5000</v>
      </c>
      <c r="K541" s="249">
        <f>-3375.36-1624.64</f>
        <v>-5000</v>
      </c>
      <c r="L541" s="248">
        <f>I541+J541+K541</f>
        <v>0</v>
      </c>
      <c r="M541" s="292"/>
      <c r="N541" s="249"/>
      <c r="O541" s="248">
        <f>L541+M541+N541</f>
        <v>0</v>
      </c>
      <c r="P541" s="93"/>
      <c r="Q541" s="52">
        <f t="shared" si="161"/>
        <v>0</v>
      </c>
    </row>
    <row r="542" spans="1:17" ht="12.75">
      <c r="A542" s="17" t="s">
        <v>122</v>
      </c>
      <c r="B542" s="65"/>
      <c r="C542" s="134">
        <f>C543+C544</f>
        <v>2</v>
      </c>
      <c r="D542" s="99">
        <f aca="true" t="shared" si="170" ref="D542:Q542">D543+D544</f>
        <v>6408.09</v>
      </c>
      <c r="E542" s="99">
        <f t="shared" si="170"/>
        <v>0</v>
      </c>
      <c r="F542" s="89">
        <f t="shared" si="170"/>
        <v>6410.09</v>
      </c>
      <c r="G542" s="169">
        <f t="shared" si="170"/>
        <v>0</v>
      </c>
      <c r="H542" s="210">
        <f t="shared" si="170"/>
        <v>0</v>
      </c>
      <c r="I542" s="230">
        <f t="shared" si="170"/>
        <v>6410.09</v>
      </c>
      <c r="J542" s="169">
        <f t="shared" si="170"/>
        <v>-246</v>
      </c>
      <c r="K542" s="249">
        <f t="shared" si="170"/>
        <v>0</v>
      </c>
      <c r="L542" s="248">
        <f t="shared" si="170"/>
        <v>6164.09</v>
      </c>
      <c r="M542" s="292">
        <f t="shared" si="170"/>
        <v>0</v>
      </c>
      <c r="N542" s="249">
        <f t="shared" si="170"/>
        <v>0</v>
      </c>
      <c r="O542" s="248">
        <f t="shared" si="170"/>
        <v>6164.09</v>
      </c>
      <c r="P542" s="89">
        <f t="shared" si="170"/>
        <v>0</v>
      </c>
      <c r="Q542" s="134">
        <f t="shared" si="170"/>
        <v>0</v>
      </c>
    </row>
    <row r="543" spans="1:17" ht="12.75">
      <c r="A543" s="17" t="s">
        <v>233</v>
      </c>
      <c r="B543" s="65"/>
      <c r="C543" s="134"/>
      <c r="D543" s="99">
        <f>133.71+1256.65+9.73</f>
        <v>1400.0900000000001</v>
      </c>
      <c r="E543" s="99"/>
      <c r="F543" s="89">
        <f t="shared" si="158"/>
        <v>1400.0900000000001</v>
      </c>
      <c r="G543" s="169"/>
      <c r="H543" s="210"/>
      <c r="I543" s="230">
        <f>F543+G543+H543</f>
        <v>1400.0900000000001</v>
      </c>
      <c r="J543" s="169">
        <f>-10-246</f>
        <v>-256</v>
      </c>
      <c r="K543" s="249"/>
      <c r="L543" s="248">
        <f>I543+J543+K543</f>
        <v>1144.0900000000001</v>
      </c>
      <c r="M543" s="292"/>
      <c r="N543" s="249"/>
      <c r="O543" s="248">
        <f>L543+M543+N543</f>
        <v>1144.0900000000001</v>
      </c>
      <c r="P543" s="93"/>
      <c r="Q543" s="52"/>
    </row>
    <row r="544" spans="1:17" ht="12.75">
      <c r="A544" s="20" t="s">
        <v>276</v>
      </c>
      <c r="B544" s="68"/>
      <c r="C544" s="195">
        <v>2</v>
      </c>
      <c r="D544" s="148">
        <f>5000+8</f>
        <v>5008</v>
      </c>
      <c r="E544" s="148"/>
      <c r="F544" s="159">
        <f t="shared" si="158"/>
        <v>5010</v>
      </c>
      <c r="G544" s="174"/>
      <c r="H544" s="216"/>
      <c r="I544" s="235">
        <f>F544+G544+H544</f>
        <v>5010</v>
      </c>
      <c r="J544" s="174">
        <f>10</f>
        <v>10</v>
      </c>
      <c r="K544" s="258"/>
      <c r="L544" s="259">
        <f>I544+J544+K544</f>
        <v>5020</v>
      </c>
      <c r="M544" s="302"/>
      <c r="N544" s="258"/>
      <c r="O544" s="259">
        <f>L544+M544+N544</f>
        <v>5020</v>
      </c>
      <c r="P544" s="93"/>
      <c r="Q544" s="52"/>
    </row>
    <row r="545" spans="1:17" ht="13.5" thickBot="1">
      <c r="A545" s="30" t="s">
        <v>123</v>
      </c>
      <c r="B545" s="69"/>
      <c r="C545" s="136">
        <v>8581.04</v>
      </c>
      <c r="D545" s="99"/>
      <c r="E545" s="100"/>
      <c r="F545" s="87">
        <f t="shared" si="158"/>
        <v>8581.04</v>
      </c>
      <c r="G545" s="173"/>
      <c r="H545" s="212">
        <v>3552.19</v>
      </c>
      <c r="I545" s="231">
        <f>SUM(F545:H545)</f>
        <v>12133.230000000001</v>
      </c>
      <c r="J545" s="173"/>
      <c r="K545" s="251"/>
      <c r="L545" s="158">
        <f>SUM(I545:K545)</f>
        <v>12133.230000000001</v>
      </c>
      <c r="M545" s="312"/>
      <c r="N545" s="251"/>
      <c r="O545" s="158">
        <f>SUM(L545:N545)</f>
        <v>12133.230000000001</v>
      </c>
      <c r="P545" s="297"/>
      <c r="Q545" s="12">
        <f>O545+P545</f>
        <v>12133.230000000001</v>
      </c>
    </row>
    <row r="546" spans="1:17" ht="14.25" thickBot="1">
      <c r="A546" s="31" t="s">
        <v>124</v>
      </c>
      <c r="B546" s="72"/>
      <c r="C546" s="140">
        <f>+C83+C103+C114+C132+C144+C175+C227+C255+C287+C310+C392+C428+C453+C460+C492+C496+C545+C467+C334+C280</f>
        <v>5413094.04</v>
      </c>
      <c r="D546" s="152">
        <f>+D83+D103+D114+D132+D144+D175+D227+D255+D287+D310+D392+D428+D453+D460+D492+D496+D545+D467+D334+D280</f>
        <v>12808395.800000003</v>
      </c>
      <c r="E546" s="92">
        <f>+E83+E103+E114+E132+E144+E175+E227+E255+E287+E310+E392+E428+E453+E460+E492+E496+E545+E467+E334</f>
        <v>1900</v>
      </c>
      <c r="F546" s="91">
        <f aca="true" t="shared" si="171" ref="F546:Q546">+F83+F103+F114+F132+F144+F175+F227+F255+F287+F310+F392+F428+F453+F460+F492+F496+F545+F467+F334+F280</f>
        <v>18223389.84</v>
      </c>
      <c r="G546" s="176">
        <f t="shared" si="171"/>
        <v>394935.7099999999</v>
      </c>
      <c r="H546" s="219">
        <f t="shared" si="171"/>
        <v>113458.76</v>
      </c>
      <c r="I546" s="238">
        <f t="shared" si="171"/>
        <v>18731784.310000002</v>
      </c>
      <c r="J546" s="176">
        <f t="shared" si="171"/>
        <v>728413.95</v>
      </c>
      <c r="K546" s="263">
        <f t="shared" si="171"/>
        <v>3.410605131648481E-13</v>
      </c>
      <c r="L546" s="264">
        <f t="shared" si="171"/>
        <v>19460198.26</v>
      </c>
      <c r="M546" s="318">
        <f t="shared" si="171"/>
        <v>836252.06</v>
      </c>
      <c r="N546" s="263">
        <f t="shared" si="171"/>
        <v>0</v>
      </c>
      <c r="O546" s="264">
        <f t="shared" si="171"/>
        <v>20296450.32</v>
      </c>
      <c r="P546" s="114">
        <f t="shared" si="171"/>
        <v>0</v>
      </c>
      <c r="Q546" s="140">
        <f t="shared" si="171"/>
        <v>5755502.610000001</v>
      </c>
    </row>
    <row r="547" spans="1:17" ht="13.5" thickBot="1">
      <c r="A547" s="32" t="s">
        <v>125</v>
      </c>
      <c r="B547" s="72"/>
      <c r="C547" s="141">
        <v>-8581.04</v>
      </c>
      <c r="D547" s="187"/>
      <c r="E547" s="122"/>
      <c r="F547" s="163">
        <f t="shared" si="158"/>
        <v>-8581.04</v>
      </c>
      <c r="G547" s="177"/>
      <c r="H547" s="220"/>
      <c r="I547" s="231">
        <f>SUM(F547:H547)</f>
        <v>-8581.04</v>
      </c>
      <c r="J547" s="177"/>
      <c r="K547" s="265"/>
      <c r="L547" s="158">
        <f>SUM(I547:K547)</f>
        <v>-8581.04</v>
      </c>
      <c r="M547" s="319"/>
      <c r="N547" s="265"/>
      <c r="O547" s="158">
        <f>SUM(L547:N547)</f>
        <v>-8581.04</v>
      </c>
      <c r="P547" s="122"/>
      <c r="Q547" s="141"/>
    </row>
    <row r="548" spans="1:17" ht="15.75" thickBot="1">
      <c r="A548" s="33" t="s">
        <v>126</v>
      </c>
      <c r="B548" s="72"/>
      <c r="C548" s="197">
        <f aca="true" t="shared" si="172" ref="C548:Q548">C546+C547</f>
        <v>5404513</v>
      </c>
      <c r="D548" s="101">
        <f t="shared" si="172"/>
        <v>12808395.800000003</v>
      </c>
      <c r="E548" s="123">
        <f t="shared" si="172"/>
        <v>1900</v>
      </c>
      <c r="F548" s="164">
        <f t="shared" si="172"/>
        <v>18214808.8</v>
      </c>
      <c r="G548" s="178">
        <f t="shared" si="172"/>
        <v>394935.7099999999</v>
      </c>
      <c r="H548" s="221">
        <f t="shared" si="172"/>
        <v>113458.76</v>
      </c>
      <c r="I548" s="239">
        <f t="shared" si="172"/>
        <v>18723203.270000003</v>
      </c>
      <c r="J548" s="178">
        <f t="shared" si="172"/>
        <v>728413.95</v>
      </c>
      <c r="K548" s="266">
        <f t="shared" si="172"/>
        <v>3.410605131648481E-13</v>
      </c>
      <c r="L548" s="267">
        <f t="shared" si="172"/>
        <v>19451617.220000003</v>
      </c>
      <c r="M548" s="320">
        <f t="shared" si="172"/>
        <v>836252.06</v>
      </c>
      <c r="N548" s="266">
        <f t="shared" si="172"/>
        <v>0</v>
      </c>
      <c r="O548" s="267">
        <f t="shared" si="172"/>
        <v>20287869.28</v>
      </c>
      <c r="P548" s="298">
        <f t="shared" si="172"/>
        <v>0</v>
      </c>
      <c r="Q548" s="84">
        <f t="shared" si="172"/>
        <v>5755502.610000001</v>
      </c>
    </row>
    <row r="549" spans="1:17" ht="15">
      <c r="A549" s="34" t="s">
        <v>26</v>
      </c>
      <c r="B549" s="73"/>
      <c r="C549" s="142"/>
      <c r="D549" s="188"/>
      <c r="E549" s="124"/>
      <c r="F549" s="165"/>
      <c r="G549" s="179"/>
      <c r="H549" s="222"/>
      <c r="I549" s="240"/>
      <c r="J549" s="179"/>
      <c r="K549" s="268"/>
      <c r="L549" s="269"/>
      <c r="M549" s="321"/>
      <c r="N549" s="268"/>
      <c r="O549" s="269"/>
      <c r="P549" s="124"/>
      <c r="Q549" s="142"/>
    </row>
    <row r="550" spans="1:17" ht="15">
      <c r="A550" s="35" t="s">
        <v>222</v>
      </c>
      <c r="B550" s="74"/>
      <c r="C550" s="143">
        <f>+C84+C104+C115+C133+C145+C176+C228+C256+C288+C311+C393+C429+C454+C461+C493+C498+C545+C547+C468+C335+C281</f>
        <v>3910350.0599999996</v>
      </c>
      <c r="D550" s="189">
        <f>+D84+D104+D115+D133+D145+D176+D228+D256+D288+D311+D393+D429+D454+D461+D493+D498+D545+D547+D468+D335+D281</f>
        <v>10193611.760000004</v>
      </c>
      <c r="E550" s="125">
        <f>+E84+E104+E115+E133+E145+E176+E228+E256+E288+E311+E393+E429+E454+E461+E493+E498+E545+E547+E468+E335</f>
        <v>-23.4</v>
      </c>
      <c r="F550" s="107">
        <f aca="true" t="shared" si="173" ref="F550:Q550">+F84+F104+F115+F133+F145+F176+F228+F256+F288+F311+F393+F429+F454+F461+F493+F498+F545+F547+F468+F335+F281</f>
        <v>14103938.419999998</v>
      </c>
      <c r="G550" s="180">
        <f t="shared" si="173"/>
        <v>151525.65999999995</v>
      </c>
      <c r="H550" s="223">
        <f t="shared" si="173"/>
        <v>216343.18</v>
      </c>
      <c r="I550" s="241">
        <f t="shared" si="173"/>
        <v>14471807.26</v>
      </c>
      <c r="J550" s="180">
        <f t="shared" si="173"/>
        <v>228869.45999999993</v>
      </c>
      <c r="K550" s="270">
        <f t="shared" si="173"/>
        <v>-7272.53</v>
      </c>
      <c r="L550" s="271">
        <f t="shared" si="173"/>
        <v>14693404.190000007</v>
      </c>
      <c r="M550" s="322">
        <f t="shared" si="173"/>
        <v>331875.22000000003</v>
      </c>
      <c r="N550" s="270">
        <f t="shared" si="173"/>
        <v>0</v>
      </c>
      <c r="O550" s="271">
        <f t="shared" si="173"/>
        <v>15025279.410000004</v>
      </c>
      <c r="P550" s="299">
        <f t="shared" si="173"/>
        <v>0</v>
      </c>
      <c r="Q550" s="143">
        <f t="shared" si="173"/>
        <v>4803539.26</v>
      </c>
    </row>
    <row r="551" spans="1:17" ht="15.75" thickBot="1">
      <c r="A551" s="22" t="s">
        <v>223</v>
      </c>
      <c r="B551" s="75"/>
      <c r="C551" s="144">
        <f>+C93+C111+C127+C138+C166+C218+C246+C272+C302+C330+C423+C444+C457+C499+C482+C359+C284</f>
        <v>1494162.94</v>
      </c>
      <c r="D551" s="190">
        <f>+D93+D111+D127+D138+D166+D218+D246+D272+D302+D330+D423+D444+D457+D499+D482+D359+D284</f>
        <v>2614784.04</v>
      </c>
      <c r="E551" s="126">
        <f>+E93+E111+E127+E138+E166+E218+E246+E272+E302+E330+E423+E444+E457+E499+E482+E359</f>
        <v>1923.4</v>
      </c>
      <c r="F551" s="108">
        <f aca="true" t="shared" si="174" ref="F551:Q551">+F93+F111+F127+F138+F166+F218+F246+F272+F302+F330+F423+F444+F457+F499+F482+F359+F284</f>
        <v>4110870.38</v>
      </c>
      <c r="G551" s="181">
        <f t="shared" si="174"/>
        <v>243410.05</v>
      </c>
      <c r="H551" s="224">
        <f t="shared" si="174"/>
        <v>-102884.42000000001</v>
      </c>
      <c r="I551" s="242">
        <f t="shared" si="174"/>
        <v>4251396.010000001</v>
      </c>
      <c r="J551" s="181">
        <f t="shared" si="174"/>
        <v>499544.49</v>
      </c>
      <c r="K551" s="272">
        <f t="shared" si="174"/>
        <v>7272.53</v>
      </c>
      <c r="L551" s="273">
        <f t="shared" si="174"/>
        <v>4758213.03</v>
      </c>
      <c r="M551" s="323">
        <f t="shared" si="174"/>
        <v>504376.83999999997</v>
      </c>
      <c r="N551" s="272">
        <f t="shared" si="174"/>
        <v>0</v>
      </c>
      <c r="O551" s="273">
        <f t="shared" si="174"/>
        <v>5262589.87</v>
      </c>
      <c r="P551" s="300">
        <f t="shared" si="174"/>
        <v>0</v>
      </c>
      <c r="Q551" s="144">
        <f t="shared" si="174"/>
        <v>951963.3500000001</v>
      </c>
    </row>
    <row r="552" spans="1:17" ht="15.75" thickBot="1">
      <c r="A552" s="35" t="s">
        <v>216</v>
      </c>
      <c r="B552" s="74"/>
      <c r="C552" s="140">
        <f aca="true" t="shared" si="175" ref="C552:Q552">C81-C548</f>
        <v>-400000</v>
      </c>
      <c r="D552" s="152">
        <f t="shared" si="175"/>
        <v>-3079643.6800000016</v>
      </c>
      <c r="E552" s="152">
        <f t="shared" si="175"/>
        <v>-1900</v>
      </c>
      <c r="F552" s="92">
        <f t="shared" si="175"/>
        <v>-3481543.6800000016</v>
      </c>
      <c r="G552" s="176">
        <f t="shared" si="175"/>
        <v>-2633.619999999937</v>
      </c>
      <c r="H552" s="219">
        <f t="shared" si="175"/>
        <v>-23862.550000000003</v>
      </c>
      <c r="I552" s="238">
        <f t="shared" si="175"/>
        <v>-3508039.8500000015</v>
      </c>
      <c r="J552" s="176">
        <f t="shared" si="175"/>
        <v>0</v>
      </c>
      <c r="K552" s="263">
        <f t="shared" si="175"/>
        <v>-3.410605131648481E-13</v>
      </c>
      <c r="L552" s="264">
        <f t="shared" si="175"/>
        <v>-3508039.8499999978</v>
      </c>
      <c r="M552" s="318">
        <f t="shared" si="175"/>
        <v>0</v>
      </c>
      <c r="N552" s="263">
        <f t="shared" si="175"/>
        <v>0</v>
      </c>
      <c r="O552" s="264">
        <f t="shared" si="175"/>
        <v>-3508039.8500000015</v>
      </c>
      <c r="P552" s="114">
        <f t="shared" si="175"/>
        <v>0</v>
      </c>
      <c r="Q552" s="114">
        <f t="shared" si="175"/>
        <v>6344893.159999996</v>
      </c>
    </row>
    <row r="553" spans="1:17" ht="15">
      <c r="A553" s="34" t="s">
        <v>224</v>
      </c>
      <c r="B553" s="73"/>
      <c r="C553" s="198">
        <f>SUM(C555:C558)</f>
        <v>400000</v>
      </c>
      <c r="D553" s="105">
        <f aca="true" t="shared" si="176" ref="D553:Q553">SUM(D555:D558)</f>
        <v>3079643.6800000006</v>
      </c>
      <c r="E553" s="127">
        <f t="shared" si="176"/>
        <v>1900</v>
      </c>
      <c r="F553" s="198">
        <f t="shared" si="176"/>
        <v>3481543.6800000006</v>
      </c>
      <c r="G553" s="182">
        <f t="shared" si="176"/>
        <v>2633.62</v>
      </c>
      <c r="H553" s="225">
        <f t="shared" si="176"/>
        <v>23862.55</v>
      </c>
      <c r="I553" s="243">
        <f t="shared" si="176"/>
        <v>3508039.8500000006</v>
      </c>
      <c r="J553" s="182">
        <f t="shared" si="176"/>
        <v>0</v>
      </c>
      <c r="K553" s="274">
        <f t="shared" si="176"/>
        <v>0</v>
      </c>
      <c r="L553" s="275">
        <f t="shared" si="176"/>
        <v>3508039.8500000006</v>
      </c>
      <c r="M553" s="324">
        <f>SUM(M555:M558)</f>
        <v>0</v>
      </c>
      <c r="N553" s="274">
        <f>SUM(N555:N558)</f>
        <v>0</v>
      </c>
      <c r="O553" s="275">
        <f>SUM(O555:O558)</f>
        <v>3508039.8500000006</v>
      </c>
      <c r="P553" s="115">
        <f t="shared" si="176"/>
        <v>0</v>
      </c>
      <c r="Q553" s="115">
        <f t="shared" si="176"/>
        <v>3508039.8500000006</v>
      </c>
    </row>
    <row r="554" spans="1:17" ht="12.75" customHeight="1">
      <c r="A554" s="36" t="s">
        <v>26</v>
      </c>
      <c r="B554" s="76"/>
      <c r="C554" s="199"/>
      <c r="D554" s="153"/>
      <c r="E554" s="203"/>
      <c r="F554" s="205"/>
      <c r="G554" s="183"/>
      <c r="H554" s="226"/>
      <c r="I554" s="244"/>
      <c r="J554" s="183"/>
      <c r="K554" s="276"/>
      <c r="L554" s="277"/>
      <c r="M554" s="325"/>
      <c r="N554" s="276"/>
      <c r="O554" s="277"/>
      <c r="P554" s="93"/>
      <c r="Q554" s="52"/>
    </row>
    <row r="555" spans="1:17" ht="13.5">
      <c r="A555" s="36" t="s">
        <v>127</v>
      </c>
      <c r="B555" s="76"/>
      <c r="C555" s="200">
        <v>400000</v>
      </c>
      <c r="D555" s="154">
        <v>500000</v>
      </c>
      <c r="E555" s="166"/>
      <c r="F555" s="200">
        <f>SUM(C555:E555)</f>
        <v>900000</v>
      </c>
      <c r="G555" s="202"/>
      <c r="H555" s="227"/>
      <c r="I555" s="200">
        <f>SUM(F555:H555)</f>
        <v>900000</v>
      </c>
      <c r="J555" s="278"/>
      <c r="K555" s="279"/>
      <c r="L555" s="280">
        <f>SUM(I555:K555)</f>
        <v>900000</v>
      </c>
      <c r="M555" s="326"/>
      <c r="N555" s="279"/>
      <c r="O555" s="280">
        <f>SUM(L555:N555)</f>
        <v>900000</v>
      </c>
      <c r="P555" s="93"/>
      <c r="Q555" s="52">
        <f t="shared" si="161"/>
        <v>900000</v>
      </c>
    </row>
    <row r="556" spans="1:17" ht="13.5" hidden="1">
      <c r="A556" s="37" t="s">
        <v>135</v>
      </c>
      <c r="B556" s="76"/>
      <c r="C556" s="200"/>
      <c r="D556" s="154"/>
      <c r="E556" s="166"/>
      <c r="F556" s="200">
        <f>SUM(C556:E556)</f>
        <v>0</v>
      </c>
      <c r="G556" s="202"/>
      <c r="H556" s="227"/>
      <c r="I556" s="200">
        <f>SUM(F556:H556)</f>
        <v>0</v>
      </c>
      <c r="J556" s="278"/>
      <c r="K556" s="279"/>
      <c r="L556" s="280">
        <f>SUM(I556:K556)</f>
        <v>0</v>
      </c>
      <c r="M556" s="326"/>
      <c r="N556" s="279"/>
      <c r="O556" s="280">
        <f>SUM(L556:N556)</f>
        <v>0</v>
      </c>
      <c r="P556" s="93"/>
      <c r="Q556" s="52">
        <f t="shared" si="161"/>
        <v>0</v>
      </c>
    </row>
    <row r="557" spans="1:17" ht="14.25" thickBot="1">
      <c r="A557" s="37" t="s">
        <v>128</v>
      </c>
      <c r="B557" s="76"/>
      <c r="C557" s="200"/>
      <c r="D557" s="154">
        <f>9657.33+24251.16+1733.68+710100.27+1033269.62+82262.27+5044.79+2000+1088.6+6.55+1818.82+2299.64+4394+3641.06+9011+200+51667.77+3643+200+15521.76+5347.5+118315.07+7243.82+14128.69+2179.42+7455.91+79590.79+5458.46+26046.79+2198.98+1029.92+26218.9+450+269.44+556+6011.14+1000+47194.15-0.27-5+131.48+1328.86+360+9.73+0.04+29670.7+241.62+235400.22</f>
        <v>2579643.6800000006</v>
      </c>
      <c r="E557" s="166">
        <v>1900</v>
      </c>
      <c r="F557" s="200">
        <f>SUM(C557:E557)</f>
        <v>2581543.6800000006</v>
      </c>
      <c r="G557" s="202">
        <f>135.18+2498.44</f>
        <v>2633.62</v>
      </c>
      <c r="H557" s="227">
        <f>6426.57+13883.79</f>
        <v>20310.36</v>
      </c>
      <c r="I557" s="200">
        <f>SUM(F557:H557)</f>
        <v>2604487.6600000006</v>
      </c>
      <c r="J557" s="278"/>
      <c r="K557" s="279"/>
      <c r="L557" s="280">
        <f>SUM(I557:K557)</f>
        <v>2604487.6600000006</v>
      </c>
      <c r="M557" s="326"/>
      <c r="N557" s="279"/>
      <c r="O557" s="280">
        <f>SUM(L557:N557)</f>
        <v>2604487.6600000006</v>
      </c>
      <c r="P557" s="301"/>
      <c r="Q557" s="53">
        <f t="shared" si="161"/>
        <v>2604487.6600000006</v>
      </c>
    </row>
    <row r="558" spans="1:17" ht="14.25" thickBot="1">
      <c r="A558" s="46" t="s">
        <v>147</v>
      </c>
      <c r="B558" s="77"/>
      <c r="C558" s="287"/>
      <c r="D558" s="286" t="s">
        <v>195</v>
      </c>
      <c r="E558" s="204"/>
      <c r="F558" s="201">
        <f>SUM(C558:E558)</f>
        <v>0</v>
      </c>
      <c r="G558" s="282"/>
      <c r="H558" s="228">
        <v>3552.19</v>
      </c>
      <c r="I558" s="245">
        <f>SUM(F558:H558)</f>
        <v>3552.19</v>
      </c>
      <c r="J558" s="282">
        <v>0</v>
      </c>
      <c r="K558" s="289">
        <v>0</v>
      </c>
      <c r="L558" s="281">
        <f>SUM(I558:K558)</f>
        <v>3552.19</v>
      </c>
      <c r="M558" s="327"/>
      <c r="N558" s="303"/>
      <c r="O558" s="281">
        <f>SUM(L558:N558)</f>
        <v>3552.19</v>
      </c>
      <c r="P558" s="301"/>
      <c r="Q558" s="53">
        <f t="shared" si="161"/>
        <v>3552.19</v>
      </c>
    </row>
    <row r="559" spans="2:17" ht="12.75" hidden="1">
      <c r="B559" s="78"/>
      <c r="C559" s="85">
        <f aca="true" t="shared" si="177" ref="C559:Q559">C81+C553-C548</f>
        <v>0</v>
      </c>
      <c r="D559" s="85">
        <f t="shared" si="177"/>
        <v>0</v>
      </c>
      <c r="E559" s="85">
        <f t="shared" si="177"/>
        <v>0</v>
      </c>
      <c r="F559" s="85">
        <f t="shared" si="177"/>
        <v>0</v>
      </c>
      <c r="G559" s="90">
        <f t="shared" si="177"/>
        <v>0</v>
      </c>
      <c r="H559" s="90">
        <f t="shared" si="177"/>
        <v>0</v>
      </c>
      <c r="I559" s="90">
        <f t="shared" si="177"/>
        <v>0</v>
      </c>
      <c r="J559" s="90">
        <f t="shared" si="177"/>
        <v>0</v>
      </c>
      <c r="K559" s="90">
        <f t="shared" si="177"/>
        <v>-3.410605131648481E-13</v>
      </c>
      <c r="L559" s="90">
        <f t="shared" si="177"/>
        <v>0</v>
      </c>
      <c r="M559" s="328">
        <f t="shared" si="177"/>
        <v>0</v>
      </c>
      <c r="N559" s="90">
        <f t="shared" si="177"/>
        <v>0</v>
      </c>
      <c r="O559" s="90">
        <f t="shared" si="177"/>
        <v>0</v>
      </c>
      <c r="P559" s="45">
        <f t="shared" si="177"/>
        <v>0</v>
      </c>
      <c r="Q559" s="45">
        <f t="shared" si="177"/>
        <v>9852933.009999996</v>
      </c>
    </row>
    <row r="560" spans="2:16" ht="12.75">
      <c r="B560" s="78"/>
      <c r="G560" s="90"/>
      <c r="P560" s="45"/>
    </row>
    <row r="561" spans="2:16" ht="12.75">
      <c r="B561" s="78"/>
      <c r="D561" s="90"/>
      <c r="G561" s="90"/>
      <c r="P561" s="45"/>
    </row>
    <row r="562" spans="2:16" ht="12.75">
      <c r="B562" s="78"/>
      <c r="G562" s="90"/>
      <c r="P562" s="45"/>
    </row>
    <row r="563" spans="2:16" ht="12.75">
      <c r="B563" s="78"/>
      <c r="G563" s="90"/>
      <c r="P563" s="45"/>
    </row>
    <row r="564" spans="2:16" ht="12.75">
      <c r="B564" s="78"/>
      <c r="G564" s="90"/>
      <c r="P564" s="45"/>
    </row>
    <row r="565" spans="2:16" ht="12.75">
      <c r="B565" s="78"/>
      <c r="G565" s="90"/>
      <c r="P565" s="45"/>
    </row>
    <row r="566" spans="2:16" ht="12.75">
      <c r="B566" s="78"/>
      <c r="G566" s="90"/>
      <c r="P566" s="45"/>
    </row>
    <row r="567" spans="2:16" ht="12.75">
      <c r="B567" s="78"/>
      <c r="G567" s="90"/>
      <c r="P567" s="45"/>
    </row>
    <row r="568" spans="2:16" ht="12.75">
      <c r="B568" s="78"/>
      <c r="G568" s="90"/>
      <c r="P568" s="45"/>
    </row>
    <row r="569" spans="2:16" ht="12.75">
      <c r="B569" s="78"/>
      <c r="G569" s="90"/>
      <c r="P569" s="45"/>
    </row>
    <row r="570" spans="2:16" ht="12.75">
      <c r="B570" s="78"/>
      <c r="G570" s="90"/>
      <c r="P570" s="45"/>
    </row>
    <row r="571" spans="2:16" ht="12.75">
      <c r="B571" s="78"/>
      <c r="G571" s="90"/>
      <c r="P571" s="45"/>
    </row>
    <row r="572" spans="2:16" ht="12.75">
      <c r="B572" s="78"/>
      <c r="G572" s="90"/>
      <c r="P572" s="45"/>
    </row>
    <row r="573" spans="2:16" ht="12.75">
      <c r="B573" s="78"/>
      <c r="G573" s="90"/>
      <c r="P573" s="45"/>
    </row>
    <row r="574" spans="2:16" ht="12.75">
      <c r="B574" s="78"/>
      <c r="G574" s="90"/>
      <c r="P574" s="45"/>
    </row>
    <row r="575" spans="2:16" ht="12.75">
      <c r="B575" s="78"/>
      <c r="G575" s="90"/>
      <c r="P575" s="45"/>
    </row>
    <row r="576" spans="2:16" ht="12.75">
      <c r="B576" s="78"/>
      <c r="G576" s="90"/>
      <c r="P576" s="45"/>
    </row>
    <row r="577" spans="2:16" ht="12.75">
      <c r="B577" s="78"/>
      <c r="G577" s="90"/>
      <c r="P577" s="45"/>
    </row>
    <row r="578" spans="2:16" ht="12.75">
      <c r="B578" s="78"/>
      <c r="G578" s="90"/>
      <c r="P578" s="45"/>
    </row>
    <row r="579" spans="7:16" ht="12.75">
      <c r="G579" s="90"/>
      <c r="P579" s="45"/>
    </row>
    <row r="580" spans="7:16" ht="12.75">
      <c r="G580" s="90"/>
      <c r="P580" s="45"/>
    </row>
    <row r="581" spans="7:16" ht="12.75">
      <c r="G581" s="90"/>
      <c r="P581" s="45"/>
    </row>
    <row r="582" spans="7:16" ht="12.75">
      <c r="G582" s="90"/>
      <c r="P582" s="45"/>
    </row>
    <row r="583" ht="12.75">
      <c r="P583" s="45"/>
    </row>
    <row r="584" ht="12.75">
      <c r="P584" s="45"/>
    </row>
    <row r="585" ht="12.75">
      <c r="P585" s="45"/>
    </row>
    <row r="586" ht="12.75">
      <c r="P586" s="45"/>
    </row>
    <row r="587" ht="12.75">
      <c r="P587" s="45"/>
    </row>
    <row r="588" ht="12.75">
      <c r="P588" s="45"/>
    </row>
    <row r="589" ht="12.75">
      <c r="P589" s="45"/>
    </row>
    <row r="590" ht="12.75">
      <c r="P590" s="45"/>
    </row>
    <row r="591" ht="12.75">
      <c r="P591" s="45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7086614173228347" bottom="0.3937007874015748" header="0.5118110236220472" footer="0.11811023622047245"/>
  <pageSetup horizontalDpi="600" verticalDpi="600" orientation="portrait" paperSize="9" scale="83" r:id="rId1"/>
  <headerFooter alignWithMargins="0">
    <oddFooter>&amp;CStránka &amp;P</oddFooter>
  </headerFooter>
  <rowBreaks count="5" manualBreakCount="5">
    <brk id="91" max="8" man="1"/>
    <brk id="206" max="11" man="1"/>
    <brk id="294" max="14" man="1"/>
    <brk id="386" max="14" man="1"/>
    <brk id="48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1"/>
  <sheetViews>
    <sheetView tabSelected="1" zoomScaleSheetLayoutView="69" zoomScalePageLayoutView="0" workbookViewId="0" topLeftCell="A1">
      <pane xSplit="1" ySplit="9" topLeftCell="B5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231" sqref="N231"/>
    </sheetView>
  </sheetViews>
  <sheetFormatPr defaultColWidth="9.00390625" defaultRowHeight="12.75"/>
  <cols>
    <col min="1" max="1" width="48.00390625" style="0" customWidth="1"/>
    <col min="2" max="2" width="7.50390625" style="0" hidden="1" customWidth="1"/>
    <col min="3" max="3" width="15.375" style="0" customWidth="1"/>
    <col min="4" max="4" width="17.50390625" style="0" hidden="1" customWidth="1"/>
    <col min="5" max="5" width="12.00390625" style="0" hidden="1" customWidth="1"/>
    <col min="6" max="6" width="16.50390625" style="0" hidden="1" customWidth="1"/>
    <col min="7" max="7" width="12.50390625" style="0" hidden="1" customWidth="1"/>
    <col min="8" max="8" width="12.625" style="0" hidden="1" customWidth="1"/>
    <col min="9" max="9" width="15.50390625" style="0" hidden="1" customWidth="1"/>
    <col min="10" max="11" width="13.625" style="0" hidden="1" customWidth="1"/>
    <col min="12" max="12" width="16.00390625" style="0" bestFit="1" customWidth="1"/>
    <col min="13" max="13" width="13.125" style="304" customWidth="1"/>
    <col min="14" max="14" width="11.125" style="0" customWidth="1"/>
    <col min="15" max="15" width="16.625" style="0" customWidth="1"/>
    <col min="16" max="16" width="13.375" style="0" hidden="1" customWidth="1"/>
    <col min="17" max="17" width="17.625" style="0" hidden="1" customWidth="1"/>
    <col min="19" max="19" width="14.875" style="0" customWidth="1"/>
  </cols>
  <sheetData>
    <row r="1" spans="3:17" ht="12.75">
      <c r="C1" s="1"/>
      <c r="D1" s="1"/>
      <c r="E1" s="1"/>
      <c r="F1" s="2"/>
      <c r="I1" s="2"/>
      <c r="L1" s="2"/>
      <c r="O1" s="2" t="s">
        <v>132</v>
      </c>
      <c r="Q1" s="2" t="s">
        <v>132</v>
      </c>
    </row>
    <row r="2" spans="3:6" ht="9.75" customHeight="1">
      <c r="C2" s="1"/>
      <c r="D2" s="1"/>
      <c r="E2" s="1"/>
      <c r="F2" s="2"/>
    </row>
    <row r="3" spans="1:17" ht="15">
      <c r="A3" s="358" t="s">
        <v>242</v>
      </c>
      <c r="B3" s="358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7" ht="15">
      <c r="A4" s="360" t="s">
        <v>278</v>
      </c>
      <c r="B4" s="360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</row>
    <row r="5" spans="1:17" ht="13.5">
      <c r="A5" s="361" t="s">
        <v>0</v>
      </c>
      <c r="B5" s="361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</row>
    <row r="6" spans="1:17" ht="12.75">
      <c r="A6" s="362" t="s">
        <v>1</v>
      </c>
      <c r="B6" s="362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</row>
    <row r="7" spans="1:13" ht="18" customHeight="1" thickBot="1">
      <c r="A7" s="3"/>
      <c r="B7" s="3"/>
      <c r="C7" s="4"/>
      <c r="D7" s="88"/>
      <c r="E7" s="4"/>
      <c r="F7" s="4"/>
      <c r="G7" s="44"/>
      <c r="J7" s="47"/>
      <c r="M7" s="305"/>
    </row>
    <row r="8" spans="1:17" ht="12.75">
      <c r="A8" s="363" t="s">
        <v>2</v>
      </c>
      <c r="B8" s="55" t="s">
        <v>228</v>
      </c>
      <c r="C8" s="191" t="s">
        <v>3</v>
      </c>
      <c r="D8" s="145" t="s">
        <v>4</v>
      </c>
      <c r="E8" s="145" t="s">
        <v>5</v>
      </c>
      <c r="F8" s="116" t="s">
        <v>6</v>
      </c>
      <c r="G8" s="7" t="s">
        <v>7</v>
      </c>
      <c r="H8" s="206" t="s">
        <v>5</v>
      </c>
      <c r="I8" s="191" t="s">
        <v>6</v>
      </c>
      <c r="J8" s="7" t="s">
        <v>8</v>
      </c>
      <c r="K8" s="8" t="s">
        <v>5</v>
      </c>
      <c r="L8" s="9" t="s">
        <v>6</v>
      </c>
      <c r="M8" s="306" t="s">
        <v>9</v>
      </c>
      <c r="N8" s="356" t="s">
        <v>5</v>
      </c>
      <c r="O8" s="9" t="s">
        <v>6</v>
      </c>
      <c r="P8" s="145" t="s">
        <v>157</v>
      </c>
      <c r="Q8" s="49" t="s">
        <v>6</v>
      </c>
    </row>
    <row r="9" spans="1:17" ht="13.5" thickBot="1">
      <c r="A9" s="364"/>
      <c r="B9" s="96" t="s">
        <v>172</v>
      </c>
      <c r="C9" s="192" t="s">
        <v>10</v>
      </c>
      <c r="D9" s="146" t="s">
        <v>11</v>
      </c>
      <c r="E9" s="146" t="s">
        <v>12</v>
      </c>
      <c r="F9" s="117" t="s">
        <v>13</v>
      </c>
      <c r="G9" s="41" t="s">
        <v>11</v>
      </c>
      <c r="H9" s="207" t="s">
        <v>12</v>
      </c>
      <c r="I9" s="192" t="s">
        <v>14</v>
      </c>
      <c r="J9" s="41" t="s">
        <v>11</v>
      </c>
      <c r="K9" s="42" t="s">
        <v>12</v>
      </c>
      <c r="L9" s="43" t="s">
        <v>15</v>
      </c>
      <c r="M9" s="307" t="s">
        <v>11</v>
      </c>
      <c r="N9" s="357" t="s">
        <v>12</v>
      </c>
      <c r="O9" s="43" t="s">
        <v>16</v>
      </c>
      <c r="P9" s="146" t="s">
        <v>11</v>
      </c>
      <c r="Q9" s="50" t="s">
        <v>158</v>
      </c>
    </row>
    <row r="10" spans="1:17" ht="15.75" customHeight="1">
      <c r="A10" s="39" t="s">
        <v>17</v>
      </c>
      <c r="B10" s="56"/>
      <c r="C10" s="193"/>
      <c r="D10" s="147"/>
      <c r="E10" s="147"/>
      <c r="F10" s="118"/>
      <c r="G10" s="13"/>
      <c r="H10" s="208"/>
      <c r="I10" s="193"/>
      <c r="J10" s="13"/>
      <c r="K10" s="5"/>
      <c r="L10" s="40"/>
      <c r="M10" s="308"/>
      <c r="N10" s="5"/>
      <c r="O10" s="40"/>
      <c r="P10" s="290"/>
      <c r="Q10" s="51"/>
    </row>
    <row r="11" spans="1:17" ht="12.75">
      <c r="A11" s="14" t="s">
        <v>218</v>
      </c>
      <c r="B11" s="57"/>
      <c r="C11" s="133">
        <f>C13+C14+C15+C16</f>
        <v>4637203.01</v>
      </c>
      <c r="D11" s="86">
        <f>D13+D14+D15+D16</f>
        <v>-93212.15</v>
      </c>
      <c r="E11" s="86">
        <f>E13+E14+E15</f>
        <v>0</v>
      </c>
      <c r="F11" s="94">
        <f>F13+F14+F15+F16</f>
        <v>4543990.859999999</v>
      </c>
      <c r="G11" s="79">
        <f>G13+G14+G15+G16</f>
        <v>814</v>
      </c>
      <c r="H11" s="209">
        <f aca="true" t="shared" si="0" ref="H11:Q11">H13+H14+H15+H16</f>
        <v>88608.29</v>
      </c>
      <c r="I11" s="229">
        <f t="shared" si="0"/>
        <v>4633413.149999999</v>
      </c>
      <c r="J11" s="168">
        <f t="shared" si="0"/>
        <v>0</v>
      </c>
      <c r="K11" s="246">
        <f t="shared" si="0"/>
        <v>0</v>
      </c>
      <c r="L11" s="247">
        <f t="shared" si="0"/>
        <v>4633413.149999999</v>
      </c>
      <c r="M11" s="309">
        <f t="shared" si="0"/>
        <v>0</v>
      </c>
      <c r="N11" s="246">
        <f t="shared" si="0"/>
        <v>0</v>
      </c>
      <c r="O11" s="247">
        <f t="shared" si="0"/>
        <v>4633413.149999999</v>
      </c>
      <c r="P11" s="94">
        <f t="shared" si="0"/>
        <v>0</v>
      </c>
      <c r="Q11" s="94">
        <f t="shared" si="0"/>
        <v>26787.85</v>
      </c>
    </row>
    <row r="12" spans="1:17" ht="12.75">
      <c r="A12" s="15" t="s">
        <v>18</v>
      </c>
      <c r="B12" s="58"/>
      <c r="C12" s="133"/>
      <c r="D12" s="86"/>
      <c r="E12" s="86"/>
      <c r="F12" s="94"/>
      <c r="G12" s="10"/>
      <c r="H12" s="209"/>
      <c r="I12" s="229"/>
      <c r="J12" s="168"/>
      <c r="K12" s="246"/>
      <c r="L12" s="247"/>
      <c r="M12" s="310"/>
      <c r="N12" s="6"/>
      <c r="O12" s="11"/>
      <c r="P12" s="93"/>
      <c r="Q12" s="52"/>
    </row>
    <row r="13" spans="1:17" ht="12.75">
      <c r="A13" s="66" t="s">
        <v>225</v>
      </c>
      <c r="B13" s="58"/>
      <c r="C13" s="134">
        <v>4633763.01</v>
      </c>
      <c r="D13" s="99">
        <v>-150000</v>
      </c>
      <c r="E13" s="86"/>
      <c r="F13" s="89">
        <f>C13+D13+E13</f>
        <v>4483763.01</v>
      </c>
      <c r="G13" s="81">
        <f>747</f>
        <v>747</v>
      </c>
      <c r="H13" s="210">
        <f>800+87808.29</f>
        <v>88608.29</v>
      </c>
      <c r="I13" s="230">
        <f>F13+G13+H13</f>
        <v>4573118.3</v>
      </c>
      <c r="J13" s="168"/>
      <c r="K13" s="246"/>
      <c r="L13" s="248">
        <f>I13+J13+K13</f>
        <v>4573118.3</v>
      </c>
      <c r="M13" s="292">
        <v>0</v>
      </c>
      <c r="N13" s="246"/>
      <c r="O13" s="248">
        <f>L13+M13+N13</f>
        <v>4573118.3</v>
      </c>
      <c r="P13" s="93"/>
      <c r="Q13" s="52"/>
    </row>
    <row r="14" spans="1:17" ht="12.75">
      <c r="A14" s="16" t="s">
        <v>19</v>
      </c>
      <c r="B14" s="59"/>
      <c r="C14" s="134"/>
      <c r="D14" s="150">
        <f>26787.85</f>
        <v>26787.85</v>
      </c>
      <c r="E14" s="99"/>
      <c r="F14" s="89">
        <f>C14+D14+E14</f>
        <v>26787.85</v>
      </c>
      <c r="G14" s="81"/>
      <c r="H14" s="209"/>
      <c r="I14" s="230">
        <f>F14+G14+H14</f>
        <v>26787.85</v>
      </c>
      <c r="J14" s="169"/>
      <c r="K14" s="246"/>
      <c r="L14" s="248">
        <f>I14+J14+K14</f>
        <v>26787.85</v>
      </c>
      <c r="M14" s="292"/>
      <c r="N14" s="246"/>
      <c r="O14" s="248">
        <f>L14+M14+N14</f>
        <v>26787.85</v>
      </c>
      <c r="P14" s="93"/>
      <c r="Q14" s="52">
        <f aca="true" t="shared" si="1" ref="Q14:Q78">O14+P14</f>
        <v>26787.85</v>
      </c>
    </row>
    <row r="15" spans="1:17" ht="12.75">
      <c r="A15" s="66" t="s">
        <v>226</v>
      </c>
      <c r="B15" s="59"/>
      <c r="C15" s="134">
        <v>3440</v>
      </c>
      <c r="D15" s="150"/>
      <c r="E15" s="99"/>
      <c r="F15" s="89">
        <f>C15+D15+E15</f>
        <v>3440</v>
      </c>
      <c r="G15" s="81">
        <f>67</f>
        <v>67</v>
      </c>
      <c r="H15" s="209"/>
      <c r="I15" s="230">
        <f>F15+G15+H15</f>
        <v>3507</v>
      </c>
      <c r="J15" s="169"/>
      <c r="K15" s="246"/>
      <c r="L15" s="248">
        <f>I15+J15+K15</f>
        <v>3507</v>
      </c>
      <c r="M15" s="292"/>
      <c r="N15" s="246"/>
      <c r="O15" s="248">
        <f>L15+M15+N15</f>
        <v>3507</v>
      </c>
      <c r="P15" s="93"/>
      <c r="Q15" s="52"/>
    </row>
    <row r="16" spans="1:17" ht="12.75">
      <c r="A16" s="66" t="s">
        <v>291</v>
      </c>
      <c r="B16" s="59"/>
      <c r="C16" s="134"/>
      <c r="D16" s="150">
        <f>30000</f>
        <v>30000</v>
      </c>
      <c r="E16" s="99"/>
      <c r="F16" s="89">
        <f>C16+D16+E16</f>
        <v>30000</v>
      </c>
      <c r="G16" s="81"/>
      <c r="H16" s="209"/>
      <c r="I16" s="230">
        <f>F16+G16+H16</f>
        <v>30000</v>
      </c>
      <c r="J16" s="169"/>
      <c r="K16" s="246"/>
      <c r="L16" s="248">
        <f>I16+J16+K16</f>
        <v>30000</v>
      </c>
      <c r="M16" s="292"/>
      <c r="N16" s="246"/>
      <c r="O16" s="248">
        <f>L16+M16+N16</f>
        <v>30000</v>
      </c>
      <c r="P16" s="93"/>
      <c r="Q16" s="52"/>
    </row>
    <row r="17" spans="1:17" ht="12.75">
      <c r="A17" s="14" t="s">
        <v>219</v>
      </c>
      <c r="B17" s="57"/>
      <c r="C17" s="133">
        <f aca="true" t="shared" si="2" ref="C17:Q17">SUM(C19:C25)+C32</f>
        <v>266083.59</v>
      </c>
      <c r="D17" s="86">
        <f t="shared" si="2"/>
        <v>2715.949999999997</v>
      </c>
      <c r="E17" s="86">
        <f t="shared" si="2"/>
        <v>0</v>
      </c>
      <c r="F17" s="94">
        <f t="shared" si="2"/>
        <v>268799.54</v>
      </c>
      <c r="G17" s="168">
        <f t="shared" si="2"/>
        <v>25399.82</v>
      </c>
      <c r="H17" s="209">
        <f t="shared" si="2"/>
        <v>987.92</v>
      </c>
      <c r="I17" s="229">
        <f t="shared" si="2"/>
        <v>295187.27999999997</v>
      </c>
      <c r="J17" s="168">
        <f t="shared" si="2"/>
        <v>69913.29000000001</v>
      </c>
      <c r="K17" s="246">
        <f t="shared" si="2"/>
        <v>0</v>
      </c>
      <c r="L17" s="247">
        <f t="shared" si="2"/>
        <v>365100.57</v>
      </c>
      <c r="M17" s="309">
        <f t="shared" si="2"/>
        <v>28662.860000000004</v>
      </c>
      <c r="N17" s="246">
        <f t="shared" si="2"/>
        <v>0</v>
      </c>
      <c r="O17" s="247">
        <f t="shared" si="2"/>
        <v>393763.43000000005</v>
      </c>
      <c r="P17" s="86">
        <f t="shared" si="2"/>
        <v>0</v>
      </c>
      <c r="Q17" s="86">
        <f t="shared" si="2"/>
        <v>393763.43000000005</v>
      </c>
    </row>
    <row r="18" spans="1:17" ht="10.5" customHeight="1">
      <c r="A18" s="15" t="s">
        <v>20</v>
      </c>
      <c r="B18" s="58"/>
      <c r="C18" s="133"/>
      <c r="D18" s="86"/>
      <c r="E18" s="86"/>
      <c r="F18" s="94"/>
      <c r="G18" s="168"/>
      <c r="H18" s="209"/>
      <c r="I18" s="229"/>
      <c r="J18" s="168"/>
      <c r="K18" s="246"/>
      <c r="L18" s="247"/>
      <c r="M18" s="309"/>
      <c r="N18" s="246"/>
      <c r="O18" s="247"/>
      <c r="P18" s="93"/>
      <c r="Q18" s="52"/>
    </row>
    <row r="19" spans="1:17" ht="12.75">
      <c r="A19" s="16" t="s">
        <v>21</v>
      </c>
      <c r="B19" s="59"/>
      <c r="C19" s="134">
        <v>6000</v>
      </c>
      <c r="D19" s="99"/>
      <c r="E19" s="99"/>
      <c r="F19" s="89">
        <f>C19+D19+E19</f>
        <v>6000</v>
      </c>
      <c r="G19" s="169"/>
      <c r="H19" s="210"/>
      <c r="I19" s="230">
        <f>F19+G19+H19</f>
        <v>6000</v>
      </c>
      <c r="J19" s="169">
        <f>21.16</f>
        <v>21.16</v>
      </c>
      <c r="K19" s="249"/>
      <c r="L19" s="248">
        <f>I19+J19+K19</f>
        <v>6021.16</v>
      </c>
      <c r="M19" s="292">
        <f>481.7</f>
        <v>481.7</v>
      </c>
      <c r="N19" s="249"/>
      <c r="O19" s="248">
        <f>L19+M19+N19</f>
        <v>6502.86</v>
      </c>
      <c r="P19" s="93"/>
      <c r="Q19" s="52">
        <f t="shared" si="1"/>
        <v>6502.86</v>
      </c>
    </row>
    <row r="20" spans="1:17" ht="12.75">
      <c r="A20" s="66" t="s">
        <v>256</v>
      </c>
      <c r="B20" s="59"/>
      <c r="C20" s="134"/>
      <c r="D20" s="99">
        <f>213.18+5241.84+3126.66</f>
        <v>8581.68</v>
      </c>
      <c r="E20" s="99"/>
      <c r="F20" s="89">
        <f aca="true" t="shared" si="3" ref="F20:F32">C20+D20+E20</f>
        <v>8581.68</v>
      </c>
      <c r="G20" s="169">
        <f>14458.98+300+5932</f>
        <v>20690.98</v>
      </c>
      <c r="H20" s="210"/>
      <c r="I20" s="230">
        <f>F20+G20+H20</f>
        <v>29272.66</v>
      </c>
      <c r="J20" s="169">
        <f>462.48+10194.92+534.48+13590.04+13844.44+10259.44+2274.76</f>
        <v>51160.560000000005</v>
      </c>
      <c r="K20" s="249"/>
      <c r="L20" s="248">
        <f>I20+J20+K20</f>
        <v>80433.22</v>
      </c>
      <c r="M20" s="292">
        <f>1191.2+25.34+9654.84+10580.6+2622.76</f>
        <v>24074.740000000005</v>
      </c>
      <c r="N20" s="249"/>
      <c r="O20" s="248">
        <f>L20+M20+N20</f>
        <v>104507.96</v>
      </c>
      <c r="P20" s="93"/>
      <c r="Q20" s="52">
        <f t="shared" si="1"/>
        <v>104507.96</v>
      </c>
    </row>
    <row r="21" spans="1:17" ht="12.75">
      <c r="A21" s="66" t="s">
        <v>262</v>
      </c>
      <c r="B21" s="59"/>
      <c r="C21" s="134">
        <v>30000</v>
      </c>
      <c r="D21" s="99">
        <f>-30000</f>
        <v>-30000</v>
      </c>
      <c r="E21" s="99"/>
      <c r="F21" s="89">
        <f t="shared" si="3"/>
        <v>0</v>
      </c>
      <c r="G21" s="169"/>
      <c r="H21" s="210"/>
      <c r="I21" s="230">
        <f>F21+G21+H21</f>
        <v>0</v>
      </c>
      <c r="J21" s="169"/>
      <c r="K21" s="249"/>
      <c r="L21" s="248">
        <f>I21+J21+K21</f>
        <v>0</v>
      </c>
      <c r="M21" s="292"/>
      <c r="N21" s="249"/>
      <c r="O21" s="248">
        <f>L21+M21+N21</f>
        <v>0</v>
      </c>
      <c r="P21" s="93"/>
      <c r="Q21" s="52">
        <f t="shared" si="1"/>
        <v>0</v>
      </c>
    </row>
    <row r="22" spans="1:17" ht="12.75">
      <c r="A22" s="17" t="s">
        <v>257</v>
      </c>
      <c r="B22" s="60"/>
      <c r="C22" s="134">
        <v>121834.08</v>
      </c>
      <c r="D22" s="99"/>
      <c r="E22" s="99"/>
      <c r="F22" s="89">
        <f t="shared" si="3"/>
        <v>121834.08</v>
      </c>
      <c r="G22" s="169"/>
      <c r="H22" s="210"/>
      <c r="I22" s="230">
        <f>F22+G22+H22</f>
        <v>121834.08</v>
      </c>
      <c r="J22" s="169"/>
      <c r="K22" s="249"/>
      <c r="L22" s="248">
        <f>I22+J22+K22</f>
        <v>121834.08</v>
      </c>
      <c r="M22" s="292"/>
      <c r="N22" s="249"/>
      <c r="O22" s="248">
        <f>L22+M22+N22</f>
        <v>121834.08</v>
      </c>
      <c r="P22" s="93"/>
      <c r="Q22" s="52">
        <f t="shared" si="1"/>
        <v>121834.08</v>
      </c>
    </row>
    <row r="23" spans="1:17" ht="12.75" hidden="1">
      <c r="A23" s="17" t="s">
        <v>258</v>
      </c>
      <c r="B23" s="60"/>
      <c r="C23" s="134"/>
      <c r="D23" s="99"/>
      <c r="E23" s="99"/>
      <c r="F23" s="89">
        <f t="shared" si="3"/>
        <v>0</v>
      </c>
      <c r="G23" s="169"/>
      <c r="H23" s="210"/>
      <c r="I23" s="230"/>
      <c r="J23" s="169"/>
      <c r="K23" s="249"/>
      <c r="L23" s="248"/>
      <c r="M23" s="292"/>
      <c r="N23" s="249"/>
      <c r="O23" s="248"/>
      <c r="P23" s="93"/>
      <c r="Q23" s="52"/>
    </row>
    <row r="24" spans="1:17" ht="12.75">
      <c r="A24" s="17" t="s">
        <v>259</v>
      </c>
      <c r="B24" s="60"/>
      <c r="C24" s="134"/>
      <c r="D24" s="99">
        <f>69.49+2718.44+50.49+432.1+127.5+46.95+16.23+160.66</f>
        <v>3621.859999999999</v>
      </c>
      <c r="E24" s="99"/>
      <c r="F24" s="89">
        <f t="shared" si="3"/>
        <v>3621.859999999999</v>
      </c>
      <c r="G24" s="169">
        <f>17.58+7.68+256.49+2092.13+484.9</f>
        <v>2858.78</v>
      </c>
      <c r="H24" s="210"/>
      <c r="I24" s="230">
        <f>F24+G24+H24</f>
        <v>6480.639999999999</v>
      </c>
      <c r="J24" s="169">
        <f>227.63+53.5+1938.48+1532.14+1321.93+3000+6255.98+57.3+74.5+200.4+335.85+1079.76+530+191.77</f>
        <v>16799.24</v>
      </c>
      <c r="K24" s="249"/>
      <c r="L24" s="248">
        <f>I24+J24+K24</f>
        <v>23279.88</v>
      </c>
      <c r="M24" s="292">
        <f>-1.13+1290.61+76+141.69-1160-3000+4042.58+107.32+132.41+250.83+757.5+1127.06</f>
        <v>3764.87</v>
      </c>
      <c r="N24" s="249"/>
      <c r="O24" s="248">
        <f>L24+M24+N24</f>
        <v>27044.75</v>
      </c>
      <c r="P24" s="93"/>
      <c r="Q24" s="52">
        <f t="shared" si="1"/>
        <v>27044.75</v>
      </c>
    </row>
    <row r="25" spans="1:17" ht="12.75">
      <c r="A25" s="16" t="s">
        <v>22</v>
      </c>
      <c r="B25" s="59"/>
      <c r="C25" s="134">
        <f>SUM(C26:C31)</f>
        <v>108249.51000000001</v>
      </c>
      <c r="D25" s="99">
        <f>SUM(D26:D31)</f>
        <v>127.7</v>
      </c>
      <c r="E25" s="99">
        <f aca="true" t="shared" si="4" ref="E25:Q25">SUM(E26:E31)</f>
        <v>0</v>
      </c>
      <c r="F25" s="89">
        <f t="shared" si="4"/>
        <v>108377.20999999999</v>
      </c>
      <c r="G25" s="169">
        <f t="shared" si="4"/>
        <v>1826.4</v>
      </c>
      <c r="H25" s="210">
        <f t="shared" si="4"/>
        <v>0</v>
      </c>
      <c r="I25" s="230">
        <f t="shared" si="4"/>
        <v>110203.60999999999</v>
      </c>
      <c r="J25" s="169">
        <f t="shared" si="4"/>
        <v>1151.8600000000001</v>
      </c>
      <c r="K25" s="249">
        <f t="shared" si="4"/>
        <v>0</v>
      </c>
      <c r="L25" s="248">
        <f t="shared" si="4"/>
        <v>111355.46999999997</v>
      </c>
      <c r="M25" s="292">
        <f t="shared" si="4"/>
        <v>341.55</v>
      </c>
      <c r="N25" s="249">
        <f t="shared" si="4"/>
        <v>0</v>
      </c>
      <c r="O25" s="248">
        <f t="shared" si="4"/>
        <v>111697.01999999999</v>
      </c>
      <c r="P25" s="99">
        <f t="shared" si="4"/>
        <v>0</v>
      </c>
      <c r="Q25" s="134">
        <f t="shared" si="4"/>
        <v>111697.01999999999</v>
      </c>
    </row>
    <row r="26" spans="1:17" ht="12.75">
      <c r="A26" s="16" t="s">
        <v>23</v>
      </c>
      <c r="B26" s="59"/>
      <c r="C26" s="134">
        <v>44302</v>
      </c>
      <c r="D26" s="99">
        <f>127.7</f>
        <v>127.7</v>
      </c>
      <c r="E26" s="99"/>
      <c r="F26" s="89">
        <f t="shared" si="3"/>
        <v>44429.7</v>
      </c>
      <c r="G26" s="169">
        <f>1397.7</f>
        <v>1397.7</v>
      </c>
      <c r="H26" s="210"/>
      <c r="I26" s="230">
        <f aca="true" t="shared" si="5" ref="I26:I32">F26+G26+H26</f>
        <v>45827.399999999994</v>
      </c>
      <c r="J26" s="169">
        <f>1266.21</f>
        <v>1266.21</v>
      </c>
      <c r="K26" s="249"/>
      <c r="L26" s="248">
        <f aca="true" t="shared" si="6" ref="L26:L32">I26+J26+K26</f>
        <v>47093.60999999999</v>
      </c>
      <c r="M26" s="292">
        <f>9.42+203.83</f>
        <v>213.25</v>
      </c>
      <c r="N26" s="249"/>
      <c r="O26" s="248">
        <f aca="true" t="shared" si="7" ref="O26:O32">L26+M26+N26</f>
        <v>47306.85999999999</v>
      </c>
      <c r="P26" s="93"/>
      <c r="Q26" s="52">
        <f t="shared" si="1"/>
        <v>47306.85999999999</v>
      </c>
    </row>
    <row r="27" spans="1:17" ht="12.75">
      <c r="A27" s="17" t="s">
        <v>144</v>
      </c>
      <c r="B27" s="60"/>
      <c r="C27" s="134">
        <v>899.66</v>
      </c>
      <c r="D27" s="99"/>
      <c r="E27" s="99"/>
      <c r="F27" s="89">
        <f t="shared" si="3"/>
        <v>899.66</v>
      </c>
      <c r="G27" s="169"/>
      <c r="H27" s="210"/>
      <c r="I27" s="230">
        <f t="shared" si="5"/>
        <v>899.66</v>
      </c>
      <c r="J27" s="169"/>
      <c r="K27" s="249"/>
      <c r="L27" s="248">
        <f t="shared" si="6"/>
        <v>899.66</v>
      </c>
      <c r="M27" s="292"/>
      <c r="N27" s="249"/>
      <c r="O27" s="248">
        <f t="shared" si="7"/>
        <v>899.66</v>
      </c>
      <c r="P27" s="93"/>
      <c r="Q27" s="52">
        <f t="shared" si="1"/>
        <v>899.66</v>
      </c>
    </row>
    <row r="28" spans="1:17" ht="12.75">
      <c r="A28" s="16" t="s">
        <v>24</v>
      </c>
      <c r="B28" s="59"/>
      <c r="C28" s="134">
        <v>23039</v>
      </c>
      <c r="D28" s="99"/>
      <c r="E28" s="99"/>
      <c r="F28" s="89">
        <f t="shared" si="3"/>
        <v>23039</v>
      </c>
      <c r="G28" s="169"/>
      <c r="H28" s="210"/>
      <c r="I28" s="230">
        <f t="shared" si="5"/>
        <v>23039</v>
      </c>
      <c r="J28" s="169"/>
      <c r="K28" s="249"/>
      <c r="L28" s="248">
        <f t="shared" si="6"/>
        <v>23039</v>
      </c>
      <c r="M28" s="292"/>
      <c r="N28" s="249"/>
      <c r="O28" s="248">
        <f t="shared" si="7"/>
        <v>23039</v>
      </c>
      <c r="P28" s="93"/>
      <c r="Q28" s="52">
        <f t="shared" si="1"/>
        <v>23039</v>
      </c>
    </row>
    <row r="29" spans="1:17" ht="12.75">
      <c r="A29" s="17" t="s">
        <v>145</v>
      </c>
      <c r="B29" s="60"/>
      <c r="C29" s="134">
        <v>9557.2</v>
      </c>
      <c r="D29" s="99"/>
      <c r="E29" s="99"/>
      <c r="F29" s="89">
        <f t="shared" si="3"/>
        <v>9557.2</v>
      </c>
      <c r="G29" s="169">
        <f>428.7</f>
        <v>428.7</v>
      </c>
      <c r="H29" s="210"/>
      <c r="I29" s="230">
        <f t="shared" si="5"/>
        <v>9985.900000000001</v>
      </c>
      <c r="J29" s="169"/>
      <c r="K29" s="249"/>
      <c r="L29" s="248">
        <f t="shared" si="6"/>
        <v>9985.900000000001</v>
      </c>
      <c r="M29" s="292">
        <f>128.3</f>
        <v>128.3</v>
      </c>
      <c r="N29" s="249"/>
      <c r="O29" s="248">
        <f t="shared" si="7"/>
        <v>10114.2</v>
      </c>
      <c r="P29" s="93"/>
      <c r="Q29" s="52">
        <f t="shared" si="1"/>
        <v>10114.2</v>
      </c>
    </row>
    <row r="30" spans="1:17" ht="12.75">
      <c r="A30" s="17" t="s">
        <v>243</v>
      </c>
      <c r="B30" s="60"/>
      <c r="C30" s="134">
        <v>512.75</v>
      </c>
      <c r="D30" s="99"/>
      <c r="E30" s="99"/>
      <c r="F30" s="89">
        <f t="shared" si="3"/>
        <v>512.75</v>
      </c>
      <c r="G30" s="169"/>
      <c r="H30" s="210"/>
      <c r="I30" s="230">
        <f t="shared" si="5"/>
        <v>512.75</v>
      </c>
      <c r="J30" s="169">
        <f>-114.35</f>
        <v>-114.35</v>
      </c>
      <c r="K30" s="249"/>
      <c r="L30" s="248">
        <f t="shared" si="6"/>
        <v>398.4</v>
      </c>
      <c r="M30" s="292"/>
      <c r="N30" s="249"/>
      <c r="O30" s="248">
        <f t="shared" si="7"/>
        <v>398.4</v>
      </c>
      <c r="P30" s="93"/>
      <c r="Q30" s="52">
        <f t="shared" si="1"/>
        <v>398.4</v>
      </c>
    </row>
    <row r="31" spans="1:17" ht="12.75">
      <c r="A31" s="17" t="s">
        <v>146</v>
      </c>
      <c r="B31" s="60"/>
      <c r="C31" s="134">
        <v>29938.9</v>
      </c>
      <c r="D31" s="99"/>
      <c r="E31" s="99"/>
      <c r="F31" s="89">
        <f t="shared" si="3"/>
        <v>29938.9</v>
      </c>
      <c r="G31" s="169"/>
      <c r="H31" s="210"/>
      <c r="I31" s="230">
        <f t="shared" si="5"/>
        <v>29938.9</v>
      </c>
      <c r="J31" s="169"/>
      <c r="K31" s="249"/>
      <c r="L31" s="248">
        <f t="shared" si="6"/>
        <v>29938.9</v>
      </c>
      <c r="M31" s="292"/>
      <c r="N31" s="249"/>
      <c r="O31" s="248">
        <f t="shared" si="7"/>
        <v>29938.9</v>
      </c>
      <c r="P31" s="93"/>
      <c r="Q31" s="52">
        <f>O31+P31</f>
        <v>29938.9</v>
      </c>
    </row>
    <row r="32" spans="1:17" ht="12.75">
      <c r="A32" s="17" t="s">
        <v>187</v>
      </c>
      <c r="B32" s="60"/>
      <c r="C32" s="134"/>
      <c r="D32" s="186">
        <f>725.52+16001.9+1847.46+821.71+940.71+47.41</f>
        <v>20384.709999999995</v>
      </c>
      <c r="E32" s="99"/>
      <c r="F32" s="89">
        <f t="shared" si="3"/>
        <v>20384.709999999995</v>
      </c>
      <c r="G32" s="185">
        <f>23.66</f>
        <v>23.66</v>
      </c>
      <c r="H32" s="211">
        <v>987.92</v>
      </c>
      <c r="I32" s="230">
        <f t="shared" si="5"/>
        <v>21396.289999999994</v>
      </c>
      <c r="J32" s="185">
        <f>16.43+764.04</f>
        <v>780.4699999999999</v>
      </c>
      <c r="K32" s="250"/>
      <c r="L32" s="248">
        <f t="shared" si="6"/>
        <v>22176.759999999995</v>
      </c>
      <c r="M32" s="311"/>
      <c r="N32" s="250"/>
      <c r="O32" s="248">
        <f t="shared" si="7"/>
        <v>22176.759999999995</v>
      </c>
      <c r="P32" s="135"/>
      <c r="Q32" s="52">
        <f>O32+P32</f>
        <v>22176.759999999995</v>
      </c>
    </row>
    <row r="33" spans="1:17" ht="12.75" hidden="1">
      <c r="A33" s="18" t="s">
        <v>220</v>
      </c>
      <c r="B33" s="61"/>
      <c r="C33" s="136">
        <f>SUM(C35:C39)</f>
        <v>0</v>
      </c>
      <c r="D33" s="100">
        <f aca="true" t="shared" si="8" ref="D33:Q33">SUM(D35:D39)</f>
        <v>0</v>
      </c>
      <c r="E33" s="100">
        <f t="shared" si="8"/>
        <v>0</v>
      </c>
      <c r="F33" s="87">
        <f t="shared" si="8"/>
        <v>0</v>
      </c>
      <c r="G33" s="173">
        <f t="shared" si="8"/>
        <v>0</v>
      </c>
      <c r="H33" s="212">
        <f t="shared" si="8"/>
        <v>0</v>
      </c>
      <c r="I33" s="231">
        <f t="shared" si="8"/>
        <v>0</v>
      </c>
      <c r="J33" s="173">
        <f t="shared" si="8"/>
        <v>0</v>
      </c>
      <c r="K33" s="251">
        <f t="shared" si="8"/>
        <v>0</v>
      </c>
      <c r="L33" s="158">
        <f t="shared" si="8"/>
        <v>0</v>
      </c>
      <c r="M33" s="312">
        <f t="shared" si="8"/>
        <v>0</v>
      </c>
      <c r="N33" s="251">
        <f t="shared" si="8"/>
        <v>0</v>
      </c>
      <c r="O33" s="158">
        <f t="shared" si="8"/>
        <v>0</v>
      </c>
      <c r="P33" s="100">
        <f t="shared" si="8"/>
        <v>0</v>
      </c>
      <c r="Q33" s="136">
        <f t="shared" si="8"/>
        <v>0</v>
      </c>
    </row>
    <row r="34" spans="1:17" ht="11.25" customHeight="1" hidden="1">
      <c r="A34" s="15" t="s">
        <v>20</v>
      </c>
      <c r="B34" s="58"/>
      <c r="C34" s="134"/>
      <c r="D34" s="99"/>
      <c r="E34" s="99"/>
      <c r="F34" s="89"/>
      <c r="G34" s="169"/>
      <c r="H34" s="210"/>
      <c r="I34" s="230"/>
      <c r="J34" s="169"/>
      <c r="K34" s="249"/>
      <c r="L34" s="248"/>
      <c r="M34" s="292"/>
      <c r="N34" s="249"/>
      <c r="O34" s="248"/>
      <c r="P34" s="93"/>
      <c r="Q34" s="52"/>
    </row>
    <row r="35" spans="1:17" ht="12.75" hidden="1">
      <c r="A35" s="66" t="s">
        <v>107</v>
      </c>
      <c r="B35" s="59"/>
      <c r="C35" s="134"/>
      <c r="D35" s="99"/>
      <c r="E35" s="99"/>
      <c r="F35" s="89">
        <f>C35+D35+E35</f>
        <v>0</v>
      </c>
      <c r="G35" s="169"/>
      <c r="H35" s="210"/>
      <c r="I35" s="230">
        <f>F35+G35+H35</f>
        <v>0</v>
      </c>
      <c r="J35" s="169"/>
      <c r="K35" s="249"/>
      <c r="L35" s="248">
        <f>I35+J35+K35</f>
        <v>0</v>
      </c>
      <c r="M35" s="292"/>
      <c r="N35" s="249"/>
      <c r="O35" s="248">
        <f>L35+M35+N35</f>
        <v>0</v>
      </c>
      <c r="P35" s="93"/>
      <c r="Q35" s="52">
        <f t="shared" si="1"/>
        <v>0</v>
      </c>
    </row>
    <row r="36" spans="1:17" ht="12.75" hidden="1">
      <c r="A36" s="17" t="s">
        <v>102</v>
      </c>
      <c r="B36" s="60"/>
      <c r="C36" s="134"/>
      <c r="D36" s="99"/>
      <c r="E36" s="99"/>
      <c r="F36" s="89">
        <f>C36+D36+E36</f>
        <v>0</v>
      </c>
      <c r="G36" s="169"/>
      <c r="H36" s="210"/>
      <c r="I36" s="230">
        <f>F36+G36+H36</f>
        <v>0</v>
      </c>
      <c r="J36" s="175"/>
      <c r="K36" s="249"/>
      <c r="L36" s="248">
        <f>I36+J36+K36</f>
        <v>0</v>
      </c>
      <c r="M36" s="292"/>
      <c r="N36" s="249"/>
      <c r="O36" s="248">
        <f>L36+M36+N36</f>
        <v>0</v>
      </c>
      <c r="P36" s="93"/>
      <c r="Q36" s="52">
        <f t="shared" si="1"/>
        <v>0</v>
      </c>
    </row>
    <row r="37" spans="1:17" ht="12.75" hidden="1">
      <c r="A37" s="17" t="s">
        <v>105</v>
      </c>
      <c r="B37" s="60"/>
      <c r="C37" s="134"/>
      <c r="D37" s="99"/>
      <c r="E37" s="99"/>
      <c r="F37" s="89">
        <f>C37+D37+E37</f>
        <v>0</v>
      </c>
      <c r="G37" s="169"/>
      <c r="H37" s="210"/>
      <c r="I37" s="230"/>
      <c r="J37" s="175"/>
      <c r="K37" s="249"/>
      <c r="L37" s="248"/>
      <c r="M37" s="292"/>
      <c r="N37" s="249"/>
      <c r="O37" s="248"/>
      <c r="P37" s="93"/>
      <c r="Q37" s="52"/>
    </row>
    <row r="38" spans="1:17" ht="12.75" hidden="1">
      <c r="A38" s="17" t="s">
        <v>112</v>
      </c>
      <c r="B38" s="60"/>
      <c r="C38" s="134"/>
      <c r="D38" s="99"/>
      <c r="E38" s="99"/>
      <c r="F38" s="89">
        <f>C38+D38+E38</f>
        <v>0</v>
      </c>
      <c r="G38" s="169"/>
      <c r="H38" s="210"/>
      <c r="I38" s="230">
        <f>F38+G38+H38</f>
        <v>0</v>
      </c>
      <c r="J38" s="175"/>
      <c r="K38" s="249"/>
      <c r="L38" s="248">
        <f>I38+J38+K38</f>
        <v>0</v>
      </c>
      <c r="M38" s="292"/>
      <c r="N38" s="249"/>
      <c r="O38" s="248">
        <f>L38+M38+N38</f>
        <v>0</v>
      </c>
      <c r="P38" s="93"/>
      <c r="Q38" s="52">
        <f t="shared" si="1"/>
        <v>0</v>
      </c>
    </row>
    <row r="39" spans="1:17" ht="12.75" hidden="1">
      <c r="A39" s="66" t="s">
        <v>244</v>
      </c>
      <c r="B39" s="59"/>
      <c r="C39" s="134">
        <v>0</v>
      </c>
      <c r="D39" s="99"/>
      <c r="E39" s="99"/>
      <c r="F39" s="89">
        <f>C39+D39+E39</f>
        <v>0</v>
      </c>
      <c r="G39" s="169"/>
      <c r="H39" s="210"/>
      <c r="I39" s="230">
        <f>F39+G39+H39</f>
        <v>0</v>
      </c>
      <c r="J39" s="169"/>
      <c r="K39" s="249"/>
      <c r="L39" s="248">
        <f>I39+J39+K39</f>
        <v>0</v>
      </c>
      <c r="M39" s="292"/>
      <c r="N39" s="249"/>
      <c r="O39" s="248">
        <f>L39+M39+N39</f>
        <v>0</v>
      </c>
      <c r="P39" s="93"/>
      <c r="Q39" s="52">
        <f t="shared" si="1"/>
        <v>0</v>
      </c>
    </row>
    <row r="40" spans="1:17" ht="12.75">
      <c r="A40" s="18" t="s">
        <v>221</v>
      </c>
      <c r="B40" s="59"/>
      <c r="C40" s="134"/>
      <c r="D40" s="99"/>
      <c r="E40" s="99"/>
      <c r="F40" s="89"/>
      <c r="G40" s="169"/>
      <c r="H40" s="210"/>
      <c r="I40" s="230"/>
      <c r="J40" s="169"/>
      <c r="K40" s="249"/>
      <c r="L40" s="248"/>
      <c r="M40" s="292"/>
      <c r="N40" s="249"/>
      <c r="O40" s="248"/>
      <c r="P40" s="93"/>
      <c r="Q40" s="52"/>
    </row>
    <row r="41" spans="1:17" ht="12.75">
      <c r="A41" s="14" t="s">
        <v>25</v>
      </c>
      <c r="B41" s="57"/>
      <c r="C41" s="133">
        <f>SUM(C43:C62)</f>
        <v>101226.4</v>
      </c>
      <c r="D41" s="86">
        <f aca="true" t="shared" si="9" ref="D41:Q41">SUM(D43:D62)</f>
        <v>9465761.450000001</v>
      </c>
      <c r="E41" s="86">
        <f t="shared" si="9"/>
        <v>0</v>
      </c>
      <c r="F41" s="94">
        <f t="shared" si="9"/>
        <v>9566987.850000001</v>
      </c>
      <c r="G41" s="168">
        <f t="shared" si="9"/>
        <v>196171.99999999997</v>
      </c>
      <c r="H41" s="209">
        <f t="shared" si="9"/>
        <v>0</v>
      </c>
      <c r="I41" s="229">
        <f t="shared" si="9"/>
        <v>9763159.850000001</v>
      </c>
      <c r="J41" s="168">
        <f t="shared" si="9"/>
        <v>317395.73</v>
      </c>
      <c r="K41" s="246">
        <f t="shared" si="9"/>
        <v>0</v>
      </c>
      <c r="L41" s="247">
        <f t="shared" si="9"/>
        <v>10080555.580000004</v>
      </c>
      <c r="M41" s="309">
        <f t="shared" si="9"/>
        <v>330490.73999999993</v>
      </c>
      <c r="N41" s="246">
        <f t="shared" si="9"/>
        <v>0</v>
      </c>
      <c r="O41" s="247">
        <f t="shared" si="9"/>
        <v>10411046.319999998</v>
      </c>
      <c r="P41" s="86">
        <f t="shared" si="9"/>
        <v>0</v>
      </c>
      <c r="Q41" s="86">
        <f t="shared" si="9"/>
        <v>10411046.319999998</v>
      </c>
    </row>
    <row r="42" spans="1:17" ht="10.5" customHeight="1">
      <c r="A42" s="19" t="s">
        <v>26</v>
      </c>
      <c r="B42" s="62"/>
      <c r="C42" s="134"/>
      <c r="D42" s="99"/>
      <c r="E42" s="99"/>
      <c r="F42" s="89"/>
      <c r="G42" s="169"/>
      <c r="H42" s="210"/>
      <c r="I42" s="230"/>
      <c r="J42" s="169"/>
      <c r="K42" s="249"/>
      <c r="L42" s="248"/>
      <c r="M42" s="292"/>
      <c r="N42" s="249"/>
      <c r="O42" s="248"/>
      <c r="P42" s="93"/>
      <c r="Q42" s="52"/>
    </row>
    <row r="43" spans="1:17" ht="12.75">
      <c r="A43" s="17" t="s">
        <v>27</v>
      </c>
      <c r="B43" s="60"/>
      <c r="C43" s="134">
        <v>100976.4</v>
      </c>
      <c r="D43" s="99"/>
      <c r="E43" s="99"/>
      <c r="F43" s="89">
        <f aca="true" t="shared" si="10" ref="F43:F62">C43+D43+E43</f>
        <v>100976.4</v>
      </c>
      <c r="G43" s="169"/>
      <c r="H43" s="210"/>
      <c r="I43" s="230">
        <f>F43+G43+H43</f>
        <v>100976.4</v>
      </c>
      <c r="J43" s="169"/>
      <c r="K43" s="249"/>
      <c r="L43" s="248">
        <f>I43+J43+K43</f>
        <v>100976.4</v>
      </c>
      <c r="M43" s="292"/>
      <c r="N43" s="249"/>
      <c r="O43" s="248">
        <f>L43+M43+N43</f>
        <v>100976.4</v>
      </c>
      <c r="P43" s="93"/>
      <c r="Q43" s="52">
        <f t="shared" si="1"/>
        <v>100976.4</v>
      </c>
    </row>
    <row r="44" spans="1:17" ht="12.75">
      <c r="A44" s="17" t="s">
        <v>28</v>
      </c>
      <c r="B44" s="60"/>
      <c r="C44" s="134"/>
      <c r="D44" s="99">
        <f>65.31+3.5+59.04+89.73+48+59.26+24+22.5+24+15</f>
        <v>410.34</v>
      </c>
      <c r="E44" s="99"/>
      <c r="F44" s="89">
        <f t="shared" si="10"/>
        <v>410.34</v>
      </c>
      <c r="G44" s="169">
        <f>45.68+40.61+12+32.99+10000+53.3+6+19+12+3.5+14+23.59+126.55+48+39.36+39+12+20.44+44.11+23.01+150+30+6+68+38.81</f>
        <v>10907.95</v>
      </c>
      <c r="H44" s="210"/>
      <c r="I44" s="230">
        <f aca="true" t="shared" si="11" ref="I44:I62">F44+G44+H44</f>
        <v>11318.29</v>
      </c>
      <c r="J44" s="169">
        <f>5+15+51.51+3.5+15+15+24+45+58.97+36.07+18.28+13+16+113.73+24+391.7+15+9.5+72+60.88+47+200+71.06+40.61+9.18+23.59+56.48+15+15+6</f>
        <v>1487.0599999999997</v>
      </c>
      <c r="K44" s="249"/>
      <c r="L44" s="248">
        <f aca="true" t="shared" si="12" ref="L44:L62">I44+J44+K44</f>
        <v>12805.35</v>
      </c>
      <c r="M44" s="292">
        <f>26.65+218.18+20.54+17.5+9.5+710+15.4+40.61+33.45+15.5+52.5+39+12+12+3.5</f>
        <v>1226.33</v>
      </c>
      <c r="N44" s="249"/>
      <c r="O44" s="248">
        <f aca="true" t="shared" si="13" ref="O44:O62">L44+M44+N44</f>
        <v>14031.68</v>
      </c>
      <c r="P44" s="93"/>
      <c r="Q44" s="52">
        <f t="shared" si="1"/>
        <v>14031.68</v>
      </c>
    </row>
    <row r="45" spans="1:17" ht="12.75">
      <c r="A45" s="17" t="s">
        <v>29</v>
      </c>
      <c r="B45" s="60"/>
      <c r="C45" s="134"/>
      <c r="D45" s="99">
        <f>100779.32+10991.83+8106896.7+4982.3+1658.34+1744.74</f>
        <v>8227053.23</v>
      </c>
      <c r="E45" s="99"/>
      <c r="F45" s="89">
        <f t="shared" si="10"/>
        <v>8227053.23</v>
      </c>
      <c r="G45" s="169">
        <f>6566.9+2996+3355.18+7600+953.09+1490.9+1598.95+735+91445.3+93.4+1500+2070+1805</f>
        <v>122209.72</v>
      </c>
      <c r="H45" s="210"/>
      <c r="I45" s="230">
        <f t="shared" si="11"/>
        <v>8349262.95</v>
      </c>
      <c r="J45" s="169">
        <f>57.79+3643.17+97299.65-66.06-671.36</f>
        <v>100263.19</v>
      </c>
      <c r="K45" s="249"/>
      <c r="L45" s="248">
        <f t="shared" si="12"/>
        <v>8449526.14</v>
      </c>
      <c r="M45" s="292">
        <f>68876.83+476.63+10498.43+654.32+6685.54+3040.84+13300+1867.39+102709.5+2124+1500+293.46</f>
        <v>212026.94</v>
      </c>
      <c r="N45" s="249"/>
      <c r="O45" s="248">
        <f t="shared" si="13"/>
        <v>8661553.08</v>
      </c>
      <c r="P45" s="93"/>
      <c r="Q45" s="52">
        <f t="shared" si="1"/>
        <v>8661553.08</v>
      </c>
    </row>
    <row r="46" spans="1:17" ht="12.75">
      <c r="A46" s="17" t="s">
        <v>30</v>
      </c>
      <c r="B46" s="60"/>
      <c r="C46" s="134"/>
      <c r="D46" s="99">
        <f>1738.53+960818.68+2217.64+7000</f>
        <v>971774.8500000001</v>
      </c>
      <c r="E46" s="99"/>
      <c r="F46" s="89">
        <f t="shared" si="10"/>
        <v>971774.8500000001</v>
      </c>
      <c r="G46" s="169">
        <f>638.93+9217.43+3267.11+3408.25+1664.94+234.94+15728.88+887.92+1323.92</f>
        <v>36372.31999999999</v>
      </c>
      <c r="H46" s="210"/>
      <c r="I46" s="230">
        <f t="shared" si="11"/>
        <v>1008147.17</v>
      </c>
      <c r="J46" s="169">
        <f>2272.16+647.06+43672.08+32.18+6326.66+1523.13+2659.8</f>
        <v>57133.07</v>
      </c>
      <c r="K46" s="249"/>
      <c r="L46" s="248">
        <f t="shared" si="12"/>
        <v>1065280.24</v>
      </c>
      <c r="M46" s="292">
        <f>1237.9+8562.76+1893.18+17216.67+1202.64+1300+88.65+31334.18</f>
        <v>62835.979999999996</v>
      </c>
      <c r="N46" s="249"/>
      <c r="O46" s="248">
        <f t="shared" si="13"/>
        <v>1128116.22</v>
      </c>
      <c r="P46" s="93"/>
      <c r="Q46" s="52">
        <f t="shared" si="1"/>
        <v>1128116.22</v>
      </c>
    </row>
    <row r="47" spans="1:19" ht="12.75">
      <c r="A47" s="17" t="s">
        <v>31</v>
      </c>
      <c r="B47" s="60"/>
      <c r="C47" s="134"/>
      <c r="D47" s="99">
        <f>558.14+13.91</f>
        <v>572.05</v>
      </c>
      <c r="E47" s="99"/>
      <c r="F47" s="89">
        <f t="shared" si="10"/>
        <v>572.05</v>
      </c>
      <c r="G47" s="169">
        <f>5454.12+50.82+564.59+993.63+1090.57</f>
        <v>8153.73</v>
      </c>
      <c r="H47" s="210"/>
      <c r="I47" s="230">
        <f t="shared" si="11"/>
        <v>8725.779999999999</v>
      </c>
      <c r="J47" s="169">
        <f>8.58+3406.32+18.12+34.92+10.29+9.44+7.34+11.26+541.73</f>
        <v>4048.0000000000005</v>
      </c>
      <c r="K47" s="249"/>
      <c r="L47" s="248">
        <f t="shared" si="12"/>
        <v>12773.779999999999</v>
      </c>
      <c r="M47" s="292">
        <f>20.63+971.8+16.5+628.07+15.77-0.01+6.51+71.77-938.38+24.85+19.18+21.05+18.36+14.14+13.31</f>
        <v>903.5499999999998</v>
      </c>
      <c r="N47" s="249"/>
      <c r="O47" s="248">
        <f t="shared" si="13"/>
        <v>13677.329999999998</v>
      </c>
      <c r="P47" s="93"/>
      <c r="Q47" s="52">
        <f t="shared" si="1"/>
        <v>13677.329999999998</v>
      </c>
      <c r="S47" s="90"/>
    </row>
    <row r="48" spans="1:17" ht="12.75">
      <c r="A48" s="17" t="s">
        <v>32</v>
      </c>
      <c r="B48" s="60"/>
      <c r="C48" s="134"/>
      <c r="D48" s="99"/>
      <c r="E48" s="99"/>
      <c r="F48" s="89">
        <f t="shared" si="10"/>
        <v>0</v>
      </c>
      <c r="G48" s="169">
        <f>306+490.3+108+110+167+65</f>
        <v>1246.3</v>
      </c>
      <c r="H48" s="210"/>
      <c r="I48" s="230">
        <f t="shared" si="11"/>
        <v>1246.3</v>
      </c>
      <c r="J48" s="169">
        <f>500+400+210+31.71+90+110+57.98+50+79</f>
        <v>1528.69</v>
      </c>
      <c r="K48" s="249"/>
      <c r="L48" s="248">
        <f t="shared" si="12"/>
        <v>2774.99</v>
      </c>
      <c r="M48" s="292">
        <f>520-74.79</f>
        <v>445.21</v>
      </c>
      <c r="N48" s="249"/>
      <c r="O48" s="248">
        <f t="shared" si="13"/>
        <v>3220.2</v>
      </c>
      <c r="P48" s="93"/>
      <c r="Q48" s="52">
        <f t="shared" si="1"/>
        <v>3220.2</v>
      </c>
    </row>
    <row r="49" spans="1:17" ht="12.75">
      <c r="A49" s="17" t="s">
        <v>33</v>
      </c>
      <c r="B49" s="60"/>
      <c r="C49" s="134"/>
      <c r="D49" s="99"/>
      <c r="E49" s="99"/>
      <c r="F49" s="89">
        <f t="shared" si="10"/>
        <v>0</v>
      </c>
      <c r="G49" s="169">
        <f>2000+5154.15+3197.37+3341.47</f>
        <v>13692.99</v>
      </c>
      <c r="H49" s="210"/>
      <c r="I49" s="230">
        <f t="shared" si="11"/>
        <v>13692.99</v>
      </c>
      <c r="J49" s="169">
        <f>58829.83+27.13+474.92+765.27</f>
        <v>60097.149999999994</v>
      </c>
      <c r="K49" s="249"/>
      <c r="L49" s="248">
        <f t="shared" si="12"/>
        <v>73790.14</v>
      </c>
      <c r="M49" s="292">
        <f>1008.27+7655.95+22712.25-0.18+474.92+765.27</f>
        <v>32616.48</v>
      </c>
      <c r="N49" s="249"/>
      <c r="O49" s="248">
        <f t="shared" si="13"/>
        <v>106406.62</v>
      </c>
      <c r="P49" s="93"/>
      <c r="Q49" s="52">
        <f t="shared" si="1"/>
        <v>106406.62</v>
      </c>
    </row>
    <row r="50" spans="1:17" ht="12.75">
      <c r="A50" s="17" t="s">
        <v>34</v>
      </c>
      <c r="B50" s="60"/>
      <c r="C50" s="134"/>
      <c r="D50" s="99">
        <f>1645+1275</f>
        <v>2920</v>
      </c>
      <c r="E50" s="99"/>
      <c r="F50" s="89">
        <f t="shared" si="10"/>
        <v>2920</v>
      </c>
      <c r="G50" s="169"/>
      <c r="H50" s="210"/>
      <c r="I50" s="230">
        <f t="shared" si="11"/>
        <v>2920</v>
      </c>
      <c r="J50" s="169"/>
      <c r="K50" s="249"/>
      <c r="L50" s="248">
        <f t="shared" si="12"/>
        <v>2920</v>
      </c>
      <c r="M50" s="292"/>
      <c r="N50" s="249"/>
      <c r="O50" s="248">
        <f t="shared" si="13"/>
        <v>2920</v>
      </c>
      <c r="P50" s="93"/>
      <c r="Q50" s="52">
        <f t="shared" si="1"/>
        <v>2920</v>
      </c>
    </row>
    <row r="51" spans="1:17" ht="12.75">
      <c r="A51" s="17" t="s">
        <v>137</v>
      </c>
      <c r="B51" s="60"/>
      <c r="C51" s="134"/>
      <c r="D51" s="99">
        <f>223545.15</f>
        <v>223545.15</v>
      </c>
      <c r="E51" s="99"/>
      <c r="F51" s="89">
        <f t="shared" si="10"/>
        <v>223545.15</v>
      </c>
      <c r="G51" s="169">
        <f>1560</f>
        <v>1560</v>
      </c>
      <c r="H51" s="210"/>
      <c r="I51" s="230">
        <f t="shared" si="11"/>
        <v>225105.15</v>
      </c>
      <c r="J51" s="169"/>
      <c r="K51" s="249"/>
      <c r="L51" s="248">
        <f t="shared" si="12"/>
        <v>225105.15</v>
      </c>
      <c r="M51" s="292">
        <f>-40.7</f>
        <v>-40.7</v>
      </c>
      <c r="N51" s="249"/>
      <c r="O51" s="248">
        <f t="shared" si="13"/>
        <v>225064.44999999998</v>
      </c>
      <c r="P51" s="93"/>
      <c r="Q51" s="52">
        <f t="shared" si="1"/>
        <v>225064.44999999998</v>
      </c>
    </row>
    <row r="52" spans="1:17" ht="12.75">
      <c r="A52" s="17" t="s">
        <v>150</v>
      </c>
      <c r="B52" s="60"/>
      <c r="C52" s="134"/>
      <c r="D52" s="99">
        <f>4049.47</f>
        <v>4049.47</v>
      </c>
      <c r="E52" s="99"/>
      <c r="F52" s="89">
        <f t="shared" si="10"/>
        <v>4049.47</v>
      </c>
      <c r="G52" s="169"/>
      <c r="H52" s="210"/>
      <c r="I52" s="230">
        <f t="shared" si="11"/>
        <v>4049.47</v>
      </c>
      <c r="J52" s="169"/>
      <c r="K52" s="249"/>
      <c r="L52" s="248">
        <f t="shared" si="12"/>
        <v>4049.47</v>
      </c>
      <c r="M52" s="292">
        <f>28</f>
        <v>28</v>
      </c>
      <c r="N52" s="249"/>
      <c r="O52" s="248">
        <f t="shared" si="13"/>
        <v>4077.47</v>
      </c>
      <c r="P52" s="93"/>
      <c r="Q52" s="52">
        <f t="shared" si="1"/>
        <v>4077.47</v>
      </c>
    </row>
    <row r="53" spans="1:17" ht="12.75">
      <c r="A53" s="17" t="s">
        <v>35</v>
      </c>
      <c r="B53" s="60"/>
      <c r="C53" s="134"/>
      <c r="D53" s="99">
        <f>405.5</f>
        <v>405.5</v>
      </c>
      <c r="E53" s="99"/>
      <c r="F53" s="89">
        <f t="shared" si="10"/>
        <v>405.5</v>
      </c>
      <c r="G53" s="169"/>
      <c r="H53" s="210"/>
      <c r="I53" s="230">
        <f t="shared" si="11"/>
        <v>405.5</v>
      </c>
      <c r="J53" s="169">
        <f>308.05+342.72+225.78</f>
        <v>876.55</v>
      </c>
      <c r="K53" s="249"/>
      <c r="L53" s="248">
        <f t="shared" si="12"/>
        <v>1282.05</v>
      </c>
      <c r="M53" s="292">
        <f>268.04</f>
        <v>268.04</v>
      </c>
      <c r="N53" s="249"/>
      <c r="O53" s="248">
        <f t="shared" si="13"/>
        <v>1550.09</v>
      </c>
      <c r="P53" s="294"/>
      <c r="Q53" s="52">
        <f t="shared" si="1"/>
        <v>1550.09</v>
      </c>
    </row>
    <row r="54" spans="1:17" ht="12.75">
      <c r="A54" s="17" t="s">
        <v>36</v>
      </c>
      <c r="B54" s="60"/>
      <c r="C54" s="134"/>
      <c r="D54" s="99"/>
      <c r="E54" s="99"/>
      <c r="F54" s="89">
        <f t="shared" si="10"/>
        <v>0</v>
      </c>
      <c r="G54" s="169">
        <f>500+284+381</f>
        <v>1165</v>
      </c>
      <c r="H54" s="210"/>
      <c r="I54" s="230">
        <f t="shared" si="11"/>
        <v>1165</v>
      </c>
      <c r="J54" s="175"/>
      <c r="K54" s="249"/>
      <c r="L54" s="248">
        <f t="shared" si="12"/>
        <v>1165</v>
      </c>
      <c r="M54" s="292">
        <f>125+192</f>
        <v>317</v>
      </c>
      <c r="N54" s="249"/>
      <c r="O54" s="248">
        <f t="shared" si="13"/>
        <v>1482</v>
      </c>
      <c r="P54" s="93"/>
      <c r="Q54" s="52">
        <f t="shared" si="1"/>
        <v>1482</v>
      </c>
    </row>
    <row r="55" spans="1:17" ht="12.75" hidden="1">
      <c r="A55" s="17" t="s">
        <v>196</v>
      </c>
      <c r="B55" s="60"/>
      <c r="C55" s="134"/>
      <c r="D55" s="99"/>
      <c r="E55" s="99"/>
      <c r="F55" s="89">
        <f t="shared" si="10"/>
        <v>0</v>
      </c>
      <c r="G55" s="169"/>
      <c r="H55" s="210"/>
      <c r="I55" s="230">
        <f t="shared" si="11"/>
        <v>0</v>
      </c>
      <c r="J55" s="175"/>
      <c r="K55" s="249"/>
      <c r="L55" s="248">
        <f t="shared" si="12"/>
        <v>0</v>
      </c>
      <c r="M55" s="292"/>
      <c r="N55" s="249"/>
      <c r="O55" s="248"/>
      <c r="P55" s="93"/>
      <c r="Q55" s="52"/>
    </row>
    <row r="56" spans="1:17" ht="12.75" hidden="1">
      <c r="A56" s="17" t="s">
        <v>151</v>
      </c>
      <c r="B56" s="60"/>
      <c r="C56" s="134"/>
      <c r="D56" s="99"/>
      <c r="E56" s="99"/>
      <c r="F56" s="89">
        <f t="shared" si="10"/>
        <v>0</v>
      </c>
      <c r="G56" s="169"/>
      <c r="H56" s="210"/>
      <c r="I56" s="230">
        <f t="shared" si="11"/>
        <v>0</v>
      </c>
      <c r="J56" s="175"/>
      <c r="K56" s="249"/>
      <c r="L56" s="248">
        <f t="shared" si="12"/>
        <v>0</v>
      </c>
      <c r="M56" s="292"/>
      <c r="N56" s="249"/>
      <c r="O56" s="248">
        <f t="shared" si="13"/>
        <v>0</v>
      </c>
      <c r="P56" s="93"/>
      <c r="Q56" s="52">
        <f t="shared" si="1"/>
        <v>0</v>
      </c>
    </row>
    <row r="57" spans="1:17" ht="12.75" hidden="1">
      <c r="A57" s="17" t="s">
        <v>37</v>
      </c>
      <c r="B57" s="60"/>
      <c r="C57" s="134"/>
      <c r="D57" s="99"/>
      <c r="E57" s="99"/>
      <c r="F57" s="89">
        <f t="shared" si="10"/>
        <v>0</v>
      </c>
      <c r="G57" s="169"/>
      <c r="H57" s="210"/>
      <c r="I57" s="230">
        <f t="shared" si="11"/>
        <v>0</v>
      </c>
      <c r="J57" s="169"/>
      <c r="K57" s="249"/>
      <c r="L57" s="248">
        <f t="shared" si="12"/>
        <v>0</v>
      </c>
      <c r="M57" s="292"/>
      <c r="N57" s="249"/>
      <c r="O57" s="248">
        <f t="shared" si="13"/>
        <v>0</v>
      </c>
      <c r="P57" s="93"/>
      <c r="Q57" s="52">
        <f t="shared" si="1"/>
        <v>0</v>
      </c>
    </row>
    <row r="58" spans="1:17" ht="12.75" hidden="1">
      <c r="A58" s="17" t="s">
        <v>43</v>
      </c>
      <c r="B58" s="60"/>
      <c r="C58" s="134"/>
      <c r="D58" s="99"/>
      <c r="E58" s="99"/>
      <c r="F58" s="89">
        <f t="shared" si="10"/>
        <v>0</v>
      </c>
      <c r="G58" s="169"/>
      <c r="H58" s="210"/>
      <c r="I58" s="230">
        <f t="shared" si="11"/>
        <v>0</v>
      </c>
      <c r="J58" s="169"/>
      <c r="K58" s="249"/>
      <c r="L58" s="248">
        <f t="shared" si="12"/>
        <v>0</v>
      </c>
      <c r="M58" s="292"/>
      <c r="N58" s="249"/>
      <c r="O58" s="248">
        <f t="shared" si="13"/>
        <v>0</v>
      </c>
      <c r="P58" s="93"/>
      <c r="Q58" s="52">
        <f t="shared" si="1"/>
        <v>0</v>
      </c>
    </row>
    <row r="59" spans="1:17" ht="12.75">
      <c r="A59" s="17" t="s">
        <v>38</v>
      </c>
      <c r="B59" s="60"/>
      <c r="C59" s="134"/>
      <c r="D59" s="99"/>
      <c r="E59" s="99"/>
      <c r="F59" s="89">
        <f t="shared" si="10"/>
        <v>0</v>
      </c>
      <c r="G59" s="169"/>
      <c r="H59" s="210"/>
      <c r="I59" s="230">
        <f t="shared" si="11"/>
        <v>0</v>
      </c>
      <c r="J59" s="169">
        <f>89000</f>
        <v>89000</v>
      </c>
      <c r="K59" s="249"/>
      <c r="L59" s="248">
        <f t="shared" si="12"/>
        <v>89000</v>
      </c>
      <c r="M59" s="292">
        <f>18496.6</f>
        <v>18496.6</v>
      </c>
      <c r="N59" s="249"/>
      <c r="O59" s="248">
        <f t="shared" si="13"/>
        <v>107496.6</v>
      </c>
      <c r="P59" s="93"/>
      <c r="Q59" s="52">
        <f t="shared" si="1"/>
        <v>107496.6</v>
      </c>
    </row>
    <row r="60" spans="1:17" ht="12.75">
      <c r="A60" s="17" t="s">
        <v>39</v>
      </c>
      <c r="B60" s="60"/>
      <c r="C60" s="134"/>
      <c r="D60" s="99">
        <f>236.9+159.54+232.42</f>
        <v>628.86</v>
      </c>
      <c r="E60" s="99"/>
      <c r="F60" s="89">
        <f t="shared" si="10"/>
        <v>628.86</v>
      </c>
      <c r="G60" s="169">
        <f>863.99</f>
        <v>863.99</v>
      </c>
      <c r="H60" s="210"/>
      <c r="I60" s="230">
        <f t="shared" si="11"/>
        <v>1492.85</v>
      </c>
      <c r="J60" s="169">
        <f>143.49+593.66+174.97</f>
        <v>912.12</v>
      </c>
      <c r="K60" s="249"/>
      <c r="L60" s="248">
        <f t="shared" si="12"/>
        <v>2404.97</v>
      </c>
      <c r="M60" s="292">
        <f>110.72+1220.1</f>
        <v>1330.82</v>
      </c>
      <c r="N60" s="249"/>
      <c r="O60" s="248">
        <f t="shared" si="13"/>
        <v>3735.79</v>
      </c>
      <c r="P60" s="93"/>
      <c r="Q60" s="52">
        <f t="shared" si="1"/>
        <v>3735.79</v>
      </c>
    </row>
    <row r="61" spans="1:17" ht="12.75">
      <c r="A61" s="17" t="s">
        <v>359</v>
      </c>
      <c r="B61" s="60"/>
      <c r="C61" s="134">
        <v>250</v>
      </c>
      <c r="D61" s="99"/>
      <c r="E61" s="99"/>
      <c r="F61" s="89">
        <f t="shared" si="10"/>
        <v>250</v>
      </c>
      <c r="G61" s="169"/>
      <c r="H61" s="210"/>
      <c r="I61" s="230">
        <f t="shared" si="11"/>
        <v>250</v>
      </c>
      <c r="J61" s="169">
        <f>2049.9</f>
        <v>2049.9</v>
      </c>
      <c r="K61" s="249"/>
      <c r="L61" s="248">
        <f t="shared" si="12"/>
        <v>2299.9</v>
      </c>
      <c r="M61" s="292">
        <f>36.49</f>
        <v>36.49</v>
      </c>
      <c r="N61" s="249"/>
      <c r="O61" s="248">
        <f t="shared" si="13"/>
        <v>2336.39</v>
      </c>
      <c r="P61" s="93"/>
      <c r="Q61" s="52">
        <f t="shared" si="1"/>
        <v>2336.39</v>
      </c>
    </row>
    <row r="62" spans="1:17" ht="12.75">
      <c r="A62" s="17" t="s">
        <v>155</v>
      </c>
      <c r="B62" s="60"/>
      <c r="C62" s="134"/>
      <c r="D62" s="99">
        <f>34402</f>
        <v>34402</v>
      </c>
      <c r="E62" s="99"/>
      <c r="F62" s="89">
        <f t="shared" si="10"/>
        <v>34402</v>
      </c>
      <c r="G62" s="169"/>
      <c r="H62" s="210"/>
      <c r="I62" s="230">
        <f t="shared" si="11"/>
        <v>34402</v>
      </c>
      <c r="J62" s="169"/>
      <c r="K62" s="249"/>
      <c r="L62" s="248">
        <f t="shared" si="12"/>
        <v>34402</v>
      </c>
      <c r="M62" s="292"/>
      <c r="N62" s="249"/>
      <c r="O62" s="248">
        <f t="shared" si="13"/>
        <v>34402</v>
      </c>
      <c r="P62" s="93"/>
      <c r="Q62" s="52">
        <f t="shared" si="1"/>
        <v>34402</v>
      </c>
    </row>
    <row r="63" spans="1:19" ht="12.75">
      <c r="A63" s="14" t="s">
        <v>40</v>
      </c>
      <c r="B63" s="57"/>
      <c r="C63" s="133">
        <f>SUM(C65:C80)</f>
        <v>0</v>
      </c>
      <c r="D63" s="86">
        <f aca="true" t="shared" si="14" ref="D63:Q63">SUM(D65:D80)</f>
        <v>353486.87</v>
      </c>
      <c r="E63" s="86">
        <f t="shared" si="14"/>
        <v>0</v>
      </c>
      <c r="F63" s="94">
        <f t="shared" si="14"/>
        <v>353486.87</v>
      </c>
      <c r="G63" s="168">
        <f t="shared" si="14"/>
        <v>169916.27</v>
      </c>
      <c r="H63" s="209">
        <f t="shared" si="14"/>
        <v>0</v>
      </c>
      <c r="I63" s="229">
        <f t="shared" si="14"/>
        <v>523403.14</v>
      </c>
      <c r="J63" s="168">
        <f t="shared" si="14"/>
        <v>341104.93</v>
      </c>
      <c r="K63" s="246">
        <f t="shared" si="14"/>
        <v>0</v>
      </c>
      <c r="L63" s="247">
        <f t="shared" si="14"/>
        <v>864508.07</v>
      </c>
      <c r="M63" s="309">
        <f t="shared" si="14"/>
        <v>477098.46</v>
      </c>
      <c r="N63" s="246">
        <f t="shared" si="14"/>
        <v>0</v>
      </c>
      <c r="O63" s="247">
        <f t="shared" si="14"/>
        <v>1341606.53</v>
      </c>
      <c r="P63" s="86">
        <f t="shared" si="14"/>
        <v>0</v>
      </c>
      <c r="Q63" s="86">
        <f t="shared" si="14"/>
        <v>1268798.17</v>
      </c>
      <c r="S63" s="288"/>
    </row>
    <row r="64" spans="1:17" ht="12.75">
      <c r="A64" s="19" t="s">
        <v>26</v>
      </c>
      <c r="B64" s="62"/>
      <c r="C64" s="134"/>
      <c r="D64" s="99"/>
      <c r="E64" s="99"/>
      <c r="F64" s="89"/>
      <c r="G64" s="169"/>
      <c r="H64" s="210"/>
      <c r="I64" s="230"/>
      <c r="J64" s="169"/>
      <c r="K64" s="249"/>
      <c r="L64" s="248"/>
      <c r="M64" s="292"/>
      <c r="N64" s="249"/>
      <c r="O64" s="248"/>
      <c r="P64" s="93"/>
      <c r="Q64" s="52"/>
    </row>
    <row r="65" spans="1:17" ht="12.75" hidden="1">
      <c r="A65" s="17" t="s">
        <v>29</v>
      </c>
      <c r="B65" s="60"/>
      <c r="C65" s="134"/>
      <c r="D65" s="99"/>
      <c r="E65" s="99"/>
      <c r="F65" s="89">
        <f aca="true" t="shared" si="15" ref="F65:F80">C65+D65+E65</f>
        <v>0</v>
      </c>
      <c r="G65" s="169"/>
      <c r="H65" s="210"/>
      <c r="I65" s="230">
        <f>F65+G65+H65</f>
        <v>0</v>
      </c>
      <c r="J65" s="169"/>
      <c r="K65" s="249"/>
      <c r="L65" s="248">
        <f>I65+J65+K65</f>
        <v>0</v>
      </c>
      <c r="M65" s="292"/>
      <c r="N65" s="249"/>
      <c r="O65" s="248">
        <f>L65+M65+N65</f>
        <v>0</v>
      </c>
      <c r="P65" s="93"/>
      <c r="Q65" s="52">
        <f t="shared" si="1"/>
        <v>0</v>
      </c>
    </row>
    <row r="66" spans="1:17" ht="12.75">
      <c r="A66" s="21" t="s">
        <v>30</v>
      </c>
      <c r="B66" s="63"/>
      <c r="C66" s="134"/>
      <c r="D66" s="99"/>
      <c r="E66" s="99"/>
      <c r="F66" s="89">
        <f t="shared" si="15"/>
        <v>0</v>
      </c>
      <c r="G66" s="169"/>
      <c r="H66" s="210"/>
      <c r="I66" s="230">
        <f aca="true" t="shared" si="16" ref="I66:I80">F66+G66+H66</f>
        <v>0</v>
      </c>
      <c r="J66" s="169">
        <f>29741.91</f>
        <v>29741.91</v>
      </c>
      <c r="K66" s="249"/>
      <c r="L66" s="248">
        <f aca="true" t="shared" si="17" ref="L66:L80">I66+J66+K66</f>
        <v>29741.91</v>
      </c>
      <c r="M66" s="292">
        <f>25174.91</f>
        <v>25174.91</v>
      </c>
      <c r="N66" s="249"/>
      <c r="O66" s="248">
        <f aca="true" t="shared" si="18" ref="O66:O80">L66+M66+N66</f>
        <v>54916.82</v>
      </c>
      <c r="P66" s="93"/>
      <c r="Q66" s="52">
        <f t="shared" si="1"/>
        <v>54916.82</v>
      </c>
    </row>
    <row r="67" spans="1:17" ht="12.75" hidden="1">
      <c r="A67" s="21" t="s">
        <v>28</v>
      </c>
      <c r="B67" s="63"/>
      <c r="C67" s="134"/>
      <c r="D67" s="99"/>
      <c r="E67" s="99"/>
      <c r="F67" s="89">
        <f t="shared" si="15"/>
        <v>0</v>
      </c>
      <c r="G67" s="169"/>
      <c r="H67" s="210"/>
      <c r="I67" s="230">
        <f t="shared" si="16"/>
        <v>0</v>
      </c>
      <c r="J67" s="169"/>
      <c r="K67" s="249"/>
      <c r="L67" s="248">
        <f t="shared" si="17"/>
        <v>0</v>
      </c>
      <c r="M67" s="292"/>
      <c r="N67" s="249"/>
      <c r="O67" s="248">
        <f t="shared" si="18"/>
        <v>0</v>
      </c>
      <c r="P67" s="93"/>
      <c r="Q67" s="52">
        <f t="shared" si="1"/>
        <v>0</v>
      </c>
    </row>
    <row r="68" spans="1:17" ht="12.75">
      <c r="A68" s="21" t="s">
        <v>41</v>
      </c>
      <c r="B68" s="63"/>
      <c r="C68" s="134"/>
      <c r="D68" s="99"/>
      <c r="E68" s="99"/>
      <c r="F68" s="89">
        <f t="shared" si="15"/>
        <v>0</v>
      </c>
      <c r="G68" s="169">
        <f>41783.61</f>
        <v>41783.61</v>
      </c>
      <c r="H68" s="210"/>
      <c r="I68" s="230">
        <f t="shared" si="16"/>
        <v>41783.61</v>
      </c>
      <c r="J68" s="169">
        <f>1900.88</f>
        <v>1900.88</v>
      </c>
      <c r="K68" s="249"/>
      <c r="L68" s="248">
        <f t="shared" si="17"/>
        <v>43684.49</v>
      </c>
      <c r="M68" s="292">
        <f>3636.99</f>
        <v>3636.99</v>
      </c>
      <c r="N68" s="249"/>
      <c r="O68" s="248">
        <f t="shared" si="18"/>
        <v>47321.479999999996</v>
      </c>
      <c r="P68" s="93"/>
      <c r="Q68" s="52">
        <f t="shared" si="1"/>
        <v>47321.479999999996</v>
      </c>
    </row>
    <row r="69" spans="1:17" ht="12.75">
      <c r="A69" s="17" t="s">
        <v>31</v>
      </c>
      <c r="B69" s="60"/>
      <c r="C69" s="134"/>
      <c r="D69" s="99">
        <f>2568.52+19217.2</f>
        <v>21785.72</v>
      </c>
      <c r="E69" s="99"/>
      <c r="F69" s="89">
        <f t="shared" si="15"/>
        <v>21785.72</v>
      </c>
      <c r="G69" s="169">
        <f>24911.74+16108.22+67.54+2580.64+2469.43+6380.52+22697.25</f>
        <v>75215.34</v>
      </c>
      <c r="H69" s="210"/>
      <c r="I69" s="230">
        <f t="shared" si="16"/>
        <v>97001.06</v>
      </c>
      <c r="J69" s="169">
        <f>18592.58+12944.72+6853.12+2576.91+2269.26+7834.87+27224.83+21667.24</f>
        <v>99963.53000000001</v>
      </c>
      <c r="K69" s="249"/>
      <c r="L69" s="248">
        <f t="shared" si="17"/>
        <v>196964.59000000003</v>
      </c>
      <c r="M69" s="292">
        <f>2007.23+962.49+27295.02+4188.79+43383.6+28140.52+629.91+938.38+1251.77+35750.9+20879.53+48563.67+41135.96+12998.81+33225.89+9930.23+22589.67+40117.24+54960.25+4948.48</f>
        <v>433898.33999999997</v>
      </c>
      <c r="N69" s="249"/>
      <c r="O69" s="248">
        <f t="shared" si="18"/>
        <v>630862.9299999999</v>
      </c>
      <c r="P69" s="93"/>
      <c r="Q69" s="52">
        <f t="shared" si="1"/>
        <v>630862.9299999999</v>
      </c>
    </row>
    <row r="70" spans="1:17" ht="12.75">
      <c r="A70" s="17" t="s">
        <v>32</v>
      </c>
      <c r="B70" s="60"/>
      <c r="C70" s="134"/>
      <c r="D70" s="99"/>
      <c r="E70" s="99"/>
      <c r="F70" s="89">
        <f t="shared" si="15"/>
        <v>0</v>
      </c>
      <c r="G70" s="169">
        <f>93</f>
        <v>93</v>
      </c>
      <c r="H70" s="210"/>
      <c r="I70" s="230">
        <f t="shared" si="16"/>
        <v>93</v>
      </c>
      <c r="J70" s="169"/>
      <c r="K70" s="249"/>
      <c r="L70" s="248">
        <f t="shared" si="17"/>
        <v>93</v>
      </c>
      <c r="M70" s="292">
        <f>496+3011.96</f>
        <v>3507.96</v>
      </c>
      <c r="N70" s="249"/>
      <c r="O70" s="248">
        <f t="shared" si="18"/>
        <v>3600.96</v>
      </c>
      <c r="P70" s="93"/>
      <c r="Q70" s="52"/>
    </row>
    <row r="71" spans="1:17" ht="12.75">
      <c r="A71" s="17" t="s">
        <v>33</v>
      </c>
      <c r="B71" s="60"/>
      <c r="C71" s="134"/>
      <c r="D71" s="99"/>
      <c r="E71" s="99"/>
      <c r="F71" s="89"/>
      <c r="G71" s="169"/>
      <c r="H71" s="210"/>
      <c r="I71" s="230"/>
      <c r="J71" s="169"/>
      <c r="K71" s="249"/>
      <c r="L71" s="248">
        <f t="shared" si="17"/>
        <v>0</v>
      </c>
      <c r="M71" s="313">
        <f>171.82</f>
        <v>171.82</v>
      </c>
      <c r="N71" s="249"/>
      <c r="O71" s="248">
        <f t="shared" si="18"/>
        <v>171.82</v>
      </c>
      <c r="P71" s="93"/>
      <c r="Q71" s="52"/>
    </row>
    <row r="72" spans="1:17" ht="12.75" hidden="1">
      <c r="A72" s="17" t="s">
        <v>213</v>
      </c>
      <c r="B72" s="60"/>
      <c r="C72" s="134"/>
      <c r="D72" s="99"/>
      <c r="E72" s="99"/>
      <c r="F72" s="89">
        <f t="shared" si="15"/>
        <v>0</v>
      </c>
      <c r="G72" s="169"/>
      <c r="H72" s="210"/>
      <c r="I72" s="230">
        <f t="shared" si="16"/>
        <v>0</v>
      </c>
      <c r="J72" s="169"/>
      <c r="K72" s="249"/>
      <c r="L72" s="248">
        <f t="shared" si="17"/>
        <v>0</v>
      </c>
      <c r="M72" s="292"/>
      <c r="N72" s="249"/>
      <c r="O72" s="248">
        <f t="shared" si="18"/>
        <v>0</v>
      </c>
      <c r="P72" s="93"/>
      <c r="Q72" s="52"/>
    </row>
    <row r="73" spans="1:17" ht="12.75">
      <c r="A73" s="17" t="s">
        <v>150</v>
      </c>
      <c r="B73" s="60"/>
      <c r="C73" s="134"/>
      <c r="D73" s="99">
        <f>99736.84</f>
        <v>99736.84</v>
      </c>
      <c r="E73" s="99"/>
      <c r="F73" s="89">
        <f t="shared" si="15"/>
        <v>99736.84</v>
      </c>
      <c r="G73" s="169"/>
      <c r="H73" s="210"/>
      <c r="I73" s="230">
        <f t="shared" si="16"/>
        <v>99736.84</v>
      </c>
      <c r="J73" s="169">
        <f>2286.13</f>
        <v>2286.13</v>
      </c>
      <c r="K73" s="249"/>
      <c r="L73" s="248">
        <f t="shared" si="17"/>
        <v>102022.97</v>
      </c>
      <c r="M73" s="292"/>
      <c r="N73" s="249"/>
      <c r="O73" s="248">
        <f t="shared" si="18"/>
        <v>102022.97</v>
      </c>
      <c r="P73" s="93"/>
      <c r="Q73" s="52">
        <f t="shared" si="1"/>
        <v>102022.97</v>
      </c>
    </row>
    <row r="74" spans="1:17" ht="12.75" hidden="1">
      <c r="A74" s="17" t="s">
        <v>151</v>
      </c>
      <c r="B74" s="60"/>
      <c r="C74" s="134"/>
      <c r="D74" s="99"/>
      <c r="E74" s="99"/>
      <c r="F74" s="89">
        <f t="shared" si="15"/>
        <v>0</v>
      </c>
      <c r="G74" s="169"/>
      <c r="H74" s="210"/>
      <c r="I74" s="230">
        <f t="shared" si="16"/>
        <v>0</v>
      </c>
      <c r="J74" s="169"/>
      <c r="K74" s="249"/>
      <c r="L74" s="248">
        <f t="shared" si="17"/>
        <v>0</v>
      </c>
      <c r="M74" s="292"/>
      <c r="N74" s="249"/>
      <c r="O74" s="248">
        <f t="shared" si="18"/>
        <v>0</v>
      </c>
      <c r="P74" s="93"/>
      <c r="Q74" s="52">
        <f t="shared" si="1"/>
        <v>0</v>
      </c>
    </row>
    <row r="75" spans="1:17" ht="12.75">
      <c r="A75" s="17" t="s">
        <v>42</v>
      </c>
      <c r="B75" s="60"/>
      <c r="C75" s="134"/>
      <c r="D75" s="99">
        <f>183880</f>
        <v>183880</v>
      </c>
      <c r="E75" s="99"/>
      <c r="F75" s="89">
        <f t="shared" si="15"/>
        <v>183880</v>
      </c>
      <c r="G75" s="169">
        <f>8953.48</f>
        <v>8953.48</v>
      </c>
      <c r="H75" s="210"/>
      <c r="I75" s="230">
        <f t="shared" si="16"/>
        <v>192833.48</v>
      </c>
      <c r="J75" s="169">
        <f>149400</f>
        <v>149400</v>
      </c>
      <c r="K75" s="249"/>
      <c r="L75" s="248">
        <f t="shared" si="17"/>
        <v>342233.48</v>
      </c>
      <c r="M75" s="292"/>
      <c r="N75" s="249"/>
      <c r="O75" s="248">
        <f t="shared" si="18"/>
        <v>342233.48</v>
      </c>
      <c r="P75" s="93"/>
      <c r="Q75" s="52">
        <f t="shared" si="1"/>
        <v>342233.48</v>
      </c>
    </row>
    <row r="76" spans="1:17" ht="12.75" hidden="1">
      <c r="A76" s="17" t="s">
        <v>43</v>
      </c>
      <c r="B76" s="60"/>
      <c r="C76" s="134"/>
      <c r="D76" s="99"/>
      <c r="E76" s="99"/>
      <c r="F76" s="89">
        <f t="shared" si="15"/>
        <v>0</v>
      </c>
      <c r="G76" s="169"/>
      <c r="H76" s="210"/>
      <c r="I76" s="230">
        <f t="shared" si="16"/>
        <v>0</v>
      </c>
      <c r="J76" s="169"/>
      <c r="K76" s="249"/>
      <c r="L76" s="248">
        <f t="shared" si="17"/>
        <v>0</v>
      </c>
      <c r="M76" s="292"/>
      <c r="N76" s="249"/>
      <c r="O76" s="248">
        <f t="shared" si="18"/>
        <v>0</v>
      </c>
      <c r="P76" s="93"/>
      <c r="Q76" s="52">
        <f t="shared" si="1"/>
        <v>0</v>
      </c>
    </row>
    <row r="77" spans="1:17" ht="12.75" hidden="1">
      <c r="A77" s="17" t="s">
        <v>44</v>
      </c>
      <c r="B77" s="60"/>
      <c r="C77" s="134"/>
      <c r="D77" s="99"/>
      <c r="E77" s="99"/>
      <c r="F77" s="89">
        <f t="shared" si="15"/>
        <v>0</v>
      </c>
      <c r="G77" s="169"/>
      <c r="H77" s="210"/>
      <c r="I77" s="230">
        <f t="shared" si="16"/>
        <v>0</v>
      </c>
      <c r="J77" s="169"/>
      <c r="K77" s="249"/>
      <c r="L77" s="248">
        <f t="shared" si="17"/>
        <v>0</v>
      </c>
      <c r="M77" s="292"/>
      <c r="N77" s="249"/>
      <c r="O77" s="248">
        <f t="shared" si="18"/>
        <v>0</v>
      </c>
      <c r="P77" s="93"/>
      <c r="Q77" s="52">
        <f t="shared" si="1"/>
        <v>0</v>
      </c>
    </row>
    <row r="78" spans="1:17" ht="12.75">
      <c r="A78" s="17" t="s">
        <v>35</v>
      </c>
      <c r="B78" s="60"/>
      <c r="C78" s="134"/>
      <c r="D78" s="99">
        <f>22919.57</f>
        <v>22919.57</v>
      </c>
      <c r="E78" s="99"/>
      <c r="F78" s="89">
        <f t="shared" si="15"/>
        <v>22919.57</v>
      </c>
      <c r="G78" s="169"/>
      <c r="H78" s="210"/>
      <c r="I78" s="230">
        <f t="shared" si="16"/>
        <v>22919.57</v>
      </c>
      <c r="J78" s="169">
        <f>57812.48</f>
        <v>57812.48</v>
      </c>
      <c r="K78" s="249"/>
      <c r="L78" s="248">
        <f t="shared" si="17"/>
        <v>80732.05</v>
      </c>
      <c r="M78" s="292">
        <f>10708.44</f>
        <v>10708.44</v>
      </c>
      <c r="N78" s="249"/>
      <c r="O78" s="248">
        <f t="shared" si="18"/>
        <v>91440.49</v>
      </c>
      <c r="P78" s="294"/>
      <c r="Q78" s="52">
        <f t="shared" si="1"/>
        <v>91440.49</v>
      </c>
    </row>
    <row r="79" spans="1:17" ht="12.75">
      <c r="A79" s="17" t="s">
        <v>39</v>
      </c>
      <c r="B79" s="60"/>
      <c r="C79" s="134"/>
      <c r="D79" s="99">
        <f>25164.74</f>
        <v>25164.74</v>
      </c>
      <c r="E79" s="99"/>
      <c r="F79" s="89">
        <f t="shared" si="15"/>
        <v>25164.74</v>
      </c>
      <c r="G79" s="169">
        <f>43870.84</f>
        <v>43870.84</v>
      </c>
      <c r="H79" s="210"/>
      <c r="I79" s="230">
        <f t="shared" si="16"/>
        <v>69035.58</v>
      </c>
      <c r="J79" s="169"/>
      <c r="K79" s="249"/>
      <c r="L79" s="248">
        <f t="shared" si="17"/>
        <v>69035.58</v>
      </c>
      <c r="M79" s="292"/>
      <c r="N79" s="249"/>
      <c r="O79" s="248">
        <f t="shared" si="18"/>
        <v>69035.58</v>
      </c>
      <c r="P79" s="294"/>
      <c r="Q79" s="52"/>
    </row>
    <row r="80" spans="1:17" ht="12.75" hidden="1">
      <c r="A80" s="17" t="s">
        <v>155</v>
      </c>
      <c r="B80" s="60"/>
      <c r="C80" s="134"/>
      <c r="D80" s="99"/>
      <c r="E80" s="99"/>
      <c r="F80" s="89">
        <f t="shared" si="15"/>
        <v>0</v>
      </c>
      <c r="G80" s="169"/>
      <c r="H80" s="210"/>
      <c r="I80" s="230">
        <f t="shared" si="16"/>
        <v>0</v>
      </c>
      <c r="J80" s="169"/>
      <c r="K80" s="249"/>
      <c r="L80" s="248">
        <f t="shared" si="17"/>
        <v>0</v>
      </c>
      <c r="M80" s="292"/>
      <c r="N80" s="249"/>
      <c r="O80" s="248">
        <f t="shared" si="18"/>
        <v>0</v>
      </c>
      <c r="P80" s="93"/>
      <c r="Q80" s="52">
        <f aca="true" t="shared" si="19" ref="Q80:Q136">O80+P80</f>
        <v>0</v>
      </c>
    </row>
    <row r="81" spans="1:17" ht="15.75" thickBot="1">
      <c r="A81" s="22" t="s">
        <v>45</v>
      </c>
      <c r="B81" s="64"/>
      <c r="C81" s="194">
        <f>C11+C17+C41+C63+C33</f>
        <v>5004513</v>
      </c>
      <c r="D81" s="101">
        <f>D11+D17+D41+D63+D33</f>
        <v>9728752.120000001</v>
      </c>
      <c r="E81" s="101">
        <f>E11+E17+E41+E63+E33</f>
        <v>0</v>
      </c>
      <c r="F81" s="119">
        <f>F11+F17+F41+F63+F33</f>
        <v>14733265.12</v>
      </c>
      <c r="G81" s="170">
        <f aca="true" t="shared" si="20" ref="G81:Q81">G11+G17+G41+G63+G33</f>
        <v>392302.08999999997</v>
      </c>
      <c r="H81" s="213">
        <f t="shared" si="20"/>
        <v>89596.20999999999</v>
      </c>
      <c r="I81" s="232">
        <f t="shared" si="20"/>
        <v>15215163.420000002</v>
      </c>
      <c r="J81" s="170">
        <f t="shared" si="20"/>
        <v>728413.95</v>
      </c>
      <c r="K81" s="252">
        <f t="shared" si="20"/>
        <v>0</v>
      </c>
      <c r="L81" s="253">
        <f t="shared" si="20"/>
        <v>15943577.370000005</v>
      </c>
      <c r="M81" s="314">
        <f t="shared" si="20"/>
        <v>836252.0599999999</v>
      </c>
      <c r="N81" s="252">
        <f t="shared" si="20"/>
        <v>0</v>
      </c>
      <c r="O81" s="253">
        <f t="shared" si="20"/>
        <v>16779829.43</v>
      </c>
      <c r="P81" s="111">
        <f t="shared" si="20"/>
        <v>0</v>
      </c>
      <c r="Q81" s="111">
        <f t="shared" si="20"/>
        <v>12100395.769999998</v>
      </c>
    </row>
    <row r="82" spans="1:17" ht="15" customHeight="1">
      <c r="A82" s="14" t="s">
        <v>46</v>
      </c>
      <c r="B82" s="57"/>
      <c r="C82" s="133"/>
      <c r="D82" s="99"/>
      <c r="E82" s="99"/>
      <c r="F82" s="89"/>
      <c r="G82" s="169"/>
      <c r="H82" s="210"/>
      <c r="I82" s="230"/>
      <c r="J82" s="169"/>
      <c r="K82" s="249"/>
      <c r="L82" s="248"/>
      <c r="M82" s="292"/>
      <c r="N82" s="249"/>
      <c r="O82" s="248"/>
      <c r="P82" s="93"/>
      <c r="Q82" s="52"/>
    </row>
    <row r="83" spans="1:17" ht="12.75">
      <c r="A83" s="14" t="s">
        <v>61</v>
      </c>
      <c r="B83" s="69"/>
      <c r="C83" s="133">
        <f>C84+C93</f>
        <v>103319</v>
      </c>
      <c r="D83" s="86">
        <f>D84+D93</f>
        <v>65537.51000000001</v>
      </c>
      <c r="E83" s="86">
        <f>E84+E93</f>
        <v>0</v>
      </c>
      <c r="F83" s="94">
        <f>F84+F93</f>
        <v>168856.51</v>
      </c>
      <c r="G83" s="168">
        <f aca="true" t="shared" si="21" ref="G83:Q83">G84+G93</f>
        <v>24187.95</v>
      </c>
      <c r="H83" s="209">
        <f t="shared" si="21"/>
        <v>4042.8200000000006</v>
      </c>
      <c r="I83" s="229">
        <f t="shared" si="21"/>
        <v>197087.27999999997</v>
      </c>
      <c r="J83" s="168">
        <f t="shared" si="21"/>
        <v>1651.2399999999998</v>
      </c>
      <c r="K83" s="246">
        <f t="shared" si="21"/>
        <v>0</v>
      </c>
      <c r="L83" s="247">
        <f t="shared" si="21"/>
        <v>198738.52</v>
      </c>
      <c r="M83" s="309">
        <f>M84+M93</f>
        <v>609.26</v>
      </c>
      <c r="N83" s="246">
        <f>N84+N93</f>
        <v>0</v>
      </c>
      <c r="O83" s="247">
        <f>O84+O93</f>
        <v>199347.77999999997</v>
      </c>
      <c r="P83" s="106">
        <f t="shared" si="21"/>
        <v>0</v>
      </c>
      <c r="Q83" s="106">
        <f t="shared" si="21"/>
        <v>98529.78000000001</v>
      </c>
    </row>
    <row r="84" spans="1:17" ht="12.75">
      <c r="A84" s="23" t="s">
        <v>48</v>
      </c>
      <c r="B84" s="69"/>
      <c r="C84" s="137">
        <f>SUM(C86:C91)</f>
        <v>71319</v>
      </c>
      <c r="D84" s="102">
        <f>SUM(D86:D91)</f>
        <v>5253.35</v>
      </c>
      <c r="E84" s="102">
        <f>SUM(E86:E91)</f>
        <v>0</v>
      </c>
      <c r="F84" s="120">
        <f>SUM(F86:F91)</f>
        <v>76572.34999999999</v>
      </c>
      <c r="G84" s="171">
        <f aca="true" t="shared" si="22" ref="G84:Q84">SUM(G86:G91)</f>
        <v>14187.95</v>
      </c>
      <c r="H84" s="214">
        <f t="shared" si="22"/>
        <v>8389.61</v>
      </c>
      <c r="I84" s="233">
        <f t="shared" si="22"/>
        <v>99149.90999999999</v>
      </c>
      <c r="J84" s="171">
        <f t="shared" si="22"/>
        <v>1240.8099999999997</v>
      </c>
      <c r="K84" s="254">
        <f t="shared" si="22"/>
        <v>0</v>
      </c>
      <c r="L84" s="255">
        <f t="shared" si="22"/>
        <v>100390.72</v>
      </c>
      <c r="M84" s="315">
        <f>SUM(M86:M91)</f>
        <v>516.3299999999999</v>
      </c>
      <c r="N84" s="254">
        <f>SUM(N86:N91)</f>
        <v>0</v>
      </c>
      <c r="O84" s="255">
        <f>SUM(O86:O91)</f>
        <v>100907.04999999999</v>
      </c>
      <c r="P84" s="112">
        <f t="shared" si="22"/>
        <v>0</v>
      </c>
      <c r="Q84" s="112">
        <f t="shared" si="22"/>
        <v>26089.050000000003</v>
      </c>
    </row>
    <row r="85" spans="1:17" ht="12.75">
      <c r="A85" s="19" t="s">
        <v>26</v>
      </c>
      <c r="B85" s="65"/>
      <c r="C85" s="134"/>
      <c r="D85" s="99"/>
      <c r="E85" s="99"/>
      <c r="F85" s="94"/>
      <c r="G85" s="169"/>
      <c r="H85" s="210"/>
      <c r="I85" s="229"/>
      <c r="J85" s="169"/>
      <c r="K85" s="249"/>
      <c r="L85" s="247"/>
      <c r="M85" s="292"/>
      <c r="N85" s="249"/>
      <c r="O85" s="247"/>
      <c r="P85" s="93"/>
      <c r="Q85" s="52"/>
    </row>
    <row r="86" spans="1:17" ht="12.75">
      <c r="A86" s="17" t="s">
        <v>50</v>
      </c>
      <c r="B86" s="65"/>
      <c r="C86" s="134">
        <v>9931</v>
      </c>
      <c r="D86" s="99"/>
      <c r="E86" s="99"/>
      <c r="F86" s="89">
        <f aca="true" t="shared" si="23" ref="F86:F92">C86+D86+E86</f>
        <v>9931</v>
      </c>
      <c r="G86" s="169"/>
      <c r="H86" s="210">
        <f>-2383.75</f>
        <v>-2383.75</v>
      </c>
      <c r="I86" s="230">
        <f aca="true" t="shared" si="24" ref="I86:I92">F86+G86+H86</f>
        <v>7547.25</v>
      </c>
      <c r="J86" s="169">
        <f>453.75-500</f>
        <v>-46.25</v>
      </c>
      <c r="K86" s="249"/>
      <c r="L86" s="248">
        <f aca="true" t="shared" si="25" ref="L86:L92">I86+J86+K86</f>
        <v>7501</v>
      </c>
      <c r="M86" s="292"/>
      <c r="N86" s="249"/>
      <c r="O86" s="248">
        <f aca="true" t="shared" si="26" ref="O86:O92">L86+M86+N86</f>
        <v>7501</v>
      </c>
      <c r="P86" s="93"/>
      <c r="Q86" s="52">
        <f t="shared" si="19"/>
        <v>7501</v>
      </c>
    </row>
    <row r="87" spans="1:17" ht="12.75" hidden="1">
      <c r="A87" s="17" t="s">
        <v>63</v>
      </c>
      <c r="B87" s="65"/>
      <c r="C87" s="134"/>
      <c r="D87" s="99"/>
      <c r="E87" s="99"/>
      <c r="F87" s="89">
        <f t="shared" si="23"/>
        <v>0</v>
      </c>
      <c r="G87" s="169"/>
      <c r="H87" s="210"/>
      <c r="I87" s="230">
        <f t="shared" si="24"/>
        <v>0</v>
      </c>
      <c r="J87" s="169"/>
      <c r="K87" s="249"/>
      <c r="L87" s="248">
        <f t="shared" si="25"/>
        <v>0</v>
      </c>
      <c r="M87" s="292"/>
      <c r="N87" s="249"/>
      <c r="O87" s="248">
        <f t="shared" si="26"/>
        <v>0</v>
      </c>
      <c r="P87" s="93"/>
      <c r="Q87" s="52">
        <f t="shared" si="19"/>
        <v>0</v>
      </c>
    </row>
    <row r="88" spans="1:17" ht="12.75">
      <c r="A88" s="21" t="s">
        <v>203</v>
      </c>
      <c r="B88" s="65"/>
      <c r="C88" s="134">
        <v>61388</v>
      </c>
      <c r="D88" s="99"/>
      <c r="E88" s="99"/>
      <c r="F88" s="109">
        <f t="shared" si="23"/>
        <v>61388</v>
      </c>
      <c r="G88" s="169">
        <f>13430</f>
        <v>13430</v>
      </c>
      <c r="H88" s="210"/>
      <c r="I88" s="230">
        <f t="shared" si="24"/>
        <v>74818</v>
      </c>
      <c r="J88" s="169"/>
      <c r="K88" s="249"/>
      <c r="L88" s="248">
        <f t="shared" si="25"/>
        <v>74818</v>
      </c>
      <c r="M88" s="292"/>
      <c r="N88" s="249"/>
      <c r="O88" s="248">
        <f t="shared" si="26"/>
        <v>74818</v>
      </c>
      <c r="P88" s="93"/>
      <c r="Q88" s="52"/>
    </row>
    <row r="89" spans="1:17" ht="12.75">
      <c r="A89" s="17" t="s">
        <v>64</v>
      </c>
      <c r="B89" s="65">
        <v>98278</v>
      </c>
      <c r="C89" s="134"/>
      <c r="D89" s="99">
        <f>65.31+3.5+59.04+89.73+48+59.26+24+22.5+24</f>
        <v>395.34</v>
      </c>
      <c r="E89" s="99"/>
      <c r="F89" s="89">
        <f t="shared" si="23"/>
        <v>395.34</v>
      </c>
      <c r="G89" s="169">
        <f>45.68+40.61+12+32.99+53.3+6+19+12+3.5+14+23.59+126.55+48+39.36+39+12+20.44+44.11+23.01+30+6+68+38.81</f>
        <v>757.95</v>
      </c>
      <c r="H89" s="210"/>
      <c r="I89" s="230">
        <f t="shared" si="24"/>
        <v>1153.29</v>
      </c>
      <c r="J89" s="169">
        <f>5+15+51.51+3.5+15+15+24+45+58.97+36.07+18.28+13+16+113.73+24+391.7+15+9.5+72+60.88+47+71.06+40.61+9.18+23.59+56.48+15+15+6</f>
        <v>1287.0599999999997</v>
      </c>
      <c r="K89" s="249"/>
      <c r="L89" s="248">
        <f t="shared" si="25"/>
        <v>2440.3499999999995</v>
      </c>
      <c r="M89" s="292">
        <f>26.65+218.18+20.54+17.5+9.5+15.4+40.61+33.45+15.5+52.5+39+12+12+3.5</f>
        <v>516.3299999999999</v>
      </c>
      <c r="N89" s="249"/>
      <c r="O89" s="248">
        <f t="shared" si="26"/>
        <v>2956.6799999999994</v>
      </c>
      <c r="P89" s="93"/>
      <c r="Q89" s="52">
        <f t="shared" si="19"/>
        <v>2956.6799999999994</v>
      </c>
    </row>
    <row r="90" spans="1:17" ht="12.75" hidden="1">
      <c r="A90" s="17" t="s">
        <v>75</v>
      </c>
      <c r="B90" s="65"/>
      <c r="C90" s="134"/>
      <c r="D90" s="99"/>
      <c r="E90" s="99"/>
      <c r="F90" s="89">
        <f t="shared" si="23"/>
        <v>0</v>
      </c>
      <c r="G90" s="169"/>
      <c r="H90" s="210"/>
      <c r="I90" s="230">
        <f t="shared" si="24"/>
        <v>0</v>
      </c>
      <c r="J90" s="169"/>
      <c r="K90" s="249"/>
      <c r="L90" s="248">
        <f t="shared" si="25"/>
        <v>0</v>
      </c>
      <c r="M90" s="292"/>
      <c r="N90" s="249"/>
      <c r="O90" s="248">
        <f t="shared" si="26"/>
        <v>0</v>
      </c>
      <c r="P90" s="93"/>
      <c r="Q90" s="52">
        <f t="shared" si="19"/>
        <v>0</v>
      </c>
    </row>
    <row r="91" spans="1:17" ht="13.5" thickBot="1">
      <c r="A91" s="329" t="s">
        <v>65</v>
      </c>
      <c r="B91" s="330"/>
      <c r="C91" s="331"/>
      <c r="D91" s="332">
        <f>3124.33+1733.68</f>
        <v>4858.01</v>
      </c>
      <c r="E91" s="332"/>
      <c r="F91" s="333">
        <f t="shared" si="23"/>
        <v>4858.01</v>
      </c>
      <c r="G91" s="334"/>
      <c r="H91" s="335">
        <f>10773.36</f>
        <v>10773.36</v>
      </c>
      <c r="I91" s="336">
        <f t="shared" si="24"/>
        <v>15631.37</v>
      </c>
      <c r="J91" s="334"/>
      <c r="K91" s="337"/>
      <c r="L91" s="338">
        <f t="shared" si="25"/>
        <v>15631.37</v>
      </c>
      <c r="M91" s="339"/>
      <c r="N91" s="337"/>
      <c r="O91" s="338">
        <f t="shared" si="26"/>
        <v>15631.37</v>
      </c>
      <c r="P91" s="93"/>
      <c r="Q91" s="52">
        <f t="shared" si="19"/>
        <v>15631.37</v>
      </c>
    </row>
    <row r="92" spans="1:17" ht="12.75" hidden="1">
      <c r="A92" s="16" t="s">
        <v>66</v>
      </c>
      <c r="B92" s="65"/>
      <c r="C92" s="134"/>
      <c r="D92" s="99">
        <f>3124.33+1733.68</f>
        <v>4858.01</v>
      </c>
      <c r="E92" s="99"/>
      <c r="F92" s="89">
        <f t="shared" si="23"/>
        <v>4858.01</v>
      </c>
      <c r="G92" s="169"/>
      <c r="H92" s="210"/>
      <c r="I92" s="230">
        <f t="shared" si="24"/>
        <v>4858.01</v>
      </c>
      <c r="J92" s="169"/>
      <c r="K92" s="249"/>
      <c r="L92" s="248">
        <f t="shared" si="25"/>
        <v>4858.01</v>
      </c>
      <c r="M92" s="292"/>
      <c r="N92" s="249"/>
      <c r="O92" s="248">
        <f t="shared" si="26"/>
        <v>4858.01</v>
      </c>
      <c r="P92" s="93"/>
      <c r="Q92" s="52">
        <f t="shared" si="19"/>
        <v>4858.01</v>
      </c>
    </row>
    <row r="93" spans="1:17" ht="12.75">
      <c r="A93" s="24" t="s">
        <v>52</v>
      </c>
      <c r="B93" s="69"/>
      <c r="C93" s="138">
        <f>SUM(C95:C101)</f>
        <v>32000</v>
      </c>
      <c r="D93" s="103">
        <f aca="true" t="shared" si="27" ref="D93:Q93">SUM(D95:D101)</f>
        <v>60284.16</v>
      </c>
      <c r="E93" s="103">
        <f t="shared" si="27"/>
        <v>0</v>
      </c>
      <c r="F93" s="121">
        <f t="shared" si="27"/>
        <v>92284.16</v>
      </c>
      <c r="G93" s="172">
        <f t="shared" si="27"/>
        <v>10000</v>
      </c>
      <c r="H93" s="215">
        <f t="shared" si="27"/>
        <v>-4346.79</v>
      </c>
      <c r="I93" s="234">
        <f t="shared" si="27"/>
        <v>97937.37</v>
      </c>
      <c r="J93" s="172">
        <f t="shared" si="27"/>
        <v>410.43</v>
      </c>
      <c r="K93" s="256">
        <f t="shared" si="27"/>
        <v>0</v>
      </c>
      <c r="L93" s="257">
        <f t="shared" si="27"/>
        <v>98347.79999999999</v>
      </c>
      <c r="M93" s="316">
        <f t="shared" si="27"/>
        <v>92.93</v>
      </c>
      <c r="N93" s="256">
        <f t="shared" si="27"/>
        <v>0</v>
      </c>
      <c r="O93" s="257">
        <f t="shared" si="27"/>
        <v>98440.73</v>
      </c>
      <c r="P93" s="113">
        <f t="shared" si="27"/>
        <v>0</v>
      </c>
      <c r="Q93" s="113">
        <f t="shared" si="27"/>
        <v>72440.73000000001</v>
      </c>
    </row>
    <row r="94" spans="1:17" ht="12.75">
      <c r="A94" s="15" t="s">
        <v>26</v>
      </c>
      <c r="B94" s="65"/>
      <c r="C94" s="136"/>
      <c r="D94" s="100"/>
      <c r="E94" s="100"/>
      <c r="F94" s="87"/>
      <c r="G94" s="173"/>
      <c r="H94" s="212"/>
      <c r="I94" s="231"/>
      <c r="J94" s="173"/>
      <c r="K94" s="251"/>
      <c r="L94" s="158"/>
      <c r="M94" s="312"/>
      <c r="N94" s="251"/>
      <c r="O94" s="158"/>
      <c r="P94" s="93"/>
      <c r="Q94" s="52"/>
    </row>
    <row r="95" spans="1:17" ht="12.75">
      <c r="A95" s="66" t="s">
        <v>292</v>
      </c>
      <c r="B95" s="65"/>
      <c r="C95" s="134"/>
      <c r="D95" s="99">
        <f>24251.16+5500</f>
        <v>29751.16</v>
      </c>
      <c r="E95" s="99"/>
      <c r="F95" s="89">
        <f aca="true" t="shared" si="28" ref="F95:F102">C95+D95+E95</f>
        <v>29751.16</v>
      </c>
      <c r="G95" s="169">
        <f>10000</f>
        <v>10000</v>
      </c>
      <c r="H95" s="210">
        <f>4488.62</f>
        <v>4488.62</v>
      </c>
      <c r="I95" s="230">
        <f aca="true" t="shared" si="29" ref="I95:I102">F95+G95+H95</f>
        <v>44239.780000000006</v>
      </c>
      <c r="J95" s="169"/>
      <c r="K95" s="249"/>
      <c r="L95" s="248">
        <f>I95+J95+K95</f>
        <v>44239.780000000006</v>
      </c>
      <c r="M95" s="292"/>
      <c r="N95" s="249"/>
      <c r="O95" s="248">
        <f aca="true" t="shared" si="30" ref="O95:O102">L95+M95+N95</f>
        <v>44239.780000000006</v>
      </c>
      <c r="P95" s="93"/>
      <c r="Q95" s="52">
        <f t="shared" si="19"/>
        <v>44239.780000000006</v>
      </c>
    </row>
    <row r="96" spans="1:17" ht="12.75">
      <c r="A96" s="21" t="s">
        <v>239</v>
      </c>
      <c r="B96" s="65"/>
      <c r="C96" s="134"/>
      <c r="D96" s="99">
        <f>20000+4000</f>
        <v>24000</v>
      </c>
      <c r="E96" s="99"/>
      <c r="F96" s="89">
        <f t="shared" si="28"/>
        <v>24000</v>
      </c>
      <c r="G96" s="169"/>
      <c r="H96" s="210"/>
      <c r="I96" s="230">
        <f t="shared" si="29"/>
        <v>24000</v>
      </c>
      <c r="J96" s="169"/>
      <c r="K96" s="249"/>
      <c r="L96" s="248">
        <f aca="true" t="shared" si="31" ref="L96:L101">I96+J96+K96</f>
        <v>24000</v>
      </c>
      <c r="M96" s="292"/>
      <c r="N96" s="249"/>
      <c r="O96" s="248">
        <f t="shared" si="30"/>
        <v>24000</v>
      </c>
      <c r="P96" s="93"/>
      <c r="Q96" s="52"/>
    </row>
    <row r="97" spans="1:17" ht="12.75" hidden="1">
      <c r="A97" s="16" t="s">
        <v>53</v>
      </c>
      <c r="B97" s="65"/>
      <c r="C97" s="134"/>
      <c r="D97" s="99"/>
      <c r="E97" s="99"/>
      <c r="F97" s="89">
        <f t="shared" si="28"/>
        <v>0</v>
      </c>
      <c r="G97" s="169"/>
      <c r="H97" s="210"/>
      <c r="I97" s="230">
        <f t="shared" si="29"/>
        <v>0</v>
      </c>
      <c r="J97" s="169"/>
      <c r="K97" s="249"/>
      <c r="L97" s="248">
        <f t="shared" si="31"/>
        <v>0</v>
      </c>
      <c r="M97" s="292"/>
      <c r="N97" s="249"/>
      <c r="O97" s="248">
        <f t="shared" si="30"/>
        <v>0</v>
      </c>
      <c r="P97" s="93"/>
      <c r="Q97" s="52"/>
    </row>
    <row r="98" spans="1:17" ht="12.75" hidden="1">
      <c r="A98" s="17" t="s">
        <v>201</v>
      </c>
      <c r="B98" s="65"/>
      <c r="C98" s="134"/>
      <c r="D98" s="99"/>
      <c r="E98" s="99"/>
      <c r="F98" s="89">
        <f t="shared" si="28"/>
        <v>0</v>
      </c>
      <c r="G98" s="169"/>
      <c r="H98" s="210"/>
      <c r="I98" s="230">
        <f t="shared" si="29"/>
        <v>0</v>
      </c>
      <c r="J98" s="169"/>
      <c r="K98" s="249"/>
      <c r="L98" s="248">
        <f t="shared" si="31"/>
        <v>0</v>
      </c>
      <c r="M98" s="292"/>
      <c r="N98" s="249"/>
      <c r="O98" s="248">
        <f t="shared" si="30"/>
        <v>0</v>
      </c>
      <c r="P98" s="93"/>
      <c r="Q98" s="52"/>
    </row>
    <row r="99" spans="1:17" ht="12.75">
      <c r="A99" s="17" t="s">
        <v>75</v>
      </c>
      <c r="B99" s="65"/>
      <c r="C99" s="134"/>
      <c r="D99" s="99"/>
      <c r="E99" s="99"/>
      <c r="F99" s="89">
        <f t="shared" si="28"/>
        <v>0</v>
      </c>
      <c r="G99" s="169"/>
      <c r="H99" s="210"/>
      <c r="I99" s="230">
        <f t="shared" si="29"/>
        <v>0</v>
      </c>
      <c r="J99" s="169">
        <f>410.43</f>
        <v>410.43</v>
      </c>
      <c r="K99" s="249"/>
      <c r="L99" s="248">
        <f t="shared" si="31"/>
        <v>410.43</v>
      </c>
      <c r="M99" s="292">
        <f>92.93</f>
        <v>92.93</v>
      </c>
      <c r="N99" s="249"/>
      <c r="O99" s="248">
        <f t="shared" si="30"/>
        <v>503.36</v>
      </c>
      <c r="P99" s="93"/>
      <c r="Q99" s="52">
        <f t="shared" si="19"/>
        <v>503.36</v>
      </c>
    </row>
    <row r="100" spans="1:17" ht="12.75">
      <c r="A100" s="17" t="s">
        <v>245</v>
      </c>
      <c r="B100" s="65"/>
      <c r="C100" s="134">
        <v>2000</v>
      </c>
      <c r="D100" s="99"/>
      <c r="E100" s="99"/>
      <c r="F100" s="89">
        <f t="shared" si="28"/>
        <v>2000</v>
      </c>
      <c r="G100" s="169"/>
      <c r="H100" s="210"/>
      <c r="I100" s="230">
        <f t="shared" si="29"/>
        <v>2000</v>
      </c>
      <c r="J100" s="169"/>
      <c r="K100" s="249"/>
      <c r="L100" s="248">
        <f t="shared" si="31"/>
        <v>2000</v>
      </c>
      <c r="M100" s="292"/>
      <c r="N100" s="249"/>
      <c r="O100" s="248">
        <f t="shared" si="30"/>
        <v>2000</v>
      </c>
      <c r="P100" s="93"/>
      <c r="Q100" s="52"/>
    </row>
    <row r="101" spans="1:17" ht="12.75">
      <c r="A101" s="25" t="s">
        <v>65</v>
      </c>
      <c r="B101" s="68"/>
      <c r="C101" s="195">
        <v>30000</v>
      </c>
      <c r="D101" s="148">
        <f>-3124.33+9657.33</f>
        <v>6533</v>
      </c>
      <c r="E101" s="148"/>
      <c r="F101" s="159">
        <f t="shared" si="28"/>
        <v>36533</v>
      </c>
      <c r="G101" s="174"/>
      <c r="H101" s="216">
        <f>1937.95-10773.36</f>
        <v>-8835.41</v>
      </c>
      <c r="I101" s="235">
        <f t="shared" si="29"/>
        <v>27697.59</v>
      </c>
      <c r="J101" s="174"/>
      <c r="K101" s="258"/>
      <c r="L101" s="259">
        <f t="shared" si="31"/>
        <v>27697.59</v>
      </c>
      <c r="M101" s="302"/>
      <c r="N101" s="258"/>
      <c r="O101" s="259">
        <f t="shared" si="30"/>
        <v>27697.59</v>
      </c>
      <c r="P101" s="93"/>
      <c r="Q101" s="52">
        <f t="shared" si="19"/>
        <v>27697.59</v>
      </c>
    </row>
    <row r="102" spans="1:17" ht="12.75" hidden="1">
      <c r="A102" s="25" t="s">
        <v>68</v>
      </c>
      <c r="B102" s="68"/>
      <c r="C102" s="195"/>
      <c r="D102" s="148"/>
      <c r="E102" s="148"/>
      <c r="F102" s="159">
        <f t="shared" si="28"/>
        <v>0</v>
      </c>
      <c r="G102" s="174"/>
      <c r="H102" s="216"/>
      <c r="I102" s="235">
        <f t="shared" si="29"/>
        <v>0</v>
      </c>
      <c r="J102" s="174"/>
      <c r="K102" s="258">
        <f>25145</f>
        <v>25145</v>
      </c>
      <c r="L102" s="259">
        <f>I102+J102+K102</f>
        <v>25145</v>
      </c>
      <c r="M102" s="302"/>
      <c r="N102" s="258"/>
      <c r="O102" s="259">
        <f t="shared" si="30"/>
        <v>25145</v>
      </c>
      <c r="P102" s="295"/>
      <c r="Q102" s="54">
        <f t="shared" si="19"/>
        <v>25145</v>
      </c>
    </row>
    <row r="103" spans="1:17" ht="12.75">
      <c r="A103" s="18" t="s">
        <v>69</v>
      </c>
      <c r="B103" s="69"/>
      <c r="C103" s="136">
        <f aca="true" t="shared" si="32" ref="C103:Q103">C104+C111</f>
        <v>17757</v>
      </c>
      <c r="D103" s="100">
        <f t="shared" si="32"/>
        <v>0</v>
      </c>
      <c r="E103" s="100">
        <f t="shared" si="32"/>
        <v>0</v>
      </c>
      <c r="F103" s="87">
        <f t="shared" si="32"/>
        <v>17757</v>
      </c>
      <c r="G103" s="173">
        <f t="shared" si="32"/>
        <v>2996</v>
      </c>
      <c r="H103" s="212">
        <f t="shared" si="32"/>
        <v>-1500</v>
      </c>
      <c r="I103" s="231">
        <f t="shared" si="32"/>
        <v>19253</v>
      </c>
      <c r="J103" s="173">
        <f t="shared" si="32"/>
        <v>-453.75</v>
      </c>
      <c r="K103" s="251">
        <f t="shared" si="32"/>
        <v>0</v>
      </c>
      <c r="L103" s="158">
        <f t="shared" si="32"/>
        <v>18799.25</v>
      </c>
      <c r="M103" s="312">
        <f>M104+M111</f>
        <v>0</v>
      </c>
      <c r="N103" s="251">
        <f>N104+N111</f>
        <v>0</v>
      </c>
      <c r="O103" s="158">
        <f>O104+O111</f>
        <v>18799.25</v>
      </c>
      <c r="P103" s="100">
        <f t="shared" si="32"/>
        <v>0</v>
      </c>
      <c r="Q103" s="82">
        <f t="shared" si="32"/>
        <v>18799.25</v>
      </c>
    </row>
    <row r="104" spans="1:17" ht="12.75">
      <c r="A104" s="23" t="s">
        <v>48</v>
      </c>
      <c r="B104" s="69"/>
      <c r="C104" s="137">
        <f aca="true" t="shared" si="33" ref="C104:Q104">SUM(C106:C110)</f>
        <v>17757</v>
      </c>
      <c r="D104" s="102">
        <f t="shared" si="33"/>
        <v>0</v>
      </c>
      <c r="E104" s="102">
        <f t="shared" si="33"/>
        <v>0</v>
      </c>
      <c r="F104" s="120">
        <f t="shared" si="33"/>
        <v>17757</v>
      </c>
      <c r="G104" s="171">
        <f t="shared" si="33"/>
        <v>2996</v>
      </c>
      <c r="H104" s="214">
        <f t="shared" si="33"/>
        <v>-1500</v>
      </c>
      <c r="I104" s="233">
        <f t="shared" si="33"/>
        <v>19253</v>
      </c>
      <c r="J104" s="171">
        <f t="shared" si="33"/>
        <v>-453.75</v>
      </c>
      <c r="K104" s="254">
        <f t="shared" si="33"/>
        <v>0</v>
      </c>
      <c r="L104" s="255">
        <f t="shared" si="33"/>
        <v>18799.25</v>
      </c>
      <c r="M104" s="315">
        <f>SUM(M106:M110)</f>
        <v>0</v>
      </c>
      <c r="N104" s="254">
        <f>SUM(N106:N110)</f>
        <v>0</v>
      </c>
      <c r="O104" s="255">
        <f>SUM(O106:O110)</f>
        <v>18799.25</v>
      </c>
      <c r="P104" s="102">
        <f t="shared" si="33"/>
        <v>0</v>
      </c>
      <c r="Q104" s="83">
        <f t="shared" si="33"/>
        <v>18799.25</v>
      </c>
    </row>
    <row r="105" spans="1:17" ht="12.75">
      <c r="A105" s="19" t="s">
        <v>26</v>
      </c>
      <c r="B105" s="65"/>
      <c r="C105" s="134"/>
      <c r="D105" s="99"/>
      <c r="E105" s="99"/>
      <c r="F105" s="94"/>
      <c r="G105" s="169"/>
      <c r="H105" s="210"/>
      <c r="I105" s="229"/>
      <c r="J105" s="169"/>
      <c r="K105" s="249"/>
      <c r="L105" s="247"/>
      <c r="M105" s="292"/>
      <c r="N105" s="249"/>
      <c r="O105" s="247"/>
      <c r="P105" s="93"/>
      <c r="Q105" s="52"/>
    </row>
    <row r="106" spans="1:17" ht="12.75">
      <c r="A106" s="17" t="s">
        <v>50</v>
      </c>
      <c r="B106" s="65"/>
      <c r="C106" s="134">
        <v>17093</v>
      </c>
      <c r="D106" s="99"/>
      <c r="E106" s="99"/>
      <c r="F106" s="89">
        <f>C106+D106+E106</f>
        <v>17093</v>
      </c>
      <c r="G106" s="169"/>
      <c r="H106" s="210">
        <f>-836</f>
        <v>-836</v>
      </c>
      <c r="I106" s="230">
        <f>SUM(F106:H106)</f>
        <v>16257</v>
      </c>
      <c r="J106" s="169">
        <f>-453.75</f>
        <v>-453.75</v>
      </c>
      <c r="K106" s="249"/>
      <c r="L106" s="248">
        <f>I106+J106+K106</f>
        <v>15803.25</v>
      </c>
      <c r="M106" s="292"/>
      <c r="N106" s="249"/>
      <c r="O106" s="248">
        <f>L106+M106+N106</f>
        <v>15803.25</v>
      </c>
      <c r="P106" s="93"/>
      <c r="Q106" s="52">
        <f t="shared" si="19"/>
        <v>15803.25</v>
      </c>
    </row>
    <row r="107" spans="1:17" ht="12.75">
      <c r="A107" s="167" t="s">
        <v>76</v>
      </c>
      <c r="B107" s="65">
        <v>1245</v>
      </c>
      <c r="C107" s="134">
        <v>664</v>
      </c>
      <c r="D107" s="99"/>
      <c r="E107" s="99"/>
      <c r="F107" s="89">
        <f>C107+D107+E107</f>
        <v>664</v>
      </c>
      <c r="G107" s="169"/>
      <c r="H107" s="210">
        <f>-664</f>
        <v>-664</v>
      </c>
      <c r="I107" s="230">
        <f>SUM(F107:H107)</f>
        <v>0</v>
      </c>
      <c r="J107" s="169"/>
      <c r="K107" s="249"/>
      <c r="L107" s="248">
        <f>I107+J107+K107</f>
        <v>0</v>
      </c>
      <c r="M107" s="292"/>
      <c r="N107" s="249"/>
      <c r="O107" s="248">
        <f>L107+M107+N107</f>
        <v>0</v>
      </c>
      <c r="P107" s="93"/>
      <c r="Q107" s="52"/>
    </row>
    <row r="108" spans="1:17" ht="12.75">
      <c r="A108" s="28" t="s">
        <v>70</v>
      </c>
      <c r="B108" s="68">
        <v>33166</v>
      </c>
      <c r="C108" s="195"/>
      <c r="D108" s="148"/>
      <c r="E108" s="148"/>
      <c r="F108" s="159">
        <f>C108+D108+E108</f>
        <v>0</v>
      </c>
      <c r="G108" s="174">
        <f>2996</f>
        <v>2996</v>
      </c>
      <c r="H108" s="216"/>
      <c r="I108" s="235">
        <f>SUM(F108:H108)</f>
        <v>2996</v>
      </c>
      <c r="J108" s="174"/>
      <c r="K108" s="258"/>
      <c r="L108" s="259">
        <f>I108+J108+K108</f>
        <v>2996</v>
      </c>
      <c r="M108" s="302"/>
      <c r="N108" s="258"/>
      <c r="O108" s="259">
        <f>L108+M108+N108</f>
        <v>2996</v>
      </c>
      <c r="P108" s="93"/>
      <c r="Q108" s="52">
        <f t="shared" si="19"/>
        <v>2996</v>
      </c>
    </row>
    <row r="109" spans="1:17" ht="12.75" hidden="1">
      <c r="A109" s="28" t="s">
        <v>275</v>
      </c>
      <c r="B109" s="68">
        <v>33064</v>
      </c>
      <c r="C109" s="195"/>
      <c r="D109" s="148"/>
      <c r="E109" s="148"/>
      <c r="F109" s="159">
        <f>C109+D109+E109</f>
        <v>0</v>
      </c>
      <c r="G109" s="169"/>
      <c r="H109" s="210"/>
      <c r="I109" s="230"/>
      <c r="J109" s="169"/>
      <c r="K109" s="249"/>
      <c r="L109" s="248"/>
      <c r="M109" s="292"/>
      <c r="N109" s="249"/>
      <c r="O109" s="248"/>
      <c r="P109" s="93"/>
      <c r="Q109" s="52"/>
    </row>
    <row r="110" spans="1:17" ht="12.75" hidden="1">
      <c r="A110" s="21" t="s">
        <v>63</v>
      </c>
      <c r="B110" s="65"/>
      <c r="C110" s="134"/>
      <c r="D110" s="99"/>
      <c r="E110" s="99"/>
      <c r="F110" s="89">
        <f>C110+D110+E110</f>
        <v>0</v>
      </c>
      <c r="G110" s="169"/>
      <c r="H110" s="210"/>
      <c r="I110" s="230">
        <f>SUM(F110:H110)</f>
        <v>0</v>
      </c>
      <c r="J110" s="169"/>
      <c r="K110" s="249"/>
      <c r="L110" s="248">
        <f>I110+J110+K110</f>
        <v>0</v>
      </c>
      <c r="M110" s="292"/>
      <c r="N110" s="249"/>
      <c r="O110" s="248">
        <f>L110+M110+N110</f>
        <v>0</v>
      </c>
      <c r="P110" s="93"/>
      <c r="Q110" s="52">
        <f t="shared" si="19"/>
        <v>0</v>
      </c>
    </row>
    <row r="111" spans="1:17" ht="12.75" hidden="1">
      <c r="A111" s="23" t="s">
        <v>52</v>
      </c>
      <c r="B111" s="69"/>
      <c r="C111" s="137">
        <f>C113</f>
        <v>0</v>
      </c>
      <c r="D111" s="102">
        <f aca="true" t="shared" si="34" ref="D111:Q111">D113</f>
        <v>0</v>
      </c>
      <c r="E111" s="102">
        <f t="shared" si="34"/>
        <v>0</v>
      </c>
      <c r="F111" s="120">
        <f t="shared" si="34"/>
        <v>0</v>
      </c>
      <c r="G111" s="171">
        <f t="shared" si="34"/>
        <v>0</v>
      </c>
      <c r="H111" s="214">
        <f t="shared" si="34"/>
        <v>0</v>
      </c>
      <c r="I111" s="233">
        <f t="shared" si="34"/>
        <v>0</v>
      </c>
      <c r="J111" s="171">
        <f t="shared" si="34"/>
        <v>0</v>
      </c>
      <c r="K111" s="254">
        <f t="shared" si="34"/>
        <v>0</v>
      </c>
      <c r="L111" s="255">
        <f t="shared" si="34"/>
        <v>0</v>
      </c>
      <c r="M111" s="315">
        <f t="shared" si="34"/>
        <v>0</v>
      </c>
      <c r="N111" s="254">
        <f t="shared" si="34"/>
        <v>0</v>
      </c>
      <c r="O111" s="255">
        <f t="shared" si="34"/>
        <v>0</v>
      </c>
      <c r="P111" s="102">
        <f t="shared" si="34"/>
        <v>0</v>
      </c>
      <c r="Q111" s="137">
        <f t="shared" si="34"/>
        <v>0</v>
      </c>
    </row>
    <row r="112" spans="1:17" ht="12.75" hidden="1">
      <c r="A112" s="19" t="s">
        <v>26</v>
      </c>
      <c r="B112" s="65"/>
      <c r="C112" s="134"/>
      <c r="D112" s="99"/>
      <c r="E112" s="99"/>
      <c r="F112" s="94"/>
      <c r="G112" s="169"/>
      <c r="H112" s="210"/>
      <c r="I112" s="229"/>
      <c r="J112" s="169"/>
      <c r="K112" s="249"/>
      <c r="L112" s="247"/>
      <c r="M112" s="292"/>
      <c r="N112" s="249"/>
      <c r="O112" s="247"/>
      <c r="P112" s="93"/>
      <c r="Q112" s="52"/>
    </row>
    <row r="113" spans="1:17" ht="12.75" hidden="1">
      <c r="A113" s="20" t="s">
        <v>161</v>
      </c>
      <c r="B113" s="68"/>
      <c r="C113" s="195"/>
      <c r="D113" s="148"/>
      <c r="E113" s="148"/>
      <c r="F113" s="159">
        <f>C113+D113+E113</f>
        <v>0</v>
      </c>
      <c r="G113" s="174"/>
      <c r="H113" s="216"/>
      <c r="I113" s="236"/>
      <c r="J113" s="174"/>
      <c r="K113" s="258"/>
      <c r="L113" s="259">
        <f>I113+J113+K113</f>
        <v>0</v>
      </c>
      <c r="M113" s="302"/>
      <c r="N113" s="258"/>
      <c r="O113" s="259">
        <f>L113+M113+N113</f>
        <v>0</v>
      </c>
      <c r="P113" s="295"/>
      <c r="Q113" s="54">
        <f t="shared" si="19"/>
        <v>0</v>
      </c>
    </row>
    <row r="114" spans="1:17" ht="12.75">
      <c r="A114" s="14" t="s">
        <v>71</v>
      </c>
      <c r="B114" s="69"/>
      <c r="C114" s="133">
        <f aca="true" t="shared" si="35" ref="C114:Q114">C115+C127</f>
        <v>1419650</v>
      </c>
      <c r="D114" s="86">
        <f t="shared" si="35"/>
        <v>285470.35</v>
      </c>
      <c r="E114" s="86">
        <f t="shared" si="35"/>
        <v>0</v>
      </c>
      <c r="F114" s="94">
        <f t="shared" si="35"/>
        <v>1705120.35</v>
      </c>
      <c r="G114" s="168">
        <f t="shared" si="35"/>
        <v>42092.13</v>
      </c>
      <c r="H114" s="209">
        <f t="shared" si="35"/>
        <v>-27796</v>
      </c>
      <c r="I114" s="229">
        <f t="shared" si="35"/>
        <v>1719416.48</v>
      </c>
      <c r="J114" s="168">
        <f t="shared" si="35"/>
        <v>113395.91</v>
      </c>
      <c r="K114" s="246">
        <f t="shared" si="35"/>
        <v>-646</v>
      </c>
      <c r="L114" s="247">
        <f t="shared" si="35"/>
        <v>1832166.3900000001</v>
      </c>
      <c r="M114" s="309">
        <f>M115+M127</f>
        <v>25541.42</v>
      </c>
      <c r="N114" s="246">
        <f>N115+N127</f>
        <v>0</v>
      </c>
      <c r="O114" s="247">
        <f>O115+O127</f>
        <v>1857707.8099999998</v>
      </c>
      <c r="P114" s="86">
        <f t="shared" si="35"/>
        <v>0</v>
      </c>
      <c r="Q114" s="80">
        <f t="shared" si="35"/>
        <v>1857707.8099999998</v>
      </c>
    </row>
    <row r="115" spans="1:17" ht="12.75">
      <c r="A115" s="23" t="s">
        <v>48</v>
      </c>
      <c r="B115" s="69"/>
      <c r="C115" s="137">
        <f aca="true" t="shared" si="36" ref="C115:Q115">SUM(C118:C126)</f>
        <v>1417150</v>
      </c>
      <c r="D115" s="102">
        <f t="shared" si="36"/>
        <v>285470.35</v>
      </c>
      <c r="E115" s="102">
        <f t="shared" si="36"/>
        <v>0</v>
      </c>
      <c r="F115" s="120">
        <f t="shared" si="36"/>
        <v>1702620.35</v>
      </c>
      <c r="G115" s="171">
        <f t="shared" si="36"/>
        <v>42092.13</v>
      </c>
      <c r="H115" s="214">
        <f t="shared" si="36"/>
        <v>-27796</v>
      </c>
      <c r="I115" s="233">
        <f t="shared" si="36"/>
        <v>1716916.48</v>
      </c>
      <c r="J115" s="171">
        <f t="shared" si="36"/>
        <v>105895.91</v>
      </c>
      <c r="K115" s="254">
        <f t="shared" si="36"/>
        <v>-646</v>
      </c>
      <c r="L115" s="255">
        <f t="shared" si="36"/>
        <v>1822166.3900000001</v>
      </c>
      <c r="M115" s="315">
        <f>SUM(M118:M126)</f>
        <v>25541.42</v>
      </c>
      <c r="N115" s="254">
        <f>SUM(N118:N126)</f>
        <v>0</v>
      </c>
      <c r="O115" s="255">
        <f>SUM(O118:O126)</f>
        <v>1847707.8099999998</v>
      </c>
      <c r="P115" s="102">
        <f t="shared" si="36"/>
        <v>0</v>
      </c>
      <c r="Q115" s="83">
        <f t="shared" si="36"/>
        <v>1847707.8099999998</v>
      </c>
    </row>
    <row r="116" spans="1:17" ht="12.75">
      <c r="A116" s="19" t="s">
        <v>26</v>
      </c>
      <c r="B116" s="65"/>
      <c r="C116" s="134"/>
      <c r="D116" s="99"/>
      <c r="E116" s="99"/>
      <c r="F116" s="94"/>
      <c r="G116" s="169"/>
      <c r="H116" s="210"/>
      <c r="I116" s="229"/>
      <c r="J116" s="169"/>
      <c r="K116" s="249"/>
      <c r="L116" s="247"/>
      <c r="M116" s="292"/>
      <c r="N116" s="249"/>
      <c r="O116" s="247"/>
      <c r="P116" s="93"/>
      <c r="Q116" s="52"/>
    </row>
    <row r="117" spans="1:17" ht="12.75">
      <c r="A117" s="21" t="s">
        <v>323</v>
      </c>
      <c r="B117" s="65"/>
      <c r="C117" s="134">
        <f>C118+C119</f>
        <v>882300</v>
      </c>
      <c r="D117" s="99">
        <f>D118+D119</f>
        <v>39230.06</v>
      </c>
      <c r="E117" s="99">
        <f>E118+E119</f>
        <v>0</v>
      </c>
      <c r="F117" s="89">
        <f>F118+F119</f>
        <v>921530.06</v>
      </c>
      <c r="G117" s="81">
        <f>G118+G119</f>
        <v>42092.13</v>
      </c>
      <c r="H117" s="210"/>
      <c r="I117" s="230">
        <f>I118+I119</f>
        <v>963601.54</v>
      </c>
      <c r="J117" s="169">
        <f>J118+J119</f>
        <v>13178.04</v>
      </c>
      <c r="K117" s="285"/>
      <c r="L117" s="248">
        <f>L118+L119</f>
        <v>976779.58</v>
      </c>
      <c r="M117" s="292">
        <f>M118+M119</f>
        <v>6793.99</v>
      </c>
      <c r="N117" s="249">
        <f>N118+N119</f>
        <v>0</v>
      </c>
      <c r="O117" s="248">
        <f>O118+O119</f>
        <v>983573.57</v>
      </c>
      <c r="P117" s="93"/>
      <c r="Q117" s="52">
        <f t="shared" si="19"/>
        <v>983573.57</v>
      </c>
    </row>
    <row r="118" spans="1:19" ht="12.75">
      <c r="A118" s="21" t="s">
        <v>324</v>
      </c>
      <c r="B118" s="65"/>
      <c r="C118" s="134">
        <v>417000</v>
      </c>
      <c r="D118" s="150">
        <f>-1621.14+582.5+50.49</f>
        <v>-988.1500000000001</v>
      </c>
      <c r="E118" s="99"/>
      <c r="F118" s="89">
        <f aca="true" t="shared" si="37" ref="F118:F126">C118+D118+E118</f>
        <v>416011.85</v>
      </c>
      <c r="G118" s="169">
        <f>822.13+40000</f>
        <v>40822.13</v>
      </c>
      <c r="H118" s="210">
        <f>-20.65</f>
        <v>-20.65</v>
      </c>
      <c r="I118" s="230">
        <f aca="true" t="shared" si="38" ref="I118:I126">F118+G118+H118</f>
        <v>456813.32999999996</v>
      </c>
      <c r="J118" s="169">
        <f>2250.3+397.74+5000</f>
        <v>7648.04</v>
      </c>
      <c r="K118" s="249"/>
      <c r="L118" s="248">
        <f aca="true" t="shared" si="39" ref="L118:L126">I118+J118+K118</f>
        <v>464461.36999999994</v>
      </c>
      <c r="M118" s="292">
        <f>36.49+6000</f>
        <v>6036.49</v>
      </c>
      <c r="N118" s="249"/>
      <c r="O118" s="248">
        <f aca="true" t="shared" si="40" ref="O118:O126">L118+M118+N118</f>
        <v>470497.8599999999</v>
      </c>
      <c r="P118" s="93"/>
      <c r="Q118" s="52">
        <f t="shared" si="19"/>
        <v>470497.8599999999</v>
      </c>
      <c r="S118" s="131"/>
    </row>
    <row r="119" spans="1:17" ht="12.75">
      <c r="A119" s="17" t="s">
        <v>325</v>
      </c>
      <c r="B119" s="65"/>
      <c r="C119" s="134">
        <v>465300</v>
      </c>
      <c r="D119" s="99">
        <f>5577+34402+239.21</f>
        <v>40218.21</v>
      </c>
      <c r="E119" s="99"/>
      <c r="F119" s="89">
        <f t="shared" si="37"/>
        <v>505518.21</v>
      </c>
      <c r="G119" s="169">
        <f>1270</f>
        <v>1270</v>
      </c>
      <c r="H119" s="217"/>
      <c r="I119" s="230">
        <f t="shared" si="38"/>
        <v>506788.21</v>
      </c>
      <c r="J119" s="169">
        <f>530+5000</f>
        <v>5530</v>
      </c>
      <c r="K119" s="249"/>
      <c r="L119" s="248">
        <f t="shared" si="39"/>
        <v>512318.21</v>
      </c>
      <c r="M119" s="292">
        <f>757.5</f>
        <v>757.5</v>
      </c>
      <c r="N119" s="249"/>
      <c r="O119" s="248">
        <f t="shared" si="40"/>
        <v>513075.71</v>
      </c>
      <c r="P119" s="93"/>
      <c r="Q119" s="52">
        <f t="shared" si="19"/>
        <v>513075.71</v>
      </c>
    </row>
    <row r="120" spans="1:17" ht="12.75">
      <c r="A120" s="21" t="s">
        <v>72</v>
      </c>
      <c r="B120" s="65"/>
      <c r="C120" s="134">
        <v>28000</v>
      </c>
      <c r="D120" s="99"/>
      <c r="E120" s="99"/>
      <c r="F120" s="89">
        <f t="shared" si="37"/>
        <v>28000</v>
      </c>
      <c r="G120" s="169"/>
      <c r="H120" s="210"/>
      <c r="I120" s="230">
        <f t="shared" si="38"/>
        <v>28000</v>
      </c>
      <c r="J120" s="169"/>
      <c r="K120" s="249"/>
      <c r="L120" s="248">
        <f t="shared" si="39"/>
        <v>28000</v>
      </c>
      <c r="M120" s="292">
        <f>-4000</f>
        <v>-4000</v>
      </c>
      <c r="N120" s="249"/>
      <c r="O120" s="248">
        <f t="shared" si="40"/>
        <v>24000</v>
      </c>
      <c r="P120" s="93"/>
      <c r="Q120" s="52">
        <f t="shared" si="19"/>
        <v>24000</v>
      </c>
    </row>
    <row r="121" spans="1:17" ht="12.75">
      <c r="A121" s="17" t="s">
        <v>73</v>
      </c>
      <c r="B121" s="65"/>
      <c r="C121" s="134"/>
      <c r="D121" s="99"/>
      <c r="E121" s="99"/>
      <c r="F121" s="89">
        <f t="shared" si="37"/>
        <v>0</v>
      </c>
      <c r="G121" s="169"/>
      <c r="H121" s="210">
        <f>20.65</f>
        <v>20.65</v>
      </c>
      <c r="I121" s="230">
        <f t="shared" si="38"/>
        <v>20.65</v>
      </c>
      <c r="J121" s="169"/>
      <c r="K121" s="249"/>
      <c r="L121" s="248">
        <f t="shared" si="39"/>
        <v>20.65</v>
      </c>
      <c r="M121" s="292"/>
      <c r="N121" s="249"/>
      <c r="O121" s="248">
        <f t="shared" si="40"/>
        <v>20.65</v>
      </c>
      <c r="P121" s="93"/>
      <c r="Q121" s="52">
        <f t="shared" si="19"/>
        <v>20.65</v>
      </c>
    </row>
    <row r="122" spans="1:17" ht="12.75">
      <c r="A122" s="17" t="s">
        <v>63</v>
      </c>
      <c r="B122" s="65"/>
      <c r="C122" s="134"/>
      <c r="D122" s="99">
        <f>1621.14</f>
        <v>1621.14</v>
      </c>
      <c r="E122" s="99"/>
      <c r="F122" s="89">
        <f t="shared" si="37"/>
        <v>1621.14</v>
      </c>
      <c r="G122" s="169"/>
      <c r="H122" s="210"/>
      <c r="I122" s="230">
        <f t="shared" si="38"/>
        <v>1621.14</v>
      </c>
      <c r="J122" s="169"/>
      <c r="K122" s="249"/>
      <c r="L122" s="248">
        <f t="shared" si="39"/>
        <v>1621.14</v>
      </c>
      <c r="M122" s="292"/>
      <c r="N122" s="249"/>
      <c r="O122" s="248">
        <f t="shared" si="40"/>
        <v>1621.14</v>
      </c>
      <c r="P122" s="93"/>
      <c r="Q122" s="52">
        <f t="shared" si="19"/>
        <v>1621.14</v>
      </c>
    </row>
    <row r="123" spans="1:17" ht="12.75">
      <c r="A123" s="17" t="s">
        <v>74</v>
      </c>
      <c r="B123" s="65">
        <v>91252</v>
      </c>
      <c r="C123" s="134"/>
      <c r="D123" s="99"/>
      <c r="E123" s="99"/>
      <c r="F123" s="89">
        <f t="shared" si="37"/>
        <v>0</v>
      </c>
      <c r="G123" s="169"/>
      <c r="H123" s="210"/>
      <c r="I123" s="230">
        <f t="shared" si="38"/>
        <v>0</v>
      </c>
      <c r="J123" s="169">
        <f>89000</f>
        <v>89000</v>
      </c>
      <c r="K123" s="249"/>
      <c r="L123" s="248">
        <f t="shared" si="39"/>
        <v>89000</v>
      </c>
      <c r="M123" s="292">
        <f>18496.6</f>
        <v>18496.6</v>
      </c>
      <c r="N123" s="249"/>
      <c r="O123" s="248">
        <f t="shared" si="40"/>
        <v>107496.6</v>
      </c>
      <c r="P123" s="93"/>
      <c r="Q123" s="52">
        <f t="shared" si="19"/>
        <v>107496.6</v>
      </c>
    </row>
    <row r="124" spans="1:17" ht="12.75">
      <c r="A124" s="17" t="s">
        <v>138</v>
      </c>
      <c r="B124" s="65">
        <v>27355</v>
      </c>
      <c r="C124" s="134"/>
      <c r="D124" s="99">
        <f>223545.15</f>
        <v>223545.15</v>
      </c>
      <c r="E124" s="99"/>
      <c r="F124" s="89">
        <f t="shared" si="37"/>
        <v>223545.15</v>
      </c>
      <c r="G124" s="169"/>
      <c r="H124" s="210"/>
      <c r="I124" s="230">
        <f t="shared" si="38"/>
        <v>223545.15</v>
      </c>
      <c r="J124" s="169"/>
      <c r="K124" s="249"/>
      <c r="L124" s="248">
        <f t="shared" si="39"/>
        <v>223545.15</v>
      </c>
      <c r="M124" s="292"/>
      <c r="N124" s="249"/>
      <c r="O124" s="248">
        <f t="shared" si="40"/>
        <v>223545.15</v>
      </c>
      <c r="P124" s="93"/>
      <c r="Q124" s="52">
        <f t="shared" si="19"/>
        <v>223545.15</v>
      </c>
    </row>
    <row r="125" spans="1:17" ht="12.75">
      <c r="A125" s="17" t="s">
        <v>50</v>
      </c>
      <c r="B125" s="65"/>
      <c r="C125" s="134">
        <v>506850</v>
      </c>
      <c r="D125" s="99">
        <f>20641.9+432.1</f>
        <v>21074</v>
      </c>
      <c r="E125" s="99"/>
      <c r="F125" s="89">
        <f t="shared" si="37"/>
        <v>527924</v>
      </c>
      <c r="G125" s="169"/>
      <c r="H125" s="210">
        <f>-27796</f>
        <v>-27796</v>
      </c>
      <c r="I125" s="230">
        <f t="shared" si="38"/>
        <v>500128</v>
      </c>
      <c r="J125" s="169">
        <f>335.85+682.02+2700</f>
        <v>3717.87</v>
      </c>
      <c r="K125" s="249">
        <f>-646</f>
        <v>-646</v>
      </c>
      <c r="L125" s="248">
        <f t="shared" si="39"/>
        <v>503199.87</v>
      </c>
      <c r="M125" s="292">
        <f>250.83+4000</f>
        <v>4250.83</v>
      </c>
      <c r="N125" s="249"/>
      <c r="O125" s="248">
        <f t="shared" si="40"/>
        <v>507450.7</v>
      </c>
      <c r="P125" s="93"/>
      <c r="Q125" s="52">
        <f t="shared" si="19"/>
        <v>507450.7</v>
      </c>
    </row>
    <row r="126" spans="1:17" ht="12" customHeight="1" hidden="1">
      <c r="A126" s="17" t="s">
        <v>75</v>
      </c>
      <c r="B126" s="65"/>
      <c r="C126" s="134"/>
      <c r="D126" s="99"/>
      <c r="E126" s="99"/>
      <c r="F126" s="89">
        <f t="shared" si="37"/>
        <v>0</v>
      </c>
      <c r="G126" s="169"/>
      <c r="H126" s="210"/>
      <c r="I126" s="230">
        <f t="shared" si="38"/>
        <v>0</v>
      </c>
      <c r="J126" s="169"/>
      <c r="K126" s="249"/>
      <c r="L126" s="248">
        <f t="shared" si="39"/>
        <v>0</v>
      </c>
      <c r="M126" s="292"/>
      <c r="N126" s="249"/>
      <c r="O126" s="248">
        <f t="shared" si="40"/>
        <v>0</v>
      </c>
      <c r="P126" s="93"/>
      <c r="Q126" s="52">
        <f t="shared" si="19"/>
        <v>0</v>
      </c>
    </row>
    <row r="127" spans="1:17" ht="12.75">
      <c r="A127" s="24" t="s">
        <v>52</v>
      </c>
      <c r="B127" s="69"/>
      <c r="C127" s="138">
        <f>SUM(C129:C131)</f>
        <v>2500</v>
      </c>
      <c r="D127" s="103">
        <f aca="true" t="shared" si="41" ref="D127:Q127">SUM(D129:D131)</f>
        <v>0</v>
      </c>
      <c r="E127" s="103">
        <f t="shared" si="41"/>
        <v>0</v>
      </c>
      <c r="F127" s="121">
        <f t="shared" si="41"/>
        <v>2500</v>
      </c>
      <c r="G127" s="172">
        <f t="shared" si="41"/>
        <v>0</v>
      </c>
      <c r="H127" s="215">
        <f t="shared" si="41"/>
        <v>0</v>
      </c>
      <c r="I127" s="234">
        <f t="shared" si="41"/>
        <v>2500</v>
      </c>
      <c r="J127" s="172">
        <f t="shared" si="41"/>
        <v>7500</v>
      </c>
      <c r="K127" s="256">
        <f t="shared" si="41"/>
        <v>0</v>
      </c>
      <c r="L127" s="257">
        <f t="shared" si="41"/>
        <v>10000</v>
      </c>
      <c r="M127" s="316">
        <f t="shared" si="41"/>
        <v>0</v>
      </c>
      <c r="N127" s="256">
        <f t="shared" si="41"/>
        <v>0</v>
      </c>
      <c r="O127" s="257">
        <f t="shared" si="41"/>
        <v>10000</v>
      </c>
      <c r="P127" s="113">
        <f t="shared" si="41"/>
        <v>0</v>
      </c>
      <c r="Q127" s="113">
        <f t="shared" si="41"/>
        <v>10000</v>
      </c>
    </row>
    <row r="128" spans="1:17" ht="12.75">
      <c r="A128" s="15" t="s">
        <v>26</v>
      </c>
      <c r="B128" s="65"/>
      <c r="C128" s="136"/>
      <c r="D128" s="100"/>
      <c r="E128" s="100"/>
      <c r="F128" s="87"/>
      <c r="G128" s="173"/>
      <c r="H128" s="212"/>
      <c r="I128" s="231"/>
      <c r="J128" s="173"/>
      <c r="K128" s="251"/>
      <c r="L128" s="158"/>
      <c r="M128" s="312"/>
      <c r="N128" s="251"/>
      <c r="O128" s="158"/>
      <c r="P128" s="93"/>
      <c r="Q128" s="52"/>
    </row>
    <row r="129" spans="1:17" ht="12.75" hidden="1">
      <c r="A129" s="25" t="s">
        <v>53</v>
      </c>
      <c r="B129" s="68"/>
      <c r="C129" s="195"/>
      <c r="D129" s="148"/>
      <c r="E129" s="148"/>
      <c r="F129" s="159">
        <f>C129+D129+E129</f>
        <v>0</v>
      </c>
      <c r="G129" s="169"/>
      <c r="H129" s="210"/>
      <c r="I129" s="230">
        <f>F129+G129+H129</f>
        <v>0</v>
      </c>
      <c r="J129" s="169"/>
      <c r="K129" s="249"/>
      <c r="L129" s="248">
        <f>I129+J129+K129</f>
        <v>0</v>
      </c>
      <c r="M129" s="292"/>
      <c r="N129" s="249"/>
      <c r="O129" s="248">
        <f>L129+M129+N129</f>
        <v>0</v>
      </c>
      <c r="P129" s="93"/>
      <c r="Q129" s="52">
        <f t="shared" si="19"/>
        <v>0</v>
      </c>
    </row>
    <row r="130" spans="1:17" ht="12.75">
      <c r="A130" s="20" t="s">
        <v>83</v>
      </c>
      <c r="B130" s="68"/>
      <c r="C130" s="195">
        <v>2500</v>
      </c>
      <c r="D130" s="148"/>
      <c r="E130" s="148"/>
      <c r="F130" s="159">
        <f>C130+D130+E130</f>
        <v>2500</v>
      </c>
      <c r="G130" s="174"/>
      <c r="H130" s="216"/>
      <c r="I130" s="235">
        <f>F130+G130+H130</f>
        <v>2500</v>
      </c>
      <c r="J130" s="174">
        <f>7500</f>
        <v>7500</v>
      </c>
      <c r="K130" s="258"/>
      <c r="L130" s="259">
        <f>I130+J130+K130</f>
        <v>10000</v>
      </c>
      <c r="M130" s="302"/>
      <c r="N130" s="258"/>
      <c r="O130" s="259">
        <f>L130+M130+N130</f>
        <v>10000</v>
      </c>
      <c r="P130" s="93"/>
      <c r="Q130" s="52">
        <f t="shared" si="19"/>
        <v>10000</v>
      </c>
    </row>
    <row r="131" spans="1:17" ht="12.75" hidden="1">
      <c r="A131" s="20" t="s">
        <v>76</v>
      </c>
      <c r="B131" s="68"/>
      <c r="C131" s="195"/>
      <c r="D131" s="148"/>
      <c r="E131" s="148"/>
      <c r="F131" s="159">
        <f>C131+D131+E131</f>
        <v>0</v>
      </c>
      <c r="G131" s="174"/>
      <c r="H131" s="216"/>
      <c r="I131" s="235">
        <f>F131+G131+H131</f>
        <v>0</v>
      </c>
      <c r="J131" s="174"/>
      <c r="K131" s="258"/>
      <c r="L131" s="259">
        <f>I131+J131+K131</f>
        <v>0</v>
      </c>
      <c r="M131" s="302"/>
      <c r="N131" s="258"/>
      <c r="O131" s="259">
        <f>L131+M131+N131</f>
        <v>0</v>
      </c>
      <c r="P131" s="295"/>
      <c r="Q131" s="54">
        <f t="shared" si="19"/>
        <v>0</v>
      </c>
    </row>
    <row r="132" spans="1:17" ht="12.75">
      <c r="A132" s="18" t="s">
        <v>77</v>
      </c>
      <c r="B132" s="69"/>
      <c r="C132" s="136">
        <f>C133+C138</f>
        <v>64210</v>
      </c>
      <c r="D132" s="100">
        <f>D133+D138</f>
        <v>26046.79</v>
      </c>
      <c r="E132" s="100">
        <f>E133+E138</f>
        <v>0</v>
      </c>
      <c r="F132" s="87">
        <f>F133+F138</f>
        <v>90256.79</v>
      </c>
      <c r="G132" s="173">
        <f aca="true" t="shared" si="42" ref="G132:Q132">G133+G138</f>
        <v>1251.29</v>
      </c>
      <c r="H132" s="212">
        <f t="shared" si="42"/>
        <v>-3737.05</v>
      </c>
      <c r="I132" s="231">
        <f t="shared" si="42"/>
        <v>87771.03</v>
      </c>
      <c r="J132" s="173">
        <f t="shared" si="42"/>
        <v>-9878.34</v>
      </c>
      <c r="K132" s="251">
        <f t="shared" si="42"/>
        <v>0</v>
      </c>
      <c r="L132" s="158">
        <f t="shared" si="42"/>
        <v>77892.69</v>
      </c>
      <c r="M132" s="312">
        <f>M133+M138</f>
        <v>1168.8799999999999</v>
      </c>
      <c r="N132" s="251">
        <f>N133+N138</f>
        <v>0</v>
      </c>
      <c r="O132" s="158">
        <f>O133+O138</f>
        <v>79061.57</v>
      </c>
      <c r="P132" s="110">
        <f t="shared" si="42"/>
        <v>0</v>
      </c>
      <c r="Q132" s="110">
        <f t="shared" si="42"/>
        <v>79061.57</v>
      </c>
    </row>
    <row r="133" spans="1:17" ht="12.75">
      <c r="A133" s="23" t="s">
        <v>48</v>
      </c>
      <c r="B133" s="69"/>
      <c r="C133" s="137">
        <f>SUM(C135:C137)</f>
        <v>47210</v>
      </c>
      <c r="D133" s="102">
        <f>SUM(D135:D137)</f>
        <v>11526.31</v>
      </c>
      <c r="E133" s="102">
        <f>SUM(E135:E137)</f>
        <v>0</v>
      </c>
      <c r="F133" s="120">
        <f>SUM(F135:F137)</f>
        <v>58736.31</v>
      </c>
      <c r="G133" s="171">
        <f aca="true" t="shared" si="43" ref="G133:Q133">SUM(G135:G137)</f>
        <v>0</v>
      </c>
      <c r="H133" s="214">
        <f t="shared" si="43"/>
        <v>-2667.05</v>
      </c>
      <c r="I133" s="233">
        <f t="shared" si="43"/>
        <v>56069.259999999995</v>
      </c>
      <c r="J133" s="171">
        <f t="shared" si="43"/>
        <v>6132.14</v>
      </c>
      <c r="K133" s="254">
        <f t="shared" si="43"/>
        <v>0</v>
      </c>
      <c r="L133" s="255">
        <f t="shared" si="43"/>
        <v>62201.4</v>
      </c>
      <c r="M133" s="315">
        <f>SUM(M135:M137)</f>
        <v>1716.12</v>
      </c>
      <c r="N133" s="254">
        <f>SUM(N135:N137)</f>
        <v>0</v>
      </c>
      <c r="O133" s="255">
        <f>SUM(O135:O137)</f>
        <v>63917.520000000004</v>
      </c>
      <c r="P133" s="112">
        <f t="shared" si="43"/>
        <v>0</v>
      </c>
      <c r="Q133" s="112">
        <f t="shared" si="43"/>
        <v>63917.520000000004</v>
      </c>
    </row>
    <row r="134" spans="1:17" ht="12.75">
      <c r="A134" s="19" t="s">
        <v>26</v>
      </c>
      <c r="B134" s="65"/>
      <c r="C134" s="134"/>
      <c r="D134" s="99"/>
      <c r="E134" s="99"/>
      <c r="F134" s="94"/>
      <c r="G134" s="169"/>
      <c r="H134" s="210"/>
      <c r="I134" s="229"/>
      <c r="J134" s="169"/>
      <c r="K134" s="249"/>
      <c r="L134" s="247"/>
      <c r="M134" s="292"/>
      <c r="N134" s="249"/>
      <c r="O134" s="247"/>
      <c r="P134" s="93"/>
      <c r="Q134" s="52"/>
    </row>
    <row r="135" spans="1:17" ht="12.75">
      <c r="A135" s="17" t="s">
        <v>50</v>
      </c>
      <c r="B135" s="65"/>
      <c r="C135" s="134">
        <v>23210</v>
      </c>
      <c r="D135" s="99">
        <f>10326.31</f>
        <v>10326.31</v>
      </c>
      <c r="E135" s="99"/>
      <c r="F135" s="89">
        <f>C135+D135+E135</f>
        <v>33536.31</v>
      </c>
      <c r="G135" s="169"/>
      <c r="H135" s="210">
        <f>-2517.05</f>
        <v>-2517.05</v>
      </c>
      <c r="I135" s="230">
        <f>F135+G135+H135</f>
        <v>31019.26</v>
      </c>
      <c r="J135" s="169">
        <f>1132.14+5000</f>
        <v>6132.14</v>
      </c>
      <c r="K135" s="249"/>
      <c r="L135" s="248">
        <f>I135+J135+K135</f>
        <v>37151.4</v>
      </c>
      <c r="M135" s="292">
        <f>1290.61+425.51</f>
        <v>1716.12</v>
      </c>
      <c r="N135" s="249"/>
      <c r="O135" s="248">
        <f>L135+M135+N135</f>
        <v>38867.520000000004</v>
      </c>
      <c r="P135" s="93"/>
      <c r="Q135" s="52">
        <f t="shared" si="19"/>
        <v>38867.520000000004</v>
      </c>
    </row>
    <row r="136" spans="1:17" ht="12.75" hidden="1">
      <c r="A136" s="17" t="s">
        <v>76</v>
      </c>
      <c r="B136" s="65"/>
      <c r="C136" s="134"/>
      <c r="D136" s="99"/>
      <c r="E136" s="99"/>
      <c r="F136" s="89">
        <f>C136+D136+E136</f>
        <v>0</v>
      </c>
      <c r="G136" s="169"/>
      <c r="H136" s="210"/>
      <c r="I136" s="230"/>
      <c r="J136" s="169"/>
      <c r="K136" s="249"/>
      <c r="L136" s="248"/>
      <c r="M136" s="292"/>
      <c r="N136" s="249"/>
      <c r="O136" s="248">
        <f>L136+M136+N136</f>
        <v>0</v>
      </c>
      <c r="P136" s="93"/>
      <c r="Q136" s="52">
        <f t="shared" si="19"/>
        <v>0</v>
      </c>
    </row>
    <row r="137" spans="1:17" ht="12.75">
      <c r="A137" s="17" t="s">
        <v>78</v>
      </c>
      <c r="B137" s="65"/>
      <c r="C137" s="134">
        <v>24000</v>
      </c>
      <c r="D137" s="99">
        <f>1200</f>
        <v>1200</v>
      </c>
      <c r="E137" s="99"/>
      <c r="F137" s="89">
        <f>C137+D137+E137</f>
        <v>25200</v>
      </c>
      <c r="G137" s="169"/>
      <c r="H137" s="210">
        <f>-150</f>
        <v>-150</v>
      </c>
      <c r="I137" s="230">
        <f>F137+G137+H137</f>
        <v>25050</v>
      </c>
      <c r="J137" s="169"/>
      <c r="K137" s="249"/>
      <c r="L137" s="248">
        <f>I137+J137+K137</f>
        <v>25050</v>
      </c>
      <c r="M137" s="292"/>
      <c r="N137" s="249"/>
      <c r="O137" s="248">
        <f>L137+M137+N137</f>
        <v>25050</v>
      </c>
      <c r="P137" s="93"/>
      <c r="Q137" s="52">
        <f>O137+P137</f>
        <v>25050</v>
      </c>
    </row>
    <row r="138" spans="1:17" ht="12.75">
      <c r="A138" s="24" t="s">
        <v>52</v>
      </c>
      <c r="B138" s="69"/>
      <c r="C138" s="138">
        <f>SUM(C140:C143)</f>
        <v>17000</v>
      </c>
      <c r="D138" s="103">
        <f aca="true" t="shared" si="44" ref="D138:Q138">SUM(D140:D143)</f>
        <v>14520.48</v>
      </c>
      <c r="E138" s="103">
        <f t="shared" si="44"/>
        <v>0</v>
      </c>
      <c r="F138" s="121">
        <f t="shared" si="44"/>
        <v>31520.48</v>
      </c>
      <c r="G138" s="172">
        <f t="shared" si="44"/>
        <v>1251.29</v>
      </c>
      <c r="H138" s="215">
        <f t="shared" si="44"/>
        <v>-1070</v>
      </c>
      <c r="I138" s="234">
        <f t="shared" si="44"/>
        <v>31701.769999999997</v>
      </c>
      <c r="J138" s="172">
        <f t="shared" si="44"/>
        <v>-16010.48</v>
      </c>
      <c r="K138" s="256">
        <f t="shared" si="44"/>
        <v>0</v>
      </c>
      <c r="L138" s="257">
        <f t="shared" si="44"/>
        <v>15691.289999999997</v>
      </c>
      <c r="M138" s="316">
        <f t="shared" si="44"/>
        <v>-547.24</v>
      </c>
      <c r="N138" s="256">
        <f t="shared" si="44"/>
        <v>0</v>
      </c>
      <c r="O138" s="257">
        <f t="shared" si="44"/>
        <v>15144.049999999997</v>
      </c>
      <c r="P138" s="113">
        <f t="shared" si="44"/>
        <v>0</v>
      </c>
      <c r="Q138" s="113">
        <f t="shared" si="44"/>
        <v>15144.049999999997</v>
      </c>
    </row>
    <row r="139" spans="1:17" ht="12.75">
      <c r="A139" s="15" t="s">
        <v>26</v>
      </c>
      <c r="B139" s="65"/>
      <c r="C139" s="136"/>
      <c r="D139" s="100"/>
      <c r="E139" s="100"/>
      <c r="F139" s="87"/>
      <c r="G139" s="173"/>
      <c r="H139" s="212"/>
      <c r="I139" s="231"/>
      <c r="J139" s="173"/>
      <c r="K139" s="251"/>
      <c r="L139" s="158"/>
      <c r="M139" s="312"/>
      <c r="N139" s="251"/>
      <c r="O139" s="158"/>
      <c r="P139" s="93"/>
      <c r="Q139" s="52"/>
    </row>
    <row r="140" spans="1:17" ht="12.75" hidden="1">
      <c r="A140" s="17" t="s">
        <v>159</v>
      </c>
      <c r="B140" s="65">
        <v>98861</v>
      </c>
      <c r="C140" s="134"/>
      <c r="D140" s="99"/>
      <c r="E140" s="99"/>
      <c r="F140" s="89">
        <f>C140+D140+E140</f>
        <v>0</v>
      </c>
      <c r="G140" s="173"/>
      <c r="H140" s="212"/>
      <c r="I140" s="230"/>
      <c r="J140" s="173"/>
      <c r="K140" s="251"/>
      <c r="L140" s="248"/>
      <c r="M140" s="312"/>
      <c r="N140" s="251"/>
      <c r="O140" s="248">
        <f>L140+M140+N140</f>
        <v>0</v>
      </c>
      <c r="P140" s="93"/>
      <c r="Q140" s="52">
        <f>O140+P140</f>
        <v>0</v>
      </c>
    </row>
    <row r="141" spans="1:17" ht="12.75" hidden="1">
      <c r="A141" s="17" t="s">
        <v>214</v>
      </c>
      <c r="B141" s="65">
        <v>7938</v>
      </c>
      <c r="C141" s="134"/>
      <c r="D141" s="99"/>
      <c r="E141" s="99"/>
      <c r="F141" s="89">
        <f>C141+D141+E141</f>
        <v>0</v>
      </c>
      <c r="G141" s="173"/>
      <c r="H141" s="212"/>
      <c r="I141" s="230"/>
      <c r="J141" s="173"/>
      <c r="K141" s="251"/>
      <c r="L141" s="248"/>
      <c r="M141" s="312"/>
      <c r="N141" s="251"/>
      <c r="O141" s="248"/>
      <c r="P141" s="93"/>
      <c r="Q141" s="52"/>
    </row>
    <row r="142" spans="1:17" ht="12.75" hidden="1">
      <c r="A142" s="17" t="s">
        <v>241</v>
      </c>
      <c r="B142" s="65"/>
      <c r="C142" s="134"/>
      <c r="D142" s="99"/>
      <c r="E142" s="99"/>
      <c r="F142" s="89">
        <f>C142+D142+E142</f>
        <v>0</v>
      </c>
      <c r="G142" s="173"/>
      <c r="H142" s="212"/>
      <c r="I142" s="230"/>
      <c r="J142" s="173"/>
      <c r="K142" s="251"/>
      <c r="L142" s="248"/>
      <c r="M142" s="312"/>
      <c r="N142" s="251"/>
      <c r="O142" s="248"/>
      <c r="P142" s="93"/>
      <c r="Q142" s="52"/>
    </row>
    <row r="143" spans="1:17" ht="12.75">
      <c r="A143" s="28" t="s">
        <v>53</v>
      </c>
      <c r="B143" s="68"/>
      <c r="C143" s="195">
        <v>17000</v>
      </c>
      <c r="D143" s="148">
        <f>14520.48</f>
        <v>14520.48</v>
      </c>
      <c r="E143" s="148"/>
      <c r="F143" s="159">
        <f>C143+D143+E143</f>
        <v>31520.48</v>
      </c>
      <c r="G143" s="174">
        <f>1251.29</f>
        <v>1251.29</v>
      </c>
      <c r="H143" s="216">
        <f>-1070</f>
        <v>-1070</v>
      </c>
      <c r="I143" s="235">
        <f>F143+G143+H143</f>
        <v>31701.769999999997</v>
      </c>
      <c r="J143" s="174">
        <f>-16410.48+400</f>
        <v>-16010.48</v>
      </c>
      <c r="K143" s="258"/>
      <c r="L143" s="259">
        <f>I143+J143+K143</f>
        <v>15691.289999999997</v>
      </c>
      <c r="M143" s="302">
        <f>-121.73-425.51</f>
        <v>-547.24</v>
      </c>
      <c r="N143" s="258"/>
      <c r="O143" s="259">
        <f>L143+M143+N143</f>
        <v>15144.049999999997</v>
      </c>
      <c r="P143" s="295"/>
      <c r="Q143" s="54">
        <f>O143+P143</f>
        <v>15144.049999999997</v>
      </c>
    </row>
    <row r="144" spans="1:17" ht="12.75">
      <c r="A144" s="14" t="s">
        <v>261</v>
      </c>
      <c r="B144" s="69"/>
      <c r="C144" s="133">
        <f>C145+C166</f>
        <v>4910.1</v>
      </c>
      <c r="D144" s="86">
        <f>D145+D166</f>
        <v>239884.70999999996</v>
      </c>
      <c r="E144" s="86">
        <f>E145+E166</f>
        <v>0</v>
      </c>
      <c r="F144" s="94">
        <f>F145+F166</f>
        <v>244794.81</v>
      </c>
      <c r="G144" s="168">
        <f aca="true" t="shared" si="45" ref="G144:Q144">G145+G166</f>
        <v>-2715.88</v>
      </c>
      <c r="H144" s="209">
        <f t="shared" si="45"/>
        <v>0</v>
      </c>
      <c r="I144" s="229">
        <f t="shared" si="45"/>
        <v>242078.93</v>
      </c>
      <c r="J144" s="168">
        <f t="shared" si="45"/>
        <v>9248.869999999999</v>
      </c>
      <c r="K144" s="246">
        <f t="shared" si="45"/>
        <v>0</v>
      </c>
      <c r="L144" s="247">
        <f t="shared" si="45"/>
        <v>251327.8</v>
      </c>
      <c r="M144" s="309">
        <f>M145+M166</f>
        <v>8175.48</v>
      </c>
      <c r="N144" s="246">
        <f>N145+N166</f>
        <v>0</v>
      </c>
      <c r="O144" s="247">
        <f>O145+O166</f>
        <v>259503.28</v>
      </c>
      <c r="P144" s="106">
        <f t="shared" si="45"/>
        <v>0</v>
      </c>
      <c r="Q144" s="106">
        <f t="shared" si="45"/>
        <v>3710.7</v>
      </c>
    </row>
    <row r="145" spans="1:17" ht="12.75">
      <c r="A145" s="23" t="s">
        <v>48</v>
      </c>
      <c r="B145" s="69"/>
      <c r="C145" s="137">
        <f>SUM(C147:C165)</f>
        <v>4910.1</v>
      </c>
      <c r="D145" s="102">
        <f>SUM(D147:D165)</f>
        <v>40411.03999999999</v>
      </c>
      <c r="E145" s="102">
        <f>SUM(E147:E165)</f>
        <v>0</v>
      </c>
      <c r="F145" s="120">
        <f>SUM(F147:F165)</f>
        <v>45321.14</v>
      </c>
      <c r="G145" s="171">
        <f aca="true" t="shared" si="46" ref="G145:Q145">SUM(G147:G165)</f>
        <v>-2715.88</v>
      </c>
      <c r="H145" s="214">
        <f t="shared" si="46"/>
        <v>0</v>
      </c>
      <c r="I145" s="233">
        <f t="shared" si="46"/>
        <v>42605.26</v>
      </c>
      <c r="J145" s="171">
        <f t="shared" si="46"/>
        <v>9248.869999999999</v>
      </c>
      <c r="K145" s="254">
        <f t="shared" si="46"/>
        <v>0</v>
      </c>
      <c r="L145" s="255">
        <f t="shared" si="46"/>
        <v>51854.130000000005</v>
      </c>
      <c r="M145" s="315">
        <f>SUM(M147:M165)</f>
        <v>8175.48</v>
      </c>
      <c r="N145" s="254">
        <f>SUM(N147:N165)</f>
        <v>0</v>
      </c>
      <c r="O145" s="255">
        <f>SUM(O147:O165)</f>
        <v>60029.61000000001</v>
      </c>
      <c r="P145" s="112">
        <f t="shared" si="46"/>
        <v>0</v>
      </c>
      <c r="Q145" s="112">
        <f t="shared" si="46"/>
        <v>3710.7</v>
      </c>
    </row>
    <row r="146" spans="1:17" ht="12.75">
      <c r="A146" s="15" t="s">
        <v>26</v>
      </c>
      <c r="B146" s="65"/>
      <c r="C146" s="136"/>
      <c r="D146" s="100"/>
      <c r="E146" s="100"/>
      <c r="F146" s="87"/>
      <c r="G146" s="173"/>
      <c r="H146" s="212"/>
      <c r="I146" s="231"/>
      <c r="J146" s="173"/>
      <c r="K146" s="251"/>
      <c r="L146" s="158"/>
      <c r="M146" s="312"/>
      <c r="N146" s="251"/>
      <c r="O146" s="158"/>
      <c r="P146" s="93"/>
      <c r="Q146" s="52"/>
    </row>
    <row r="147" spans="1:17" ht="12.75">
      <c r="A147" s="17" t="s">
        <v>50</v>
      </c>
      <c r="B147" s="65"/>
      <c r="C147" s="134">
        <v>3350.7</v>
      </c>
      <c r="D147" s="99">
        <f>360</f>
        <v>360</v>
      </c>
      <c r="E147" s="99"/>
      <c r="F147" s="89">
        <f aca="true" t="shared" si="47" ref="F147:F165">C147+D147+E147</f>
        <v>3710.7</v>
      </c>
      <c r="G147" s="169"/>
      <c r="H147" s="210"/>
      <c r="I147" s="230">
        <f>F147+G147+H147</f>
        <v>3710.7</v>
      </c>
      <c r="J147" s="175"/>
      <c r="K147" s="249"/>
      <c r="L147" s="248">
        <f>I147+J147+K147</f>
        <v>3710.7</v>
      </c>
      <c r="M147" s="292"/>
      <c r="N147" s="249"/>
      <c r="O147" s="248">
        <f>L147+M147+N147</f>
        <v>3710.7</v>
      </c>
      <c r="P147" s="93"/>
      <c r="Q147" s="52">
        <f>O147+P147</f>
        <v>3710.7</v>
      </c>
    </row>
    <row r="148" spans="1:17" ht="12.75" hidden="1">
      <c r="A148" s="66" t="s">
        <v>294</v>
      </c>
      <c r="B148" s="65">
        <v>2042</v>
      </c>
      <c r="C148" s="134"/>
      <c r="D148" s="99"/>
      <c r="E148" s="99"/>
      <c r="F148" s="89">
        <f t="shared" si="47"/>
        <v>0</v>
      </c>
      <c r="G148" s="169"/>
      <c r="H148" s="210"/>
      <c r="I148" s="230">
        <f aca="true" t="shared" si="48" ref="I148:I165">F148+G148+H148</f>
        <v>0</v>
      </c>
      <c r="J148" s="169"/>
      <c r="K148" s="249"/>
      <c r="L148" s="248">
        <f aca="true" t="shared" si="49" ref="L148:L165">I148+J148+K148</f>
        <v>0</v>
      </c>
      <c r="M148" s="292"/>
      <c r="N148" s="249"/>
      <c r="O148" s="248">
        <f aca="true" t="shared" si="50" ref="O148:O165">L148+M148+N148</f>
        <v>0</v>
      </c>
      <c r="P148" s="93"/>
      <c r="Q148" s="52">
        <f>O148+P148</f>
        <v>0</v>
      </c>
    </row>
    <row r="149" spans="1:17" ht="12.75">
      <c r="A149" s="66" t="s">
        <v>295</v>
      </c>
      <c r="B149" s="65">
        <v>2045</v>
      </c>
      <c r="C149" s="134"/>
      <c r="D149" s="99">
        <f>1866.49</f>
        <v>1866.49</v>
      </c>
      <c r="E149" s="99"/>
      <c r="F149" s="89">
        <f t="shared" si="47"/>
        <v>1866.49</v>
      </c>
      <c r="G149" s="169"/>
      <c r="H149" s="210"/>
      <c r="I149" s="230">
        <f t="shared" si="48"/>
        <v>1866.49</v>
      </c>
      <c r="J149" s="169">
        <f>1321.93</f>
        <v>1321.93</v>
      </c>
      <c r="K149" s="249"/>
      <c r="L149" s="248">
        <f t="shared" si="49"/>
        <v>3188.42</v>
      </c>
      <c r="M149" s="292"/>
      <c r="N149" s="249"/>
      <c r="O149" s="248">
        <f t="shared" si="50"/>
        <v>3188.42</v>
      </c>
      <c r="P149" s="93"/>
      <c r="Q149" s="52"/>
    </row>
    <row r="150" spans="1:17" ht="12.75">
      <c r="A150" s="66" t="s">
        <v>304</v>
      </c>
      <c r="B150" s="65">
        <v>2046</v>
      </c>
      <c r="C150" s="134"/>
      <c r="D150" s="99">
        <f>4982.3</f>
        <v>4982.3</v>
      </c>
      <c r="E150" s="99"/>
      <c r="F150" s="89">
        <f t="shared" si="47"/>
        <v>4982.3</v>
      </c>
      <c r="G150" s="169"/>
      <c r="H150" s="210"/>
      <c r="I150" s="230">
        <f t="shared" si="48"/>
        <v>4982.3</v>
      </c>
      <c r="J150" s="169"/>
      <c r="K150" s="249"/>
      <c r="L150" s="248">
        <f t="shared" si="49"/>
        <v>4982.3</v>
      </c>
      <c r="M150" s="292">
        <f>1867.39</f>
        <v>1867.39</v>
      </c>
      <c r="N150" s="249"/>
      <c r="O150" s="248">
        <f t="shared" si="50"/>
        <v>6849.6900000000005</v>
      </c>
      <c r="P150" s="93"/>
      <c r="Q150" s="52"/>
    </row>
    <row r="151" spans="1:17" ht="12.75">
      <c r="A151" s="66" t="s">
        <v>296</v>
      </c>
      <c r="B151" s="65">
        <v>2016</v>
      </c>
      <c r="C151" s="134"/>
      <c r="D151" s="99">
        <f>1422.76</f>
        <v>1422.76</v>
      </c>
      <c r="E151" s="99"/>
      <c r="F151" s="89">
        <f t="shared" si="47"/>
        <v>1422.76</v>
      </c>
      <c r="G151" s="169"/>
      <c r="H151" s="210"/>
      <c r="I151" s="230">
        <f t="shared" si="48"/>
        <v>1422.76</v>
      </c>
      <c r="J151" s="169"/>
      <c r="K151" s="249"/>
      <c r="L151" s="248">
        <f t="shared" si="49"/>
        <v>1422.76</v>
      </c>
      <c r="M151" s="292"/>
      <c r="N151" s="249"/>
      <c r="O151" s="248">
        <f t="shared" si="50"/>
        <v>1422.76</v>
      </c>
      <c r="P151" s="93"/>
      <c r="Q151" s="52"/>
    </row>
    <row r="152" spans="1:17" ht="12.75">
      <c r="A152" s="66" t="s">
        <v>331</v>
      </c>
      <c r="B152" s="65">
        <v>2016</v>
      </c>
      <c r="C152" s="134"/>
      <c r="D152" s="99"/>
      <c r="E152" s="99"/>
      <c r="F152" s="89">
        <f t="shared" si="47"/>
        <v>0</v>
      </c>
      <c r="G152" s="169">
        <f>638.93</f>
        <v>638.93</v>
      </c>
      <c r="H152" s="210"/>
      <c r="I152" s="230">
        <f t="shared" si="48"/>
        <v>638.93</v>
      </c>
      <c r="J152" s="169">
        <f>647.06</f>
        <v>647.06</v>
      </c>
      <c r="K152" s="249"/>
      <c r="L152" s="248">
        <f t="shared" si="49"/>
        <v>1285.9899999999998</v>
      </c>
      <c r="M152" s="292"/>
      <c r="N152" s="249"/>
      <c r="O152" s="248">
        <f t="shared" si="50"/>
        <v>1285.9899999999998</v>
      </c>
      <c r="P152" s="93"/>
      <c r="Q152" s="52"/>
    </row>
    <row r="153" spans="1:17" ht="12.75" hidden="1">
      <c r="A153" s="26" t="s">
        <v>297</v>
      </c>
      <c r="B153" s="65">
        <v>2057</v>
      </c>
      <c r="C153" s="134"/>
      <c r="D153" s="99">
        <f>15.32</f>
        <v>15.32</v>
      </c>
      <c r="E153" s="99"/>
      <c r="F153" s="89">
        <f t="shared" si="47"/>
        <v>15.32</v>
      </c>
      <c r="G153" s="169"/>
      <c r="H153" s="210"/>
      <c r="I153" s="230">
        <f t="shared" si="48"/>
        <v>15.32</v>
      </c>
      <c r="J153" s="169">
        <f>-15.32</f>
        <v>-15.32</v>
      </c>
      <c r="K153" s="249"/>
      <c r="L153" s="248">
        <f t="shared" si="49"/>
        <v>0</v>
      </c>
      <c r="M153" s="292"/>
      <c r="N153" s="249"/>
      <c r="O153" s="248">
        <f t="shared" si="50"/>
        <v>0</v>
      </c>
      <c r="P153" s="93"/>
      <c r="Q153" s="52"/>
    </row>
    <row r="154" spans="1:17" ht="12.75">
      <c r="A154" s="26" t="s">
        <v>298</v>
      </c>
      <c r="B154" s="65">
        <v>2064</v>
      </c>
      <c r="C154" s="134"/>
      <c r="D154" s="99">
        <f>3511.85+127.5</f>
        <v>3639.35</v>
      </c>
      <c r="E154" s="99"/>
      <c r="F154" s="89">
        <f t="shared" si="47"/>
        <v>3639.35</v>
      </c>
      <c r="G154" s="169"/>
      <c r="H154" s="210"/>
      <c r="I154" s="230">
        <f t="shared" si="48"/>
        <v>3639.35</v>
      </c>
      <c r="J154" s="169">
        <f>21.16</f>
        <v>21.16</v>
      </c>
      <c r="K154" s="249"/>
      <c r="L154" s="248">
        <f t="shared" si="49"/>
        <v>3660.5099999999998</v>
      </c>
      <c r="M154" s="292"/>
      <c r="N154" s="249"/>
      <c r="O154" s="248">
        <f t="shared" si="50"/>
        <v>3660.5099999999998</v>
      </c>
      <c r="P154" s="93"/>
      <c r="Q154" s="52"/>
    </row>
    <row r="155" spans="1:17" ht="12.75">
      <c r="A155" s="26" t="s">
        <v>310</v>
      </c>
      <c r="B155" s="65">
        <v>2079</v>
      </c>
      <c r="C155" s="134"/>
      <c r="D155" s="99">
        <f>3742.33</f>
        <v>3742.33</v>
      </c>
      <c r="E155" s="99"/>
      <c r="F155" s="89">
        <f t="shared" si="47"/>
        <v>3742.33</v>
      </c>
      <c r="G155" s="169"/>
      <c r="H155" s="210"/>
      <c r="I155" s="230">
        <f t="shared" si="48"/>
        <v>3742.33</v>
      </c>
      <c r="J155" s="169"/>
      <c r="K155" s="249"/>
      <c r="L155" s="248">
        <f t="shared" si="49"/>
        <v>3742.33</v>
      </c>
      <c r="M155" s="292">
        <f>481.7</f>
        <v>481.7</v>
      </c>
      <c r="N155" s="249"/>
      <c r="O155" s="248">
        <f t="shared" si="50"/>
        <v>4224.03</v>
      </c>
      <c r="P155" s="93"/>
      <c r="Q155" s="52"/>
    </row>
    <row r="156" spans="1:17" ht="12.75">
      <c r="A156" s="66" t="s">
        <v>311</v>
      </c>
      <c r="B156" s="65">
        <v>2079</v>
      </c>
      <c r="C156" s="134"/>
      <c r="D156" s="99">
        <f>4049.47</f>
        <v>4049.47</v>
      </c>
      <c r="E156" s="99"/>
      <c r="F156" s="89">
        <f t="shared" si="47"/>
        <v>4049.47</v>
      </c>
      <c r="G156" s="169"/>
      <c r="H156" s="210"/>
      <c r="I156" s="230">
        <f t="shared" si="48"/>
        <v>4049.47</v>
      </c>
      <c r="J156" s="169"/>
      <c r="K156" s="249"/>
      <c r="L156" s="248">
        <f t="shared" si="49"/>
        <v>4049.47</v>
      </c>
      <c r="M156" s="292"/>
      <c r="N156" s="249"/>
      <c r="O156" s="248">
        <f t="shared" si="50"/>
        <v>4049.47</v>
      </c>
      <c r="P156" s="93"/>
      <c r="Q156" s="52"/>
    </row>
    <row r="157" spans="1:17" ht="12.75" hidden="1">
      <c r="A157" s="26" t="s">
        <v>299</v>
      </c>
      <c r="B157" s="65">
        <v>2067</v>
      </c>
      <c r="C157" s="134"/>
      <c r="D157" s="99">
        <f>0.27</f>
        <v>0.27</v>
      </c>
      <c r="E157" s="99"/>
      <c r="F157" s="89">
        <f t="shared" si="47"/>
        <v>0.27</v>
      </c>
      <c r="G157" s="169"/>
      <c r="H157" s="210"/>
      <c r="I157" s="230">
        <f t="shared" si="48"/>
        <v>0.27</v>
      </c>
      <c r="J157" s="169">
        <f>-0.27</f>
        <v>-0.27</v>
      </c>
      <c r="K157" s="249"/>
      <c r="L157" s="248">
        <f t="shared" si="49"/>
        <v>0</v>
      </c>
      <c r="M157" s="292"/>
      <c r="N157" s="249"/>
      <c r="O157" s="248">
        <f t="shared" si="50"/>
        <v>0</v>
      </c>
      <c r="P157" s="93"/>
      <c r="Q157" s="52"/>
    </row>
    <row r="158" spans="1:17" ht="12.75" hidden="1">
      <c r="A158" s="26" t="s">
        <v>293</v>
      </c>
      <c r="B158" s="65">
        <v>2067</v>
      </c>
      <c r="C158" s="134"/>
      <c r="D158" s="99">
        <f>2217.64</f>
        <v>2217.64</v>
      </c>
      <c r="E158" s="99"/>
      <c r="F158" s="89">
        <f t="shared" si="47"/>
        <v>2217.64</v>
      </c>
      <c r="G158" s="169"/>
      <c r="H158" s="210"/>
      <c r="I158" s="230">
        <f t="shared" si="48"/>
        <v>2217.64</v>
      </c>
      <c r="J158" s="169">
        <f>-2217.64</f>
        <v>-2217.64</v>
      </c>
      <c r="K158" s="249"/>
      <c r="L158" s="248">
        <f t="shared" si="49"/>
        <v>0</v>
      </c>
      <c r="M158" s="292"/>
      <c r="N158" s="249"/>
      <c r="O158" s="248">
        <f t="shared" si="50"/>
        <v>0</v>
      </c>
      <c r="P158" s="93"/>
      <c r="Q158" s="52"/>
    </row>
    <row r="159" spans="1:17" ht="12.75">
      <c r="A159" s="26" t="s">
        <v>316</v>
      </c>
      <c r="B159" s="65">
        <v>2074</v>
      </c>
      <c r="C159" s="134"/>
      <c r="D159" s="99">
        <f>612.62</f>
        <v>612.62</v>
      </c>
      <c r="E159" s="99"/>
      <c r="F159" s="89">
        <f t="shared" si="47"/>
        <v>612.62</v>
      </c>
      <c r="G159" s="169"/>
      <c r="H159" s="210"/>
      <c r="I159" s="230">
        <f t="shared" si="48"/>
        <v>612.62</v>
      </c>
      <c r="J159" s="169"/>
      <c r="K159" s="249"/>
      <c r="L159" s="248">
        <f t="shared" si="49"/>
        <v>612.62</v>
      </c>
      <c r="M159" s="292"/>
      <c r="N159" s="249"/>
      <c r="O159" s="248">
        <f t="shared" si="50"/>
        <v>612.62</v>
      </c>
      <c r="P159" s="93"/>
      <c r="Q159" s="52"/>
    </row>
    <row r="160" spans="1:17" ht="12.75">
      <c r="A160" s="26" t="s">
        <v>315</v>
      </c>
      <c r="B160" s="65">
        <v>2074</v>
      </c>
      <c r="C160" s="134"/>
      <c r="D160" s="99">
        <f>1738.53</f>
        <v>1738.53</v>
      </c>
      <c r="E160" s="99"/>
      <c r="F160" s="89">
        <f t="shared" si="47"/>
        <v>1738.53</v>
      </c>
      <c r="G160" s="169"/>
      <c r="H160" s="210"/>
      <c r="I160" s="230">
        <f t="shared" si="48"/>
        <v>1738.53</v>
      </c>
      <c r="J160" s="169">
        <f>1523.13</f>
        <v>1523.13</v>
      </c>
      <c r="K160" s="249"/>
      <c r="L160" s="248">
        <f t="shared" si="49"/>
        <v>3261.66</v>
      </c>
      <c r="M160" s="292"/>
      <c r="N160" s="249"/>
      <c r="O160" s="248">
        <f t="shared" si="50"/>
        <v>3261.66</v>
      </c>
      <c r="P160" s="93"/>
      <c r="Q160" s="52"/>
    </row>
    <row r="161" spans="1:17" ht="12.75">
      <c r="A161" s="26" t="s">
        <v>313</v>
      </c>
      <c r="B161" s="65">
        <v>2068</v>
      </c>
      <c r="C161" s="134"/>
      <c r="D161" s="99">
        <f>4636.84</f>
        <v>4636.84</v>
      </c>
      <c r="E161" s="99"/>
      <c r="F161" s="89">
        <f t="shared" si="47"/>
        <v>4636.84</v>
      </c>
      <c r="G161" s="169"/>
      <c r="H161" s="210"/>
      <c r="I161" s="230">
        <f t="shared" si="48"/>
        <v>4636.84</v>
      </c>
      <c r="J161" s="169"/>
      <c r="K161" s="249"/>
      <c r="L161" s="248">
        <f t="shared" si="49"/>
        <v>4636.84</v>
      </c>
      <c r="M161" s="292"/>
      <c r="N161" s="249"/>
      <c r="O161" s="248">
        <f t="shared" si="50"/>
        <v>4636.84</v>
      </c>
      <c r="P161" s="93"/>
      <c r="Q161" s="52"/>
    </row>
    <row r="162" spans="1:17" ht="12.75">
      <c r="A162" s="26" t="s">
        <v>314</v>
      </c>
      <c r="B162" s="65">
        <v>2242</v>
      </c>
      <c r="C162" s="134"/>
      <c r="D162" s="99">
        <f>375.64</f>
        <v>375.64</v>
      </c>
      <c r="E162" s="99"/>
      <c r="F162" s="89">
        <f t="shared" si="47"/>
        <v>375.64</v>
      </c>
      <c r="G162" s="169"/>
      <c r="H162" s="210"/>
      <c r="I162" s="230">
        <f t="shared" si="48"/>
        <v>375.64</v>
      </c>
      <c r="J162" s="169"/>
      <c r="K162" s="249"/>
      <c r="L162" s="248">
        <f t="shared" si="49"/>
        <v>375.64</v>
      </c>
      <c r="M162" s="292">
        <f>4042.58</f>
        <v>4042.58</v>
      </c>
      <c r="N162" s="249"/>
      <c r="O162" s="248">
        <f t="shared" si="50"/>
        <v>4418.22</v>
      </c>
      <c r="P162" s="93"/>
      <c r="Q162" s="52"/>
    </row>
    <row r="163" spans="1:17" ht="12.75">
      <c r="A163" s="66" t="s">
        <v>360</v>
      </c>
      <c r="B163" s="65"/>
      <c r="C163" s="134"/>
      <c r="D163" s="99"/>
      <c r="E163" s="99"/>
      <c r="F163" s="89"/>
      <c r="G163" s="169"/>
      <c r="H163" s="210"/>
      <c r="I163" s="230">
        <f t="shared" si="48"/>
        <v>0</v>
      </c>
      <c r="J163" s="169">
        <f>6326.66</f>
        <v>6326.66</v>
      </c>
      <c r="K163" s="249"/>
      <c r="L163" s="248">
        <f t="shared" si="49"/>
        <v>6326.66</v>
      </c>
      <c r="M163" s="292"/>
      <c r="N163" s="249"/>
      <c r="O163" s="248">
        <f t="shared" si="50"/>
        <v>6326.66</v>
      </c>
      <c r="P163" s="93"/>
      <c r="Q163" s="52"/>
    </row>
    <row r="164" spans="1:17" ht="12.75" hidden="1">
      <c r="A164" s="66" t="s">
        <v>300</v>
      </c>
      <c r="B164" s="65">
        <v>2058</v>
      </c>
      <c r="C164" s="134"/>
      <c r="D164" s="99"/>
      <c r="E164" s="99"/>
      <c r="F164" s="89">
        <f t="shared" si="47"/>
        <v>0</v>
      </c>
      <c r="G164" s="169"/>
      <c r="H164" s="210"/>
      <c r="I164" s="230">
        <f t="shared" si="48"/>
        <v>0</v>
      </c>
      <c r="J164" s="169"/>
      <c r="K164" s="249"/>
      <c r="L164" s="248">
        <f t="shared" si="49"/>
        <v>0</v>
      </c>
      <c r="M164" s="292"/>
      <c r="N164" s="249"/>
      <c r="O164" s="248">
        <f t="shared" si="50"/>
        <v>0</v>
      </c>
      <c r="P164" s="93"/>
      <c r="Q164" s="52"/>
    </row>
    <row r="165" spans="1:17" ht="12.75">
      <c r="A165" s="17" t="s">
        <v>76</v>
      </c>
      <c r="B165" s="65"/>
      <c r="C165" s="134">
        <v>1559.4</v>
      </c>
      <c r="D165" s="99">
        <f>954+159.54+332.5+85.99+1428.88+391.14+155.61+7243.82</f>
        <v>10751.48</v>
      </c>
      <c r="E165" s="99"/>
      <c r="F165" s="89">
        <f t="shared" si="47"/>
        <v>12310.88</v>
      </c>
      <c r="G165" s="169">
        <f>-2900+747-1201.81</f>
        <v>-3354.81</v>
      </c>
      <c r="H165" s="210"/>
      <c r="I165" s="230">
        <f t="shared" si="48"/>
        <v>8956.07</v>
      </c>
      <c r="J165" s="169">
        <f>308.05+593.66+174.97+18.12+34.92+10.29+227.63-27.52-85.99+191.77+11.26+500-315</f>
        <v>1642.1599999999999</v>
      </c>
      <c r="K165" s="249"/>
      <c r="L165" s="248">
        <f t="shared" si="49"/>
        <v>10598.23</v>
      </c>
      <c r="M165" s="292">
        <f>15.77+268.04+1500</f>
        <v>1783.81</v>
      </c>
      <c r="N165" s="249"/>
      <c r="O165" s="248">
        <f t="shared" si="50"/>
        <v>12382.039999999999</v>
      </c>
      <c r="P165" s="93"/>
      <c r="Q165" s="52"/>
    </row>
    <row r="166" spans="1:17" ht="12.75">
      <c r="A166" s="24" t="s">
        <v>52</v>
      </c>
      <c r="B166" s="69"/>
      <c r="C166" s="138">
        <f>SUM(C168:C174)</f>
        <v>0</v>
      </c>
      <c r="D166" s="103">
        <f aca="true" t="shared" si="51" ref="D166:Q166">SUM(D168:D174)</f>
        <v>199473.66999999998</v>
      </c>
      <c r="E166" s="103">
        <f t="shared" si="51"/>
        <v>0</v>
      </c>
      <c r="F166" s="121">
        <f t="shared" si="51"/>
        <v>199473.66999999998</v>
      </c>
      <c r="G166" s="172">
        <f t="shared" si="51"/>
        <v>0</v>
      </c>
      <c r="H166" s="215">
        <f t="shared" si="51"/>
        <v>0</v>
      </c>
      <c r="I166" s="234">
        <f t="shared" si="51"/>
        <v>199473.66999999998</v>
      </c>
      <c r="J166" s="172">
        <f t="shared" si="51"/>
        <v>0</v>
      </c>
      <c r="K166" s="256">
        <f t="shared" si="51"/>
        <v>0</v>
      </c>
      <c r="L166" s="257">
        <f t="shared" si="51"/>
        <v>199473.66999999998</v>
      </c>
      <c r="M166" s="316">
        <f t="shared" si="51"/>
        <v>0</v>
      </c>
      <c r="N166" s="256">
        <f t="shared" si="51"/>
        <v>0</v>
      </c>
      <c r="O166" s="257">
        <f t="shared" si="51"/>
        <v>199473.66999999998</v>
      </c>
      <c r="P166" s="103">
        <f t="shared" si="51"/>
        <v>0</v>
      </c>
      <c r="Q166" s="138">
        <f t="shared" si="51"/>
        <v>0</v>
      </c>
    </row>
    <row r="167" spans="1:17" ht="12.75">
      <c r="A167" s="26" t="s">
        <v>26</v>
      </c>
      <c r="B167" s="65"/>
      <c r="C167" s="134"/>
      <c r="D167" s="99"/>
      <c r="E167" s="99"/>
      <c r="F167" s="89"/>
      <c r="G167" s="169"/>
      <c r="H167" s="210"/>
      <c r="I167" s="230"/>
      <c r="J167" s="169"/>
      <c r="K167" s="249"/>
      <c r="L167" s="248"/>
      <c r="M167" s="292"/>
      <c r="N167" s="249"/>
      <c r="O167" s="248"/>
      <c r="P167" s="93"/>
      <c r="Q167" s="52"/>
    </row>
    <row r="168" spans="1:17" ht="12.75" hidden="1">
      <c r="A168" s="26" t="s">
        <v>312</v>
      </c>
      <c r="B168" s="65">
        <v>2057</v>
      </c>
      <c r="C168" s="134"/>
      <c r="D168" s="99"/>
      <c r="E168" s="99"/>
      <c r="F168" s="89">
        <f aca="true" t="shared" si="52" ref="F168:F174">C168+D168+E168</f>
        <v>0</v>
      </c>
      <c r="G168" s="169"/>
      <c r="H168" s="210"/>
      <c r="I168" s="230">
        <f>F168+G168+H168</f>
        <v>0</v>
      </c>
      <c r="J168" s="169"/>
      <c r="K168" s="249"/>
      <c r="L168" s="248">
        <f>I168+J168+K168</f>
        <v>0</v>
      </c>
      <c r="M168" s="292"/>
      <c r="N168" s="249"/>
      <c r="O168" s="248">
        <f>L168+M168+N168</f>
        <v>0</v>
      </c>
      <c r="P168" s="93"/>
      <c r="Q168" s="52">
        <f aca="true" t="shared" si="53" ref="Q168:Q226">O168+P168</f>
        <v>0</v>
      </c>
    </row>
    <row r="169" spans="1:17" ht="12.75" hidden="1">
      <c r="A169" s="26" t="s">
        <v>298</v>
      </c>
      <c r="B169" s="65">
        <v>2064</v>
      </c>
      <c r="C169" s="134"/>
      <c r="D169" s="99"/>
      <c r="E169" s="99"/>
      <c r="F169" s="89">
        <f t="shared" si="52"/>
        <v>0</v>
      </c>
      <c r="G169" s="169"/>
      <c r="H169" s="210"/>
      <c r="I169" s="230"/>
      <c r="J169" s="169"/>
      <c r="K169" s="249"/>
      <c r="L169" s="248"/>
      <c r="M169" s="292"/>
      <c r="N169" s="249"/>
      <c r="O169" s="248"/>
      <c r="P169" s="93"/>
      <c r="Q169" s="52"/>
    </row>
    <row r="170" spans="1:17" ht="12.75">
      <c r="A170" s="26" t="s">
        <v>310</v>
      </c>
      <c r="B170" s="65">
        <v>2079</v>
      </c>
      <c r="C170" s="134"/>
      <c r="D170" s="99">
        <f>99736.83</f>
        <v>99736.83</v>
      </c>
      <c r="E170" s="99"/>
      <c r="F170" s="89">
        <f t="shared" si="52"/>
        <v>99736.83</v>
      </c>
      <c r="G170" s="169"/>
      <c r="H170" s="210"/>
      <c r="I170" s="230">
        <f>F170+G170+H170</f>
        <v>99736.83</v>
      </c>
      <c r="J170" s="169"/>
      <c r="K170" s="249"/>
      <c r="L170" s="248">
        <f>I170+J170+K170</f>
        <v>99736.83</v>
      </c>
      <c r="M170" s="292"/>
      <c r="N170" s="249"/>
      <c r="O170" s="248">
        <f>L170+M170+N170</f>
        <v>99736.83</v>
      </c>
      <c r="P170" s="93"/>
      <c r="Q170" s="52"/>
    </row>
    <row r="171" spans="1:17" ht="12.75">
      <c r="A171" s="155" t="s">
        <v>311</v>
      </c>
      <c r="B171" s="68">
        <v>2079</v>
      </c>
      <c r="C171" s="195"/>
      <c r="D171" s="148">
        <f>99736.84</f>
        <v>99736.84</v>
      </c>
      <c r="E171" s="148"/>
      <c r="F171" s="159">
        <f t="shared" si="52"/>
        <v>99736.84</v>
      </c>
      <c r="G171" s="174"/>
      <c r="H171" s="216"/>
      <c r="I171" s="235">
        <f>F171+G171+H171</f>
        <v>99736.84</v>
      </c>
      <c r="J171" s="174"/>
      <c r="K171" s="258"/>
      <c r="L171" s="259">
        <f>I171+J171+K171</f>
        <v>99736.84</v>
      </c>
      <c r="M171" s="302"/>
      <c r="N171" s="258"/>
      <c r="O171" s="259">
        <f>L171+M171+N171</f>
        <v>99736.84</v>
      </c>
      <c r="P171" s="93"/>
      <c r="Q171" s="52"/>
    </row>
    <row r="172" spans="1:17" ht="12.75" hidden="1">
      <c r="A172" s="17" t="s">
        <v>67</v>
      </c>
      <c r="B172" s="65"/>
      <c r="C172" s="134"/>
      <c r="D172" s="99"/>
      <c r="E172" s="99"/>
      <c r="F172" s="89">
        <f t="shared" si="52"/>
        <v>0</v>
      </c>
      <c r="G172" s="169"/>
      <c r="H172" s="210"/>
      <c r="I172" s="230">
        <f>F172+G172+H172</f>
        <v>0</v>
      </c>
      <c r="J172" s="169"/>
      <c r="K172" s="249"/>
      <c r="L172" s="248">
        <f>I172+J172+K172</f>
        <v>0</v>
      </c>
      <c r="M172" s="292"/>
      <c r="N172" s="249"/>
      <c r="O172" s="248">
        <f>L172+M172+N172</f>
        <v>0</v>
      </c>
      <c r="P172" s="93"/>
      <c r="Q172" s="52">
        <f t="shared" si="53"/>
        <v>0</v>
      </c>
    </row>
    <row r="173" spans="1:17" ht="12.75" hidden="1">
      <c r="A173" s="20" t="s">
        <v>53</v>
      </c>
      <c r="B173" s="68"/>
      <c r="C173" s="195"/>
      <c r="D173" s="148"/>
      <c r="E173" s="148"/>
      <c r="F173" s="159">
        <f t="shared" si="52"/>
        <v>0</v>
      </c>
      <c r="G173" s="169"/>
      <c r="H173" s="210"/>
      <c r="I173" s="230">
        <f>F173+G173+H173</f>
        <v>0</v>
      </c>
      <c r="J173" s="169"/>
      <c r="K173" s="249"/>
      <c r="L173" s="248">
        <f>I173+J173+K173</f>
        <v>0</v>
      </c>
      <c r="M173" s="292"/>
      <c r="N173" s="249"/>
      <c r="O173" s="248">
        <f>L173+M173+N173</f>
        <v>0</v>
      </c>
      <c r="P173" s="93"/>
      <c r="Q173" s="52">
        <f t="shared" si="53"/>
        <v>0</v>
      </c>
    </row>
    <row r="174" spans="1:17" ht="12.75" hidden="1">
      <c r="A174" s="20" t="s">
        <v>76</v>
      </c>
      <c r="B174" s="68"/>
      <c r="C174" s="195"/>
      <c r="D174" s="148"/>
      <c r="E174" s="148"/>
      <c r="F174" s="159">
        <f t="shared" si="52"/>
        <v>0</v>
      </c>
      <c r="G174" s="174"/>
      <c r="H174" s="216"/>
      <c r="I174" s="235">
        <f>F174+G174+H174</f>
        <v>0</v>
      </c>
      <c r="J174" s="174"/>
      <c r="K174" s="258"/>
      <c r="L174" s="259">
        <f>I174+J174+K174</f>
        <v>0</v>
      </c>
      <c r="M174" s="302"/>
      <c r="N174" s="258"/>
      <c r="O174" s="259">
        <f>L174+M174+N174</f>
        <v>0</v>
      </c>
      <c r="P174" s="295"/>
      <c r="Q174" s="54">
        <f t="shared" si="53"/>
        <v>0</v>
      </c>
    </row>
    <row r="175" spans="1:17" ht="12.75">
      <c r="A175" s="14" t="s">
        <v>80</v>
      </c>
      <c r="B175" s="69"/>
      <c r="C175" s="133">
        <f aca="true" t="shared" si="54" ref="C175:Q175">C176+C218</f>
        <v>401602.02</v>
      </c>
      <c r="D175" s="86">
        <f t="shared" si="54"/>
        <v>8246377.53</v>
      </c>
      <c r="E175" s="86">
        <f t="shared" si="54"/>
        <v>0</v>
      </c>
      <c r="F175" s="94">
        <f t="shared" si="54"/>
        <v>8647979.550000003</v>
      </c>
      <c r="G175" s="168">
        <f t="shared" si="54"/>
        <v>127838.15999999997</v>
      </c>
      <c r="H175" s="209">
        <f t="shared" si="54"/>
        <v>0</v>
      </c>
      <c r="I175" s="229">
        <f t="shared" si="54"/>
        <v>8775817.709999999</v>
      </c>
      <c r="J175" s="168">
        <f t="shared" si="54"/>
        <v>106172.15999999999</v>
      </c>
      <c r="K175" s="246">
        <f t="shared" si="54"/>
        <v>0</v>
      </c>
      <c r="L175" s="247">
        <f t="shared" si="54"/>
        <v>8881989.87</v>
      </c>
      <c r="M175" s="309">
        <f t="shared" si="54"/>
        <v>213799.44999999998</v>
      </c>
      <c r="N175" s="246">
        <f t="shared" si="54"/>
        <v>0</v>
      </c>
      <c r="O175" s="247">
        <f t="shared" si="54"/>
        <v>9095789.319999998</v>
      </c>
      <c r="P175" s="86">
        <f t="shared" si="54"/>
        <v>0</v>
      </c>
      <c r="Q175" s="133">
        <f t="shared" si="54"/>
        <v>833555.9600000001</v>
      </c>
    </row>
    <row r="176" spans="1:17" ht="12.75">
      <c r="A176" s="23" t="s">
        <v>48</v>
      </c>
      <c r="B176" s="69"/>
      <c r="C176" s="137">
        <f aca="true" t="shared" si="55" ref="C176:Q176">SUM(C178:C217)</f>
        <v>400862.02</v>
      </c>
      <c r="D176" s="102">
        <f t="shared" si="55"/>
        <v>8245836.890000001</v>
      </c>
      <c r="E176" s="102">
        <f t="shared" si="55"/>
        <v>0</v>
      </c>
      <c r="F176" s="120">
        <f t="shared" si="55"/>
        <v>8646698.910000002</v>
      </c>
      <c r="G176" s="171">
        <f t="shared" si="55"/>
        <v>126174.39999999998</v>
      </c>
      <c r="H176" s="214">
        <f t="shared" si="55"/>
        <v>0</v>
      </c>
      <c r="I176" s="233">
        <f t="shared" si="55"/>
        <v>8772873.309999999</v>
      </c>
      <c r="J176" s="171">
        <f t="shared" si="55"/>
        <v>106072.15999999999</v>
      </c>
      <c r="K176" s="254">
        <f t="shared" si="55"/>
        <v>0</v>
      </c>
      <c r="L176" s="255">
        <f t="shared" si="55"/>
        <v>8878945.469999999</v>
      </c>
      <c r="M176" s="315">
        <f t="shared" si="55"/>
        <v>213799.44999999998</v>
      </c>
      <c r="N176" s="254">
        <f t="shared" si="55"/>
        <v>0</v>
      </c>
      <c r="O176" s="255">
        <f t="shared" si="55"/>
        <v>9092744.919999998</v>
      </c>
      <c r="P176" s="102">
        <f t="shared" si="55"/>
        <v>0</v>
      </c>
      <c r="Q176" s="137">
        <f t="shared" si="55"/>
        <v>830511.56</v>
      </c>
    </row>
    <row r="177" spans="1:17" ht="12.75">
      <c r="A177" s="15" t="s">
        <v>26</v>
      </c>
      <c r="B177" s="65"/>
      <c r="C177" s="134"/>
      <c r="D177" s="99"/>
      <c r="E177" s="99"/>
      <c r="F177" s="89"/>
      <c r="G177" s="169"/>
      <c r="H177" s="210"/>
      <c r="I177" s="230"/>
      <c r="J177" s="169"/>
      <c r="K177" s="249"/>
      <c r="L177" s="248"/>
      <c r="M177" s="292"/>
      <c r="N177" s="249"/>
      <c r="O177" s="248"/>
      <c r="P177" s="93"/>
      <c r="Q177" s="52"/>
    </row>
    <row r="178" spans="1:17" ht="12.75">
      <c r="A178" s="21" t="s">
        <v>72</v>
      </c>
      <c r="B178" s="65"/>
      <c r="C178" s="134">
        <v>362078.95</v>
      </c>
      <c r="D178" s="99">
        <f>3980.63+15002.59</f>
        <v>18983.22</v>
      </c>
      <c r="E178" s="99"/>
      <c r="F178" s="89">
        <f aca="true" t="shared" si="56" ref="F178:F217">C178+D178+E178</f>
        <v>381062.17000000004</v>
      </c>
      <c r="G178" s="169">
        <f>3959.4+5000</f>
        <v>8959.4</v>
      </c>
      <c r="H178" s="210"/>
      <c r="I178" s="230">
        <f>F178+G178+H178</f>
        <v>390021.57000000007</v>
      </c>
      <c r="J178" s="169">
        <f>19753.64</f>
        <v>19753.64</v>
      </c>
      <c r="K178" s="249"/>
      <c r="L178" s="248">
        <f>I178+J178+K178</f>
        <v>409775.2100000001</v>
      </c>
      <c r="M178" s="292">
        <f>564.02+653.83+537.3</f>
        <v>1755.1499999999999</v>
      </c>
      <c r="N178" s="249"/>
      <c r="O178" s="248">
        <f>L178+M178+N178</f>
        <v>411530.3600000001</v>
      </c>
      <c r="P178" s="93"/>
      <c r="Q178" s="52">
        <f t="shared" si="53"/>
        <v>411530.3600000001</v>
      </c>
    </row>
    <row r="179" spans="1:17" ht="12.75">
      <c r="A179" s="21" t="s">
        <v>287</v>
      </c>
      <c r="B179" s="65">
        <v>33353</v>
      </c>
      <c r="C179" s="134"/>
      <c r="D179" s="99">
        <f>8106896.7</f>
        <v>8106896.7</v>
      </c>
      <c r="E179" s="99"/>
      <c r="F179" s="89">
        <f t="shared" si="56"/>
        <v>8106896.7</v>
      </c>
      <c r="G179" s="169"/>
      <c r="H179" s="210"/>
      <c r="I179" s="230">
        <f aca="true" t="shared" si="57" ref="I179:I217">F179+G179+H179</f>
        <v>8106896.7</v>
      </c>
      <c r="J179" s="169"/>
      <c r="K179" s="249"/>
      <c r="L179" s="248">
        <f aca="true" t="shared" si="58" ref="L179:L217">I179+J179+K179</f>
        <v>8106896.7</v>
      </c>
      <c r="M179" s="292">
        <f>476.63+68876.83+2124</f>
        <v>71477.46</v>
      </c>
      <c r="N179" s="249"/>
      <c r="O179" s="248">
        <f aca="true" t="shared" si="59" ref="O179:O217">L179+M179+N179</f>
        <v>8178374.16</v>
      </c>
      <c r="P179" s="93"/>
      <c r="Q179" s="52"/>
    </row>
    <row r="180" spans="1:17" ht="12.75">
      <c r="A180" s="21" t="s">
        <v>288</v>
      </c>
      <c r="B180" s="65">
        <v>33155</v>
      </c>
      <c r="C180" s="134"/>
      <c r="D180" s="150">
        <v>100779.32</v>
      </c>
      <c r="E180" s="99"/>
      <c r="F180" s="89">
        <f t="shared" si="56"/>
        <v>100779.32</v>
      </c>
      <c r="G180" s="169">
        <f>91445.3</f>
        <v>91445.3</v>
      </c>
      <c r="H180" s="210"/>
      <c r="I180" s="230">
        <f t="shared" si="57"/>
        <v>192224.62</v>
      </c>
      <c r="J180" s="169">
        <f>97299.65</f>
        <v>97299.65</v>
      </c>
      <c r="K180" s="249"/>
      <c r="L180" s="248">
        <f t="shared" si="58"/>
        <v>289524.27</v>
      </c>
      <c r="M180" s="292">
        <f>102709.5</f>
        <v>102709.5</v>
      </c>
      <c r="N180" s="249"/>
      <c r="O180" s="248">
        <f t="shared" si="59"/>
        <v>392233.77</v>
      </c>
      <c r="P180" s="93"/>
      <c r="Q180" s="52">
        <f t="shared" si="53"/>
        <v>392233.77</v>
      </c>
    </row>
    <row r="181" spans="1:17" ht="12.75" customHeight="1">
      <c r="A181" s="21" t="s">
        <v>81</v>
      </c>
      <c r="B181" s="65" t="s">
        <v>212</v>
      </c>
      <c r="C181" s="134"/>
      <c r="D181" s="99"/>
      <c r="E181" s="99"/>
      <c r="F181" s="89">
        <f t="shared" si="56"/>
        <v>0</v>
      </c>
      <c r="G181" s="169"/>
      <c r="H181" s="210"/>
      <c r="I181" s="230">
        <f t="shared" si="57"/>
        <v>0</v>
      </c>
      <c r="J181" s="169">
        <f>57.79</f>
        <v>57.79</v>
      </c>
      <c r="K181" s="249"/>
      <c r="L181" s="248">
        <f t="shared" si="58"/>
        <v>57.79</v>
      </c>
      <c r="M181" s="292"/>
      <c r="N181" s="249"/>
      <c r="O181" s="248">
        <f t="shared" si="59"/>
        <v>57.79</v>
      </c>
      <c r="P181" s="93"/>
      <c r="Q181" s="52">
        <f t="shared" si="53"/>
        <v>57.79</v>
      </c>
    </row>
    <row r="182" spans="1:17" ht="12.75" hidden="1">
      <c r="A182" s="21" t="s">
        <v>136</v>
      </c>
      <c r="B182" s="65"/>
      <c r="C182" s="134"/>
      <c r="D182" s="99"/>
      <c r="E182" s="99"/>
      <c r="F182" s="89">
        <f t="shared" si="56"/>
        <v>0</v>
      </c>
      <c r="G182" s="169"/>
      <c r="H182" s="210"/>
      <c r="I182" s="230">
        <f t="shared" si="57"/>
        <v>0</v>
      </c>
      <c r="J182" s="169"/>
      <c r="K182" s="249"/>
      <c r="L182" s="248">
        <f t="shared" si="58"/>
        <v>0</v>
      </c>
      <c r="M182" s="292"/>
      <c r="N182" s="249"/>
      <c r="O182" s="248">
        <f t="shared" si="59"/>
        <v>0</v>
      </c>
      <c r="P182" s="93"/>
      <c r="Q182" s="52">
        <f t="shared" si="53"/>
        <v>0</v>
      </c>
    </row>
    <row r="183" spans="1:17" ht="12.75" hidden="1">
      <c r="A183" s="21" t="s">
        <v>209</v>
      </c>
      <c r="B183" s="65">
        <v>33215</v>
      </c>
      <c r="C183" s="134"/>
      <c r="D183" s="99"/>
      <c r="E183" s="99"/>
      <c r="F183" s="89">
        <f t="shared" si="56"/>
        <v>0</v>
      </c>
      <c r="G183" s="169"/>
      <c r="H183" s="210"/>
      <c r="I183" s="230">
        <f t="shared" si="57"/>
        <v>0</v>
      </c>
      <c r="J183" s="169"/>
      <c r="K183" s="249"/>
      <c r="L183" s="248">
        <f t="shared" si="58"/>
        <v>0</v>
      </c>
      <c r="M183" s="292"/>
      <c r="N183" s="249"/>
      <c r="O183" s="248">
        <f t="shared" si="59"/>
        <v>0</v>
      </c>
      <c r="P183" s="93"/>
      <c r="Q183" s="52">
        <f t="shared" si="53"/>
        <v>0</v>
      </c>
    </row>
    <row r="184" spans="1:17" ht="12.75" hidden="1">
      <c r="A184" s="21" t="s">
        <v>210</v>
      </c>
      <c r="B184" s="65">
        <v>33457</v>
      </c>
      <c r="C184" s="134"/>
      <c r="D184" s="99"/>
      <c r="E184" s="99"/>
      <c r="F184" s="89">
        <f t="shared" si="56"/>
        <v>0</v>
      </c>
      <c r="G184" s="169"/>
      <c r="H184" s="210"/>
      <c r="I184" s="230">
        <f t="shared" si="57"/>
        <v>0</v>
      </c>
      <c r="J184" s="169"/>
      <c r="K184" s="249"/>
      <c r="L184" s="248">
        <f t="shared" si="58"/>
        <v>0</v>
      </c>
      <c r="M184" s="292"/>
      <c r="N184" s="249"/>
      <c r="O184" s="248">
        <f t="shared" si="59"/>
        <v>0</v>
      </c>
      <c r="P184" s="93"/>
      <c r="Q184" s="52">
        <f t="shared" si="53"/>
        <v>0</v>
      </c>
    </row>
    <row r="185" spans="1:17" ht="12.75">
      <c r="A185" s="21" t="s">
        <v>375</v>
      </c>
      <c r="B185" s="65">
        <v>33080</v>
      </c>
      <c r="C185" s="134"/>
      <c r="D185" s="99"/>
      <c r="E185" s="99"/>
      <c r="F185" s="89"/>
      <c r="G185" s="169"/>
      <c r="H185" s="210"/>
      <c r="I185" s="230"/>
      <c r="J185" s="169"/>
      <c r="K185" s="249"/>
      <c r="L185" s="248">
        <f t="shared" si="58"/>
        <v>0</v>
      </c>
      <c r="M185" s="292">
        <f>6685.54</f>
        <v>6685.54</v>
      </c>
      <c r="N185" s="249"/>
      <c r="O185" s="248">
        <f t="shared" si="59"/>
        <v>6685.54</v>
      </c>
      <c r="P185" s="93"/>
      <c r="Q185" s="52"/>
    </row>
    <row r="186" spans="1:17" ht="12.75" hidden="1">
      <c r="A186" s="38" t="s">
        <v>191</v>
      </c>
      <c r="B186" s="65">
        <v>33052</v>
      </c>
      <c r="C186" s="134"/>
      <c r="D186" s="99"/>
      <c r="E186" s="99"/>
      <c r="F186" s="89">
        <f t="shared" si="56"/>
        <v>0</v>
      </c>
      <c r="G186" s="169"/>
      <c r="H186" s="210"/>
      <c r="I186" s="230">
        <f t="shared" si="57"/>
        <v>0</v>
      </c>
      <c r="J186" s="169"/>
      <c r="K186" s="249"/>
      <c r="L186" s="248">
        <f t="shared" si="58"/>
        <v>0</v>
      </c>
      <c r="M186" s="292"/>
      <c r="N186" s="249"/>
      <c r="O186" s="248">
        <f t="shared" si="59"/>
        <v>0</v>
      </c>
      <c r="P186" s="93"/>
      <c r="Q186" s="52">
        <f t="shared" si="53"/>
        <v>0</v>
      </c>
    </row>
    <row r="187" spans="1:17" ht="12.75">
      <c r="A187" s="21" t="s">
        <v>345</v>
      </c>
      <c r="B187" s="65">
        <v>33075</v>
      </c>
      <c r="C187" s="134"/>
      <c r="D187" s="99"/>
      <c r="E187" s="99"/>
      <c r="F187" s="89">
        <f t="shared" si="56"/>
        <v>0</v>
      </c>
      <c r="G187" s="169">
        <f>2070</f>
        <v>2070</v>
      </c>
      <c r="H187" s="210"/>
      <c r="I187" s="230">
        <f t="shared" si="57"/>
        <v>2070</v>
      </c>
      <c r="J187" s="169"/>
      <c r="K187" s="249"/>
      <c r="L187" s="248">
        <f t="shared" si="58"/>
        <v>2070</v>
      </c>
      <c r="M187" s="292"/>
      <c r="N187" s="249"/>
      <c r="O187" s="248">
        <f t="shared" si="59"/>
        <v>2070</v>
      </c>
      <c r="P187" s="93"/>
      <c r="Q187" s="52"/>
    </row>
    <row r="188" spans="1:17" ht="12.75" hidden="1">
      <c r="A188" s="38" t="s">
        <v>271</v>
      </c>
      <c r="B188" s="65">
        <v>33076</v>
      </c>
      <c r="C188" s="134"/>
      <c r="D188" s="99"/>
      <c r="E188" s="99"/>
      <c r="F188" s="89">
        <f t="shared" si="56"/>
        <v>0</v>
      </c>
      <c r="G188" s="169"/>
      <c r="H188" s="210"/>
      <c r="I188" s="230">
        <f t="shared" si="57"/>
        <v>0</v>
      </c>
      <c r="J188" s="169"/>
      <c r="K188" s="249"/>
      <c r="L188" s="248">
        <f t="shared" si="58"/>
        <v>0</v>
      </c>
      <c r="M188" s="292"/>
      <c r="N188" s="249"/>
      <c r="O188" s="248">
        <f t="shared" si="59"/>
        <v>0</v>
      </c>
      <c r="P188" s="93"/>
      <c r="Q188" s="52"/>
    </row>
    <row r="189" spans="1:17" ht="12.75" hidden="1">
      <c r="A189" s="38" t="s">
        <v>227</v>
      </c>
      <c r="B189" s="65">
        <v>33069</v>
      </c>
      <c r="C189" s="134"/>
      <c r="D189" s="99"/>
      <c r="E189" s="99"/>
      <c r="F189" s="89">
        <f t="shared" si="56"/>
        <v>0</v>
      </c>
      <c r="G189" s="169"/>
      <c r="H189" s="210"/>
      <c r="I189" s="230">
        <f t="shared" si="57"/>
        <v>0</v>
      </c>
      <c r="J189" s="169"/>
      <c r="K189" s="249"/>
      <c r="L189" s="248">
        <f t="shared" si="58"/>
        <v>0</v>
      </c>
      <c r="M189" s="292"/>
      <c r="N189" s="249"/>
      <c r="O189" s="248">
        <f t="shared" si="59"/>
        <v>0</v>
      </c>
      <c r="P189" s="93"/>
      <c r="Q189" s="52"/>
    </row>
    <row r="190" spans="1:17" ht="12.75">
      <c r="A190" s="38" t="s">
        <v>260</v>
      </c>
      <c r="B190" s="65">
        <v>33070</v>
      </c>
      <c r="C190" s="134"/>
      <c r="D190" s="99"/>
      <c r="E190" s="99"/>
      <c r="F190" s="89">
        <f t="shared" si="56"/>
        <v>0</v>
      </c>
      <c r="G190" s="169"/>
      <c r="H190" s="210"/>
      <c r="I190" s="230">
        <f t="shared" si="57"/>
        <v>0</v>
      </c>
      <c r="J190" s="169"/>
      <c r="K190" s="249"/>
      <c r="L190" s="248">
        <f t="shared" si="58"/>
        <v>0</v>
      </c>
      <c r="M190" s="292">
        <f>3040.84</f>
        <v>3040.84</v>
      </c>
      <c r="N190" s="249"/>
      <c r="O190" s="248">
        <f t="shared" si="59"/>
        <v>3040.84</v>
      </c>
      <c r="P190" s="93"/>
      <c r="Q190" s="52"/>
    </row>
    <row r="191" spans="1:17" ht="12.75">
      <c r="A191" s="21" t="s">
        <v>365</v>
      </c>
      <c r="B191" s="65">
        <v>33040</v>
      </c>
      <c r="C191" s="134"/>
      <c r="D191" s="99"/>
      <c r="E191" s="99"/>
      <c r="F191" s="89"/>
      <c r="G191" s="169"/>
      <c r="H191" s="210"/>
      <c r="I191" s="230"/>
      <c r="J191" s="169"/>
      <c r="K191" s="249"/>
      <c r="L191" s="248">
        <f t="shared" si="58"/>
        <v>0</v>
      </c>
      <c r="M191" s="292">
        <f>654.32</f>
        <v>654.32</v>
      </c>
      <c r="N191" s="249"/>
      <c r="O191" s="248">
        <f t="shared" si="59"/>
        <v>654.32</v>
      </c>
      <c r="P191" s="93"/>
      <c r="Q191" s="52"/>
    </row>
    <row r="192" spans="1:17" ht="12.75">
      <c r="A192" s="21" t="s">
        <v>253</v>
      </c>
      <c r="B192" s="65">
        <v>33071</v>
      </c>
      <c r="C192" s="134"/>
      <c r="D192" s="99"/>
      <c r="E192" s="99"/>
      <c r="F192" s="89">
        <f t="shared" si="56"/>
        <v>0</v>
      </c>
      <c r="G192" s="169">
        <f>735</f>
        <v>735</v>
      </c>
      <c r="H192" s="210"/>
      <c r="I192" s="230">
        <f t="shared" si="57"/>
        <v>735</v>
      </c>
      <c r="J192" s="169">
        <f>-671.36</f>
        <v>-671.36</v>
      </c>
      <c r="K192" s="249"/>
      <c r="L192" s="248">
        <f t="shared" si="58"/>
        <v>63.639999999999986</v>
      </c>
      <c r="M192" s="292"/>
      <c r="N192" s="249"/>
      <c r="O192" s="248">
        <f t="shared" si="59"/>
        <v>63.639999999999986</v>
      </c>
      <c r="P192" s="93"/>
      <c r="Q192" s="52">
        <f t="shared" si="53"/>
        <v>63.639999999999986</v>
      </c>
    </row>
    <row r="193" spans="1:17" ht="12.75" hidden="1">
      <c r="A193" s="21" t="s">
        <v>192</v>
      </c>
      <c r="B193" s="65">
        <v>33050</v>
      </c>
      <c r="C193" s="134"/>
      <c r="D193" s="99"/>
      <c r="E193" s="99"/>
      <c r="F193" s="89">
        <f t="shared" si="56"/>
        <v>0</v>
      </c>
      <c r="G193" s="169"/>
      <c r="H193" s="210"/>
      <c r="I193" s="230">
        <f t="shared" si="57"/>
        <v>0</v>
      </c>
      <c r="J193" s="169"/>
      <c r="K193" s="249"/>
      <c r="L193" s="248">
        <f t="shared" si="58"/>
        <v>0</v>
      </c>
      <c r="M193" s="292"/>
      <c r="N193" s="249"/>
      <c r="O193" s="248">
        <f t="shared" si="59"/>
        <v>0</v>
      </c>
      <c r="P193" s="93"/>
      <c r="Q193" s="52">
        <f t="shared" si="53"/>
        <v>0</v>
      </c>
    </row>
    <row r="194" spans="1:17" ht="12.75" hidden="1">
      <c r="A194" s="21" t="s">
        <v>148</v>
      </c>
      <c r="B194" s="65">
        <v>33435</v>
      </c>
      <c r="C194" s="134"/>
      <c r="D194" s="99"/>
      <c r="E194" s="99"/>
      <c r="F194" s="89">
        <f t="shared" si="56"/>
        <v>0</v>
      </c>
      <c r="G194" s="169"/>
      <c r="H194" s="210"/>
      <c r="I194" s="230">
        <f t="shared" si="57"/>
        <v>0</v>
      </c>
      <c r="J194" s="169"/>
      <c r="K194" s="249"/>
      <c r="L194" s="248">
        <f t="shared" si="58"/>
        <v>0</v>
      </c>
      <c r="M194" s="292"/>
      <c r="N194" s="249"/>
      <c r="O194" s="248">
        <f t="shared" si="59"/>
        <v>0</v>
      </c>
      <c r="P194" s="93"/>
      <c r="Q194" s="52">
        <f t="shared" si="53"/>
        <v>0</v>
      </c>
    </row>
    <row r="195" spans="1:17" ht="12.75" hidden="1">
      <c r="A195" s="21" t="s">
        <v>215</v>
      </c>
      <c r="B195" s="65">
        <v>33049</v>
      </c>
      <c r="C195" s="134"/>
      <c r="D195" s="99"/>
      <c r="E195" s="99"/>
      <c r="F195" s="89">
        <f t="shared" si="56"/>
        <v>0</v>
      </c>
      <c r="G195" s="169"/>
      <c r="H195" s="210"/>
      <c r="I195" s="230">
        <f t="shared" si="57"/>
        <v>0</v>
      </c>
      <c r="J195" s="169"/>
      <c r="K195" s="249"/>
      <c r="L195" s="248">
        <f t="shared" si="58"/>
        <v>0</v>
      </c>
      <c r="M195" s="292"/>
      <c r="N195" s="249"/>
      <c r="O195" s="248">
        <f t="shared" si="59"/>
        <v>0</v>
      </c>
      <c r="P195" s="93"/>
      <c r="Q195" s="52"/>
    </row>
    <row r="196" spans="1:17" ht="12.75" hidden="1">
      <c r="A196" s="21" t="s">
        <v>193</v>
      </c>
      <c r="B196" s="65">
        <v>33044</v>
      </c>
      <c r="C196" s="134"/>
      <c r="D196" s="99"/>
      <c r="E196" s="99"/>
      <c r="F196" s="89">
        <f t="shared" si="56"/>
        <v>0</v>
      </c>
      <c r="G196" s="169"/>
      <c r="H196" s="210"/>
      <c r="I196" s="230">
        <f t="shared" si="57"/>
        <v>0</v>
      </c>
      <c r="J196" s="169"/>
      <c r="K196" s="249"/>
      <c r="L196" s="248">
        <f t="shared" si="58"/>
        <v>0</v>
      </c>
      <c r="M196" s="292"/>
      <c r="N196" s="249"/>
      <c r="O196" s="248">
        <f t="shared" si="59"/>
        <v>0</v>
      </c>
      <c r="P196" s="93"/>
      <c r="Q196" s="52">
        <f t="shared" si="53"/>
        <v>0</v>
      </c>
    </row>
    <row r="197" spans="1:17" ht="12.75" hidden="1">
      <c r="A197" s="21" t="s">
        <v>198</v>
      </c>
      <c r="B197" s="65">
        <v>33024</v>
      </c>
      <c r="C197" s="134"/>
      <c r="D197" s="99"/>
      <c r="E197" s="99"/>
      <c r="F197" s="89">
        <f t="shared" si="56"/>
        <v>0</v>
      </c>
      <c r="G197" s="169"/>
      <c r="H197" s="210"/>
      <c r="I197" s="230">
        <f t="shared" si="57"/>
        <v>0</v>
      </c>
      <c r="J197" s="169"/>
      <c r="K197" s="249"/>
      <c r="L197" s="248">
        <f t="shared" si="58"/>
        <v>0</v>
      </c>
      <c r="M197" s="292"/>
      <c r="N197" s="249"/>
      <c r="O197" s="248">
        <f t="shared" si="59"/>
        <v>0</v>
      </c>
      <c r="P197" s="93"/>
      <c r="Q197" s="52"/>
    </row>
    <row r="198" spans="1:17" ht="12.75" hidden="1">
      <c r="A198" s="38" t="s">
        <v>153</v>
      </c>
      <c r="B198" s="65">
        <v>33018</v>
      </c>
      <c r="C198" s="134"/>
      <c r="D198" s="99"/>
      <c r="E198" s="99"/>
      <c r="F198" s="89">
        <f t="shared" si="56"/>
        <v>0</v>
      </c>
      <c r="G198" s="169"/>
      <c r="H198" s="210"/>
      <c r="I198" s="230">
        <f t="shared" si="57"/>
        <v>0</v>
      </c>
      <c r="J198" s="169"/>
      <c r="K198" s="249"/>
      <c r="L198" s="248">
        <f t="shared" si="58"/>
        <v>0</v>
      </c>
      <c r="M198" s="292"/>
      <c r="N198" s="249"/>
      <c r="O198" s="248">
        <f t="shared" si="59"/>
        <v>0</v>
      </c>
      <c r="P198" s="93"/>
      <c r="Q198" s="52">
        <f t="shared" si="53"/>
        <v>0</v>
      </c>
    </row>
    <row r="199" spans="1:17" ht="12.75" hidden="1">
      <c r="A199" s="19" t="s">
        <v>154</v>
      </c>
      <c r="B199" s="65"/>
      <c r="C199" s="134"/>
      <c r="D199" s="99"/>
      <c r="E199" s="99"/>
      <c r="F199" s="89">
        <f t="shared" si="56"/>
        <v>0</v>
      </c>
      <c r="G199" s="169"/>
      <c r="H199" s="210"/>
      <c r="I199" s="230">
        <f t="shared" si="57"/>
        <v>0</v>
      </c>
      <c r="J199" s="169"/>
      <c r="K199" s="249"/>
      <c r="L199" s="248">
        <f t="shared" si="58"/>
        <v>0</v>
      </c>
      <c r="M199" s="292"/>
      <c r="N199" s="249"/>
      <c r="O199" s="248">
        <f t="shared" si="59"/>
        <v>0</v>
      </c>
      <c r="P199" s="93"/>
      <c r="Q199" s="52">
        <f t="shared" si="53"/>
        <v>0</v>
      </c>
    </row>
    <row r="200" spans="1:17" ht="12.75">
      <c r="A200" s="38" t="s">
        <v>173</v>
      </c>
      <c r="B200" s="65">
        <v>33160</v>
      </c>
      <c r="C200" s="134"/>
      <c r="D200" s="99"/>
      <c r="E200" s="99"/>
      <c r="F200" s="89">
        <f t="shared" si="56"/>
        <v>0</v>
      </c>
      <c r="G200" s="169">
        <f>93.4</f>
        <v>93.4</v>
      </c>
      <c r="H200" s="210"/>
      <c r="I200" s="230">
        <f t="shared" si="57"/>
        <v>93.4</v>
      </c>
      <c r="J200" s="169">
        <f>-66.06</f>
        <v>-66.06</v>
      </c>
      <c r="K200" s="249"/>
      <c r="L200" s="248">
        <f t="shared" si="58"/>
        <v>27.340000000000003</v>
      </c>
      <c r="M200" s="292"/>
      <c r="N200" s="249"/>
      <c r="O200" s="248">
        <f t="shared" si="59"/>
        <v>27.340000000000003</v>
      </c>
      <c r="P200" s="93"/>
      <c r="Q200" s="52">
        <f t="shared" si="53"/>
        <v>27.340000000000003</v>
      </c>
    </row>
    <row r="201" spans="1:17" ht="12.75" hidden="1">
      <c r="A201" s="21" t="s">
        <v>141</v>
      </c>
      <c r="B201" s="65"/>
      <c r="C201" s="134"/>
      <c r="D201" s="99"/>
      <c r="E201" s="99"/>
      <c r="F201" s="89">
        <f t="shared" si="56"/>
        <v>0</v>
      </c>
      <c r="G201" s="169"/>
      <c r="H201" s="210"/>
      <c r="I201" s="230">
        <f t="shared" si="57"/>
        <v>0</v>
      </c>
      <c r="J201" s="169"/>
      <c r="K201" s="249"/>
      <c r="L201" s="248">
        <f t="shared" si="58"/>
        <v>0</v>
      </c>
      <c r="M201" s="292"/>
      <c r="N201" s="249"/>
      <c r="O201" s="248">
        <f t="shared" si="59"/>
        <v>0</v>
      </c>
      <c r="P201" s="93"/>
      <c r="Q201" s="52">
        <f t="shared" si="53"/>
        <v>0</v>
      </c>
    </row>
    <row r="202" spans="1:17" ht="12.75" hidden="1">
      <c r="A202" s="38" t="s">
        <v>131</v>
      </c>
      <c r="B202" s="65"/>
      <c r="C202" s="134"/>
      <c r="D202" s="99"/>
      <c r="E202" s="99"/>
      <c r="F202" s="89">
        <f t="shared" si="56"/>
        <v>0</v>
      </c>
      <c r="G202" s="169"/>
      <c r="H202" s="210"/>
      <c r="I202" s="230">
        <f t="shared" si="57"/>
        <v>0</v>
      </c>
      <c r="J202" s="169"/>
      <c r="K202" s="249"/>
      <c r="L202" s="248">
        <f t="shared" si="58"/>
        <v>0</v>
      </c>
      <c r="M202" s="292"/>
      <c r="N202" s="249"/>
      <c r="O202" s="248">
        <f t="shared" si="59"/>
        <v>0</v>
      </c>
      <c r="P202" s="93"/>
      <c r="Q202" s="52">
        <f t="shared" si="53"/>
        <v>0</v>
      </c>
    </row>
    <row r="203" spans="1:17" ht="12.75" hidden="1">
      <c r="A203" s="38" t="s">
        <v>140</v>
      </c>
      <c r="B203" s="65"/>
      <c r="C203" s="134"/>
      <c r="D203" s="99"/>
      <c r="E203" s="99"/>
      <c r="F203" s="89">
        <f t="shared" si="56"/>
        <v>0</v>
      </c>
      <c r="G203" s="169"/>
      <c r="H203" s="210"/>
      <c r="I203" s="230">
        <f t="shared" si="57"/>
        <v>0</v>
      </c>
      <c r="J203" s="169"/>
      <c r="K203" s="249"/>
      <c r="L203" s="248">
        <f t="shared" si="58"/>
        <v>0</v>
      </c>
      <c r="M203" s="292"/>
      <c r="N203" s="249"/>
      <c r="O203" s="248">
        <f t="shared" si="59"/>
        <v>0</v>
      </c>
      <c r="P203" s="93"/>
      <c r="Q203" s="52">
        <f t="shared" si="53"/>
        <v>0</v>
      </c>
    </row>
    <row r="204" spans="1:17" ht="12.75" hidden="1">
      <c r="A204" s="21" t="s">
        <v>82</v>
      </c>
      <c r="B204" s="65">
        <v>33025</v>
      </c>
      <c r="C204" s="134"/>
      <c r="D204" s="99"/>
      <c r="E204" s="99"/>
      <c r="F204" s="89">
        <f t="shared" si="56"/>
        <v>0</v>
      </c>
      <c r="G204" s="169"/>
      <c r="H204" s="210"/>
      <c r="I204" s="230">
        <f t="shared" si="57"/>
        <v>0</v>
      </c>
      <c r="J204" s="169"/>
      <c r="K204" s="249"/>
      <c r="L204" s="248">
        <f t="shared" si="58"/>
        <v>0</v>
      </c>
      <c r="M204" s="292"/>
      <c r="N204" s="249"/>
      <c r="O204" s="248">
        <f t="shared" si="59"/>
        <v>0</v>
      </c>
      <c r="P204" s="93"/>
      <c r="Q204" s="52">
        <f t="shared" si="53"/>
        <v>0</v>
      </c>
    </row>
    <row r="205" spans="1:17" ht="12.75">
      <c r="A205" s="38" t="s">
        <v>364</v>
      </c>
      <c r="B205" s="65"/>
      <c r="C205" s="134"/>
      <c r="D205" s="99"/>
      <c r="E205" s="99"/>
      <c r="F205" s="89"/>
      <c r="G205" s="169"/>
      <c r="H205" s="210"/>
      <c r="I205" s="230">
        <f t="shared" si="57"/>
        <v>0</v>
      </c>
      <c r="J205" s="169"/>
      <c r="K205" s="249"/>
      <c r="L205" s="248">
        <f t="shared" si="58"/>
        <v>0</v>
      </c>
      <c r="M205" s="292">
        <f>498.3+4826.69+5173.44</f>
        <v>10498.43</v>
      </c>
      <c r="N205" s="249"/>
      <c r="O205" s="248">
        <f t="shared" si="59"/>
        <v>10498.43</v>
      </c>
      <c r="P205" s="93"/>
      <c r="Q205" s="52"/>
    </row>
    <row r="206" spans="1:17" ht="13.5" thickBot="1">
      <c r="A206" s="340" t="s">
        <v>162</v>
      </c>
      <c r="B206" s="330">
        <v>33038</v>
      </c>
      <c r="C206" s="331"/>
      <c r="D206" s="332"/>
      <c r="E206" s="332"/>
      <c r="F206" s="333">
        <f t="shared" si="56"/>
        <v>0</v>
      </c>
      <c r="G206" s="334">
        <f>1490.9</f>
        <v>1490.9</v>
      </c>
      <c r="H206" s="335"/>
      <c r="I206" s="336">
        <f t="shared" si="57"/>
        <v>1490.9</v>
      </c>
      <c r="J206" s="334"/>
      <c r="K206" s="337"/>
      <c r="L206" s="338">
        <f t="shared" si="58"/>
        <v>1490.9</v>
      </c>
      <c r="M206" s="341"/>
      <c r="N206" s="337"/>
      <c r="O206" s="338">
        <f t="shared" si="59"/>
        <v>1490.9</v>
      </c>
      <c r="P206" s="93"/>
      <c r="Q206" s="52">
        <f t="shared" si="53"/>
        <v>1490.9</v>
      </c>
    </row>
    <row r="207" spans="1:17" ht="12.75">
      <c r="A207" s="21" t="s">
        <v>272</v>
      </c>
      <c r="B207" s="65">
        <v>33063</v>
      </c>
      <c r="C207" s="134"/>
      <c r="D207" s="99">
        <f>10991.83+1658.34</f>
        <v>12650.17</v>
      </c>
      <c r="E207" s="99"/>
      <c r="F207" s="89">
        <f t="shared" si="56"/>
        <v>12650.17</v>
      </c>
      <c r="G207" s="169">
        <f>6566.9+3355.18+953.09+1598.95+1500</f>
        <v>13974.12</v>
      </c>
      <c r="H207" s="210"/>
      <c r="I207" s="230">
        <f t="shared" si="57"/>
        <v>26624.29</v>
      </c>
      <c r="J207" s="169"/>
      <c r="K207" s="249"/>
      <c r="L207" s="248">
        <f t="shared" si="58"/>
        <v>26624.29</v>
      </c>
      <c r="M207" s="292">
        <f>1500+293.46</f>
        <v>1793.46</v>
      </c>
      <c r="N207" s="249"/>
      <c r="O207" s="248">
        <f t="shared" si="59"/>
        <v>28417.75</v>
      </c>
      <c r="P207" s="93"/>
      <c r="Q207" s="52"/>
    </row>
    <row r="208" spans="1:17" ht="12.75">
      <c r="A208" s="21" t="s">
        <v>358</v>
      </c>
      <c r="B208" s="65" t="s">
        <v>266</v>
      </c>
      <c r="C208" s="134"/>
      <c r="D208" s="99"/>
      <c r="E208" s="99"/>
      <c r="F208" s="89">
        <f t="shared" si="56"/>
        <v>0</v>
      </c>
      <c r="G208" s="169"/>
      <c r="H208" s="210"/>
      <c r="I208" s="230">
        <f t="shared" si="57"/>
        <v>0</v>
      </c>
      <c r="J208" s="169">
        <f>7.34+225.78</f>
        <v>233.12</v>
      </c>
      <c r="K208" s="249"/>
      <c r="L208" s="248">
        <f t="shared" si="58"/>
        <v>233.12</v>
      </c>
      <c r="M208" s="292">
        <f>-0.01</f>
        <v>-0.01</v>
      </c>
      <c r="N208" s="249"/>
      <c r="O208" s="248">
        <f t="shared" si="59"/>
        <v>233.11</v>
      </c>
      <c r="P208" s="93"/>
      <c r="Q208" s="52"/>
    </row>
    <row r="209" spans="1:17" ht="12.75">
      <c r="A209" s="21" t="s">
        <v>305</v>
      </c>
      <c r="B209" s="65">
        <v>2054</v>
      </c>
      <c r="C209" s="134"/>
      <c r="D209" s="99">
        <f>183.89</f>
        <v>183.89</v>
      </c>
      <c r="E209" s="99"/>
      <c r="F209" s="89">
        <f t="shared" si="56"/>
        <v>183.89</v>
      </c>
      <c r="G209" s="169"/>
      <c r="H209" s="210"/>
      <c r="I209" s="230">
        <f t="shared" si="57"/>
        <v>183.89</v>
      </c>
      <c r="J209" s="169"/>
      <c r="K209" s="249"/>
      <c r="L209" s="248">
        <f t="shared" si="58"/>
        <v>183.89</v>
      </c>
      <c r="M209" s="292"/>
      <c r="N209" s="249"/>
      <c r="O209" s="248">
        <f t="shared" si="59"/>
        <v>183.89</v>
      </c>
      <c r="P209" s="93"/>
      <c r="Q209" s="52"/>
    </row>
    <row r="210" spans="1:17" ht="12.75">
      <c r="A210" s="21" t="s">
        <v>309</v>
      </c>
      <c r="B210" s="65">
        <v>2054</v>
      </c>
      <c r="C210" s="134"/>
      <c r="D210" s="99">
        <f>1744.74</f>
        <v>1744.74</v>
      </c>
      <c r="E210" s="99"/>
      <c r="F210" s="89">
        <f t="shared" si="56"/>
        <v>1744.74</v>
      </c>
      <c r="G210" s="169"/>
      <c r="H210" s="210"/>
      <c r="I210" s="230">
        <f t="shared" si="57"/>
        <v>1744.74</v>
      </c>
      <c r="J210" s="169">
        <f>3643.17</f>
        <v>3643.17</v>
      </c>
      <c r="K210" s="249"/>
      <c r="L210" s="248">
        <f t="shared" si="58"/>
        <v>5387.91</v>
      </c>
      <c r="M210" s="292"/>
      <c r="N210" s="249"/>
      <c r="O210" s="248">
        <f t="shared" si="59"/>
        <v>5387.91</v>
      </c>
      <c r="P210" s="93"/>
      <c r="Q210" s="52"/>
    </row>
    <row r="211" spans="1:17" ht="12.75">
      <c r="A211" s="21" t="s">
        <v>306</v>
      </c>
      <c r="B211" s="65">
        <v>2066</v>
      </c>
      <c r="C211" s="134"/>
      <c r="D211" s="99">
        <f>636.23</f>
        <v>636.23</v>
      </c>
      <c r="E211" s="99"/>
      <c r="F211" s="89">
        <f t="shared" si="56"/>
        <v>636.23</v>
      </c>
      <c r="G211" s="169"/>
      <c r="H211" s="210"/>
      <c r="I211" s="230">
        <f t="shared" si="57"/>
        <v>636.23</v>
      </c>
      <c r="J211" s="169"/>
      <c r="K211" s="249"/>
      <c r="L211" s="248">
        <f t="shared" si="58"/>
        <v>636.23</v>
      </c>
      <c r="M211" s="292"/>
      <c r="N211" s="249"/>
      <c r="O211" s="248">
        <f t="shared" si="59"/>
        <v>636.23</v>
      </c>
      <c r="P211" s="93"/>
      <c r="Q211" s="52">
        <f t="shared" si="53"/>
        <v>636.23</v>
      </c>
    </row>
    <row r="212" spans="1:17" ht="12.75">
      <c r="A212" s="21" t="s">
        <v>277</v>
      </c>
      <c r="B212" s="65">
        <v>2066</v>
      </c>
      <c r="C212" s="134"/>
      <c r="D212" s="99"/>
      <c r="E212" s="99"/>
      <c r="F212" s="89">
        <f t="shared" si="56"/>
        <v>0</v>
      </c>
      <c r="G212" s="169">
        <f>7600</f>
        <v>7600</v>
      </c>
      <c r="H212" s="210"/>
      <c r="I212" s="230">
        <f t="shared" si="57"/>
        <v>7600</v>
      </c>
      <c r="J212" s="169"/>
      <c r="K212" s="249"/>
      <c r="L212" s="248">
        <f t="shared" si="58"/>
        <v>7600</v>
      </c>
      <c r="M212" s="292">
        <f>13300</f>
        <v>13300</v>
      </c>
      <c r="N212" s="249"/>
      <c r="O212" s="248">
        <f t="shared" si="59"/>
        <v>20900</v>
      </c>
      <c r="P212" s="93"/>
      <c r="Q212" s="52"/>
    </row>
    <row r="213" spans="1:17" ht="12.75">
      <c r="A213" s="21" t="s">
        <v>333</v>
      </c>
      <c r="B213" s="65">
        <v>13305</v>
      </c>
      <c r="C213" s="134"/>
      <c r="D213" s="99"/>
      <c r="E213" s="99"/>
      <c r="F213" s="89">
        <f t="shared" si="56"/>
        <v>0</v>
      </c>
      <c r="G213" s="169">
        <f>3408.25</f>
        <v>3408.25</v>
      </c>
      <c r="H213" s="210"/>
      <c r="I213" s="230">
        <f t="shared" si="57"/>
        <v>3408.25</v>
      </c>
      <c r="J213" s="169">
        <f>2272.16</f>
        <v>2272.16</v>
      </c>
      <c r="K213" s="249"/>
      <c r="L213" s="248">
        <f t="shared" si="58"/>
        <v>5680.41</v>
      </c>
      <c r="M213" s="292"/>
      <c r="N213" s="249"/>
      <c r="O213" s="248">
        <f t="shared" si="59"/>
        <v>5680.41</v>
      </c>
      <c r="P213" s="93"/>
      <c r="Q213" s="52"/>
    </row>
    <row r="214" spans="1:17" ht="12.75">
      <c r="A214" s="21" t="s">
        <v>377</v>
      </c>
      <c r="B214" s="65"/>
      <c r="C214" s="134"/>
      <c r="D214" s="99"/>
      <c r="E214" s="99"/>
      <c r="F214" s="89"/>
      <c r="G214" s="169"/>
      <c r="H214" s="210"/>
      <c r="I214" s="230"/>
      <c r="J214" s="169"/>
      <c r="K214" s="249"/>
      <c r="L214" s="248">
        <f t="shared" si="58"/>
        <v>0</v>
      </c>
      <c r="M214" s="292">
        <f>28</f>
        <v>28</v>
      </c>
      <c r="N214" s="249"/>
      <c r="O214" s="248">
        <f t="shared" si="59"/>
        <v>28</v>
      </c>
      <c r="P214" s="93"/>
      <c r="Q214" s="52"/>
    </row>
    <row r="215" spans="1:17" ht="12.75">
      <c r="A215" s="21" t="s">
        <v>363</v>
      </c>
      <c r="B215" s="65"/>
      <c r="C215" s="134"/>
      <c r="D215" s="99"/>
      <c r="E215" s="99"/>
      <c r="F215" s="89"/>
      <c r="G215" s="169"/>
      <c r="H215" s="210"/>
      <c r="I215" s="230">
        <f t="shared" si="57"/>
        <v>0</v>
      </c>
      <c r="J215" s="169">
        <f>79</f>
        <v>79</v>
      </c>
      <c r="K215" s="249"/>
      <c r="L215" s="248">
        <f t="shared" si="58"/>
        <v>79</v>
      </c>
      <c r="M215" s="292"/>
      <c r="N215" s="249"/>
      <c r="O215" s="248">
        <f t="shared" si="59"/>
        <v>79</v>
      </c>
      <c r="P215" s="93"/>
      <c r="Q215" s="52"/>
    </row>
    <row r="216" spans="1:17" ht="12.75">
      <c r="A216" s="21" t="s">
        <v>75</v>
      </c>
      <c r="B216" s="128" t="s">
        <v>263</v>
      </c>
      <c r="C216" s="134"/>
      <c r="D216" s="99">
        <f>213.18+6902+349.03+6964.2</f>
        <v>14428.41</v>
      </c>
      <c r="E216" s="99"/>
      <c r="F216" s="89">
        <f t="shared" si="56"/>
        <v>14428.41</v>
      </c>
      <c r="G216" s="169">
        <f>300.78</f>
        <v>300.78</v>
      </c>
      <c r="H216" s="210"/>
      <c r="I216" s="230">
        <f t="shared" si="57"/>
        <v>14729.19</v>
      </c>
      <c r="J216" s="169"/>
      <c r="K216" s="249"/>
      <c r="L216" s="248">
        <f t="shared" si="58"/>
        <v>14729.19</v>
      </c>
      <c r="M216" s="292">
        <f>2622.76</f>
        <v>2622.76</v>
      </c>
      <c r="N216" s="249"/>
      <c r="O216" s="248">
        <f t="shared" si="59"/>
        <v>17351.95</v>
      </c>
      <c r="P216" s="93"/>
      <c r="Q216" s="52">
        <f t="shared" si="53"/>
        <v>17351.95</v>
      </c>
    </row>
    <row r="217" spans="1:17" ht="12.75">
      <c r="A217" s="21" t="s">
        <v>50</v>
      </c>
      <c r="B217" s="65"/>
      <c r="C217" s="134">
        <v>38783.07</v>
      </c>
      <c r="D217" s="99">
        <f>-4500+1190.66-12156.45+5000</f>
        <v>-10465.79</v>
      </c>
      <c r="E217" s="99"/>
      <c r="F217" s="89">
        <f t="shared" si="56"/>
        <v>28317.28</v>
      </c>
      <c r="G217" s="169">
        <f>-3902.75</f>
        <v>-3902.75</v>
      </c>
      <c r="H217" s="210"/>
      <c r="I217" s="230">
        <f t="shared" si="57"/>
        <v>24414.53</v>
      </c>
      <c r="J217" s="169">
        <f>-16528.95</f>
        <v>-16528.95</v>
      </c>
      <c r="K217" s="249"/>
      <c r="L217" s="248">
        <f t="shared" si="58"/>
        <v>7885.579999999998</v>
      </c>
      <c r="M217" s="292">
        <f>-555.73-342.68+132.41</f>
        <v>-766.0000000000001</v>
      </c>
      <c r="N217" s="249"/>
      <c r="O217" s="248">
        <f t="shared" si="59"/>
        <v>7119.579999999998</v>
      </c>
      <c r="P217" s="93"/>
      <c r="Q217" s="52">
        <f t="shared" si="53"/>
        <v>7119.579999999998</v>
      </c>
    </row>
    <row r="218" spans="1:17" ht="12.75">
      <c r="A218" s="24" t="s">
        <v>52</v>
      </c>
      <c r="B218" s="69"/>
      <c r="C218" s="138">
        <f>SUM(C220:C226)</f>
        <v>740</v>
      </c>
      <c r="D218" s="103">
        <f aca="true" t="shared" si="60" ref="D218:Q218">SUM(D220:D226)</f>
        <v>540.64</v>
      </c>
      <c r="E218" s="103">
        <f t="shared" si="60"/>
        <v>0</v>
      </c>
      <c r="F218" s="121">
        <f t="shared" si="60"/>
        <v>1280.6399999999999</v>
      </c>
      <c r="G218" s="172">
        <f t="shared" si="60"/>
        <v>1663.76</v>
      </c>
      <c r="H218" s="215">
        <f t="shared" si="60"/>
        <v>0</v>
      </c>
      <c r="I218" s="234">
        <f t="shared" si="60"/>
        <v>2944.4</v>
      </c>
      <c r="J218" s="172">
        <f t="shared" si="60"/>
        <v>100</v>
      </c>
      <c r="K218" s="256">
        <f t="shared" si="60"/>
        <v>0</v>
      </c>
      <c r="L218" s="257">
        <f t="shared" si="60"/>
        <v>3044.4</v>
      </c>
      <c r="M218" s="316">
        <f t="shared" si="60"/>
        <v>0</v>
      </c>
      <c r="N218" s="256">
        <f t="shared" si="60"/>
        <v>0</v>
      </c>
      <c r="O218" s="257">
        <f t="shared" si="60"/>
        <v>3044.4</v>
      </c>
      <c r="P218" s="103">
        <f t="shared" si="60"/>
        <v>0</v>
      </c>
      <c r="Q218" s="138">
        <f t="shared" si="60"/>
        <v>3044.4</v>
      </c>
    </row>
    <row r="219" spans="1:17" ht="12.75">
      <c r="A219" s="19" t="s">
        <v>26</v>
      </c>
      <c r="B219" s="65"/>
      <c r="C219" s="134"/>
      <c r="D219" s="99"/>
      <c r="E219" s="99"/>
      <c r="F219" s="89"/>
      <c r="G219" s="169"/>
      <c r="H219" s="210"/>
      <c r="I219" s="229"/>
      <c r="J219" s="169"/>
      <c r="K219" s="249"/>
      <c r="L219" s="247"/>
      <c r="M219" s="292"/>
      <c r="N219" s="249"/>
      <c r="O219" s="247"/>
      <c r="P219" s="93"/>
      <c r="Q219" s="52"/>
    </row>
    <row r="220" spans="1:17" ht="12.75">
      <c r="A220" s="21" t="s">
        <v>83</v>
      </c>
      <c r="B220" s="65"/>
      <c r="C220" s="134">
        <v>740</v>
      </c>
      <c r="D220" s="99">
        <f>519.37</f>
        <v>519.37</v>
      </c>
      <c r="E220" s="99"/>
      <c r="F220" s="89">
        <f aca="true" t="shared" si="61" ref="F220:F226">C220+D220+E220</f>
        <v>1259.37</v>
      </c>
      <c r="G220" s="169">
        <f>1663.76</f>
        <v>1663.76</v>
      </c>
      <c r="H220" s="210"/>
      <c r="I220" s="230">
        <f>F220+G220+H220</f>
        <v>2923.13</v>
      </c>
      <c r="J220" s="169">
        <f>100</f>
        <v>100</v>
      </c>
      <c r="K220" s="249"/>
      <c r="L220" s="248">
        <f>I220+J220+K220</f>
        <v>3023.13</v>
      </c>
      <c r="M220" s="292"/>
      <c r="N220" s="249"/>
      <c r="O220" s="248">
        <f>L220+M220+N220</f>
        <v>3023.13</v>
      </c>
      <c r="P220" s="93"/>
      <c r="Q220" s="52">
        <f t="shared" si="53"/>
        <v>3023.13</v>
      </c>
    </row>
    <row r="221" spans="1:17" ht="12.75" hidden="1">
      <c r="A221" s="21" t="s">
        <v>265</v>
      </c>
      <c r="B221" s="65" t="s">
        <v>267</v>
      </c>
      <c r="C221" s="134"/>
      <c r="D221" s="99"/>
      <c r="E221" s="99"/>
      <c r="F221" s="89">
        <f t="shared" si="61"/>
        <v>0</v>
      </c>
      <c r="G221" s="169"/>
      <c r="H221" s="210"/>
      <c r="I221" s="230"/>
      <c r="J221" s="169"/>
      <c r="K221" s="249"/>
      <c r="L221" s="248"/>
      <c r="M221" s="292"/>
      <c r="N221" s="249"/>
      <c r="O221" s="248"/>
      <c r="P221" s="93"/>
      <c r="Q221" s="52"/>
    </row>
    <row r="222" spans="1:17" ht="12.75" hidden="1">
      <c r="A222" s="21" t="s">
        <v>277</v>
      </c>
      <c r="B222" s="65"/>
      <c r="C222" s="134"/>
      <c r="D222" s="99"/>
      <c r="E222" s="99"/>
      <c r="F222" s="89">
        <f t="shared" si="61"/>
        <v>0</v>
      </c>
      <c r="G222" s="169"/>
      <c r="H222" s="210"/>
      <c r="I222" s="230"/>
      <c r="J222" s="169"/>
      <c r="K222" s="249"/>
      <c r="L222" s="248"/>
      <c r="M222" s="292"/>
      <c r="N222" s="249"/>
      <c r="O222" s="248"/>
      <c r="P222" s="93"/>
      <c r="Q222" s="52"/>
    </row>
    <row r="223" spans="1:17" ht="12.75" hidden="1">
      <c r="A223" s="21" t="s">
        <v>67</v>
      </c>
      <c r="B223" s="65"/>
      <c r="C223" s="134"/>
      <c r="D223" s="99"/>
      <c r="E223" s="99"/>
      <c r="F223" s="89">
        <f t="shared" si="61"/>
        <v>0</v>
      </c>
      <c r="G223" s="169"/>
      <c r="H223" s="210"/>
      <c r="I223" s="230">
        <f>F223+G223+H223</f>
        <v>0</v>
      </c>
      <c r="J223" s="169"/>
      <c r="K223" s="249"/>
      <c r="L223" s="248">
        <f>I223+J223+K223</f>
        <v>0</v>
      </c>
      <c r="M223" s="292"/>
      <c r="N223" s="249"/>
      <c r="O223" s="248">
        <f>L223+M223+N223</f>
        <v>0</v>
      </c>
      <c r="P223" s="93"/>
      <c r="Q223" s="52">
        <f t="shared" si="53"/>
        <v>0</v>
      </c>
    </row>
    <row r="224" spans="1:17" ht="12.75" hidden="1">
      <c r="A224" s="21" t="s">
        <v>84</v>
      </c>
      <c r="B224" s="65"/>
      <c r="C224" s="134"/>
      <c r="D224" s="99"/>
      <c r="E224" s="99"/>
      <c r="F224" s="89">
        <f t="shared" si="61"/>
        <v>0</v>
      </c>
      <c r="G224" s="169"/>
      <c r="H224" s="210"/>
      <c r="I224" s="230">
        <f>F224+G224+H224</f>
        <v>0</v>
      </c>
      <c r="J224" s="169"/>
      <c r="K224" s="249"/>
      <c r="L224" s="248">
        <f>I224+J224+K224</f>
        <v>0</v>
      </c>
      <c r="M224" s="292"/>
      <c r="N224" s="249"/>
      <c r="O224" s="248">
        <f>L224+M224+N224</f>
        <v>0</v>
      </c>
      <c r="P224" s="93"/>
      <c r="Q224" s="52">
        <f t="shared" si="53"/>
        <v>0</v>
      </c>
    </row>
    <row r="225" spans="1:17" ht="12.75" hidden="1">
      <c r="A225" s="21" t="s">
        <v>53</v>
      </c>
      <c r="B225" s="65"/>
      <c r="C225" s="134"/>
      <c r="D225" s="99"/>
      <c r="E225" s="99"/>
      <c r="F225" s="89">
        <f t="shared" si="61"/>
        <v>0</v>
      </c>
      <c r="G225" s="169"/>
      <c r="H225" s="210"/>
      <c r="I225" s="230">
        <f>F225+G225+H225</f>
        <v>0</v>
      </c>
      <c r="J225" s="169"/>
      <c r="K225" s="260"/>
      <c r="L225" s="248">
        <f>I225+J225+K225</f>
        <v>0</v>
      </c>
      <c r="M225" s="292"/>
      <c r="N225" s="249"/>
      <c r="O225" s="248">
        <f>L225+M225+N225</f>
        <v>0</v>
      </c>
      <c r="P225" s="93"/>
      <c r="Q225" s="52">
        <f t="shared" si="53"/>
        <v>0</v>
      </c>
    </row>
    <row r="226" spans="1:17" ht="12.75">
      <c r="A226" s="28" t="s">
        <v>75</v>
      </c>
      <c r="B226" s="68"/>
      <c r="C226" s="195"/>
      <c r="D226" s="148">
        <f>21.27</f>
        <v>21.27</v>
      </c>
      <c r="E226" s="148"/>
      <c r="F226" s="159">
        <f t="shared" si="61"/>
        <v>21.27</v>
      </c>
      <c r="G226" s="174"/>
      <c r="H226" s="216"/>
      <c r="I226" s="235">
        <f>F226+G226+H226</f>
        <v>21.27</v>
      </c>
      <c r="J226" s="174"/>
      <c r="K226" s="261"/>
      <c r="L226" s="259">
        <f>I226+J226+K226</f>
        <v>21.27</v>
      </c>
      <c r="M226" s="302"/>
      <c r="N226" s="258"/>
      <c r="O226" s="259">
        <f>L226+M226+N226</f>
        <v>21.27</v>
      </c>
      <c r="P226" s="295"/>
      <c r="Q226" s="54">
        <f t="shared" si="53"/>
        <v>21.27</v>
      </c>
    </row>
    <row r="227" spans="1:17" ht="12.75">
      <c r="A227" s="14" t="s">
        <v>85</v>
      </c>
      <c r="B227" s="69"/>
      <c r="C227" s="133">
        <f aca="true" t="shared" si="62" ref="C227:Q227">C228+C246</f>
        <v>644136.8</v>
      </c>
      <c r="D227" s="86">
        <f t="shared" si="62"/>
        <v>59414.100000000006</v>
      </c>
      <c r="E227" s="86">
        <f t="shared" si="62"/>
        <v>0</v>
      </c>
      <c r="F227" s="94">
        <f t="shared" si="62"/>
        <v>703550.9</v>
      </c>
      <c r="G227" s="168">
        <f t="shared" si="62"/>
        <v>14357.990000000002</v>
      </c>
      <c r="H227" s="209">
        <f t="shared" si="62"/>
        <v>-6933</v>
      </c>
      <c r="I227" s="229">
        <f t="shared" si="62"/>
        <v>710975.89</v>
      </c>
      <c r="J227" s="168">
        <f t="shared" si="62"/>
        <v>60692.64</v>
      </c>
      <c r="K227" s="246">
        <f t="shared" si="62"/>
        <v>-950</v>
      </c>
      <c r="L227" s="247">
        <f t="shared" si="62"/>
        <v>770718.53</v>
      </c>
      <c r="M227" s="309">
        <f t="shared" si="62"/>
        <v>27338.32</v>
      </c>
      <c r="N227" s="246">
        <f t="shared" si="62"/>
        <v>6655</v>
      </c>
      <c r="O227" s="247">
        <f t="shared" si="62"/>
        <v>804711.8500000001</v>
      </c>
      <c r="P227" s="86">
        <f t="shared" si="62"/>
        <v>0</v>
      </c>
      <c r="Q227" s="133">
        <f t="shared" si="62"/>
        <v>642204</v>
      </c>
    </row>
    <row r="228" spans="1:17" ht="12.75">
      <c r="A228" s="23" t="s">
        <v>48</v>
      </c>
      <c r="B228" s="69"/>
      <c r="C228" s="137">
        <f aca="true" t="shared" si="63" ref="C228:Q228">SUM(C230:C245)</f>
        <v>644136.8</v>
      </c>
      <c r="D228" s="102">
        <f t="shared" si="63"/>
        <v>51563.33</v>
      </c>
      <c r="E228" s="102">
        <f t="shared" si="63"/>
        <v>0</v>
      </c>
      <c r="F228" s="120">
        <f t="shared" si="63"/>
        <v>695700.13</v>
      </c>
      <c r="G228" s="171">
        <f t="shared" si="63"/>
        <v>22208.760000000002</v>
      </c>
      <c r="H228" s="214">
        <f t="shared" si="63"/>
        <v>-6933</v>
      </c>
      <c r="I228" s="233">
        <f t="shared" si="63"/>
        <v>710975.89</v>
      </c>
      <c r="J228" s="171">
        <f t="shared" si="63"/>
        <v>60422.64</v>
      </c>
      <c r="K228" s="254">
        <f t="shared" si="63"/>
        <v>-6475.07</v>
      </c>
      <c r="L228" s="255">
        <f t="shared" si="63"/>
        <v>764923.4600000001</v>
      </c>
      <c r="M228" s="315">
        <f t="shared" si="63"/>
        <v>26802.4</v>
      </c>
      <c r="N228" s="254">
        <f t="shared" si="63"/>
        <v>-16500</v>
      </c>
      <c r="O228" s="255">
        <f t="shared" si="63"/>
        <v>775225.8600000001</v>
      </c>
      <c r="P228" s="102">
        <f t="shared" si="63"/>
        <v>0</v>
      </c>
      <c r="Q228" s="137">
        <f t="shared" si="63"/>
        <v>641839.9</v>
      </c>
    </row>
    <row r="229" spans="1:17" ht="12.75">
      <c r="A229" s="19" t="s">
        <v>26</v>
      </c>
      <c r="B229" s="65"/>
      <c r="C229" s="134"/>
      <c r="D229" s="99"/>
      <c r="E229" s="99"/>
      <c r="F229" s="94"/>
      <c r="G229" s="169"/>
      <c r="H229" s="210"/>
      <c r="I229" s="229"/>
      <c r="J229" s="169"/>
      <c r="K229" s="249"/>
      <c r="L229" s="247"/>
      <c r="M229" s="292"/>
      <c r="N229" s="249"/>
      <c r="O229" s="247"/>
      <c r="P229" s="93"/>
      <c r="Q229" s="52"/>
    </row>
    <row r="230" spans="1:17" ht="12.75">
      <c r="A230" s="16" t="s">
        <v>72</v>
      </c>
      <c r="B230" s="65"/>
      <c r="C230" s="134">
        <v>296650</v>
      </c>
      <c r="D230" s="99"/>
      <c r="E230" s="99"/>
      <c r="F230" s="89">
        <f aca="true" t="shared" si="64" ref="F230:F245">C230+D230+E230</f>
        <v>296650</v>
      </c>
      <c r="G230" s="169"/>
      <c r="H230" s="210"/>
      <c r="I230" s="230">
        <f aca="true" t="shared" si="65" ref="I230:I245">F230+G230+H230</f>
        <v>296650</v>
      </c>
      <c r="J230" s="169">
        <f>-100</f>
        <v>-100</v>
      </c>
      <c r="K230" s="249"/>
      <c r="L230" s="248">
        <f aca="true" t="shared" si="66" ref="L230:L245">I230+J230+K230</f>
        <v>296550</v>
      </c>
      <c r="M230" s="292"/>
      <c r="N230" s="249">
        <f>-18205</f>
        <v>-18205</v>
      </c>
      <c r="O230" s="248">
        <f aca="true" t="shared" si="67" ref="O230:O245">L230+M230+N230</f>
        <v>278345</v>
      </c>
      <c r="P230" s="93"/>
      <c r="Q230" s="52">
        <f>O230+P230</f>
        <v>278345</v>
      </c>
    </row>
    <row r="231" spans="1:17" ht="12.75">
      <c r="A231" s="66" t="s">
        <v>205</v>
      </c>
      <c r="B231" s="65"/>
      <c r="C231" s="134">
        <v>12000</v>
      </c>
      <c r="D231" s="99">
        <f>18000</f>
        <v>18000</v>
      </c>
      <c r="E231" s="99"/>
      <c r="F231" s="89">
        <f t="shared" si="64"/>
        <v>30000</v>
      </c>
      <c r="G231" s="169">
        <f>150</f>
        <v>150</v>
      </c>
      <c r="H231" s="210"/>
      <c r="I231" s="230">
        <f t="shared" si="65"/>
        <v>30150</v>
      </c>
      <c r="J231" s="169">
        <f>-170</f>
        <v>-170</v>
      </c>
      <c r="K231" s="249"/>
      <c r="L231" s="248">
        <f t="shared" si="66"/>
        <v>29980</v>
      </c>
      <c r="M231" s="292"/>
      <c r="N231" s="249">
        <f>1705</f>
        <v>1705</v>
      </c>
      <c r="O231" s="248">
        <f t="shared" si="67"/>
        <v>31685</v>
      </c>
      <c r="P231" s="93"/>
      <c r="Q231" s="52"/>
    </row>
    <row r="232" spans="1:17" ht="12.75">
      <c r="A232" s="21" t="s">
        <v>62</v>
      </c>
      <c r="B232" s="65"/>
      <c r="C232" s="134">
        <v>236200</v>
      </c>
      <c r="D232" s="99"/>
      <c r="E232" s="99"/>
      <c r="F232" s="89">
        <f t="shared" si="64"/>
        <v>236200</v>
      </c>
      <c r="G232" s="169">
        <f>16500</f>
        <v>16500</v>
      </c>
      <c r="H232" s="210"/>
      <c r="I232" s="230">
        <f t="shared" si="65"/>
        <v>252700</v>
      </c>
      <c r="J232" s="169">
        <f>400</f>
        <v>400</v>
      </c>
      <c r="K232" s="249">
        <f>58442.65</f>
        <v>58442.65</v>
      </c>
      <c r="L232" s="248">
        <f t="shared" si="66"/>
        <v>311542.65</v>
      </c>
      <c r="M232" s="292"/>
      <c r="N232" s="249"/>
      <c r="O232" s="248">
        <f t="shared" si="67"/>
        <v>311542.65</v>
      </c>
      <c r="P232" s="93"/>
      <c r="Q232" s="52">
        <f>O232+P232</f>
        <v>311542.65</v>
      </c>
    </row>
    <row r="233" spans="1:17" ht="12.75" hidden="1">
      <c r="A233" s="21" t="s">
        <v>168</v>
      </c>
      <c r="B233" s="65"/>
      <c r="C233" s="134">
        <v>0</v>
      </c>
      <c r="D233" s="150"/>
      <c r="E233" s="99"/>
      <c r="F233" s="89">
        <f t="shared" si="64"/>
        <v>0</v>
      </c>
      <c r="G233" s="169"/>
      <c r="H233" s="210"/>
      <c r="I233" s="230">
        <f t="shared" si="65"/>
        <v>0</v>
      </c>
      <c r="J233" s="169"/>
      <c r="K233" s="249"/>
      <c r="L233" s="248">
        <f t="shared" si="66"/>
        <v>0</v>
      </c>
      <c r="M233" s="292"/>
      <c r="N233" s="249"/>
      <c r="O233" s="248">
        <f t="shared" si="67"/>
        <v>0</v>
      </c>
      <c r="P233" s="93"/>
      <c r="Q233" s="52"/>
    </row>
    <row r="234" spans="1:17" ht="12.75">
      <c r="A234" s="21" t="s">
        <v>50</v>
      </c>
      <c r="B234" s="65"/>
      <c r="C234" s="139">
        <v>99286.8</v>
      </c>
      <c r="D234" s="99">
        <f>18317</f>
        <v>18317</v>
      </c>
      <c r="E234" s="99"/>
      <c r="F234" s="89">
        <f t="shared" si="64"/>
        <v>117603.8</v>
      </c>
      <c r="G234" s="169">
        <f>-8649.23-150</f>
        <v>-8799.23</v>
      </c>
      <c r="H234" s="210">
        <f>-6933</f>
        <v>-6933</v>
      </c>
      <c r="I234" s="230">
        <f t="shared" si="65"/>
        <v>101871.57</v>
      </c>
      <c r="J234" s="169">
        <f>-400</f>
        <v>-400</v>
      </c>
      <c r="K234" s="249">
        <f>-58442.65-1775.07-2350-1400-950</f>
        <v>-64917.72</v>
      </c>
      <c r="L234" s="248">
        <f t="shared" si="66"/>
        <v>36553.850000000006</v>
      </c>
      <c r="M234" s="292"/>
      <c r="N234" s="249"/>
      <c r="O234" s="248">
        <f t="shared" si="67"/>
        <v>36553.850000000006</v>
      </c>
      <c r="P234" s="93"/>
      <c r="Q234" s="52">
        <f>O234+P234</f>
        <v>36553.850000000006</v>
      </c>
    </row>
    <row r="235" spans="1:17" ht="12.75">
      <c r="A235" s="21" t="s">
        <v>76</v>
      </c>
      <c r="B235" s="65"/>
      <c r="C235" s="139"/>
      <c r="D235" s="99">
        <f>7500+7500</f>
        <v>15000</v>
      </c>
      <c r="E235" s="99"/>
      <c r="F235" s="89">
        <f t="shared" si="64"/>
        <v>15000</v>
      </c>
      <c r="G235" s="169"/>
      <c r="H235" s="210"/>
      <c r="I235" s="230">
        <f t="shared" si="65"/>
        <v>15000</v>
      </c>
      <c r="J235" s="169"/>
      <c r="K235" s="249"/>
      <c r="L235" s="248">
        <f t="shared" si="66"/>
        <v>15000</v>
      </c>
      <c r="M235" s="292"/>
      <c r="N235" s="249"/>
      <c r="O235" s="248">
        <f t="shared" si="67"/>
        <v>15000</v>
      </c>
      <c r="P235" s="93"/>
      <c r="Q235" s="52">
        <f>O235+P235</f>
        <v>15000</v>
      </c>
    </row>
    <row r="236" spans="1:17" ht="12.75">
      <c r="A236" s="21" t="s">
        <v>274</v>
      </c>
      <c r="B236" s="65">
        <v>35018</v>
      </c>
      <c r="C236" s="139"/>
      <c r="D236" s="99"/>
      <c r="E236" s="99"/>
      <c r="F236" s="89">
        <f t="shared" si="64"/>
        <v>0</v>
      </c>
      <c r="G236" s="169">
        <f>2000+3341.47</f>
        <v>5341.469999999999</v>
      </c>
      <c r="H236" s="210"/>
      <c r="I236" s="230">
        <f t="shared" si="65"/>
        <v>5341.469999999999</v>
      </c>
      <c r="J236" s="169">
        <f>58829.83+27.13</f>
        <v>58856.96</v>
      </c>
      <c r="K236" s="249"/>
      <c r="L236" s="248">
        <f t="shared" si="66"/>
        <v>64198.43</v>
      </c>
      <c r="M236" s="292"/>
      <c r="N236" s="249"/>
      <c r="O236" s="248">
        <f t="shared" si="67"/>
        <v>64198.43</v>
      </c>
      <c r="P236" s="93"/>
      <c r="Q236" s="52"/>
    </row>
    <row r="237" spans="1:17" ht="12.75">
      <c r="A237" s="38" t="s">
        <v>368</v>
      </c>
      <c r="B237" s="65">
        <v>35024</v>
      </c>
      <c r="C237" s="139"/>
      <c r="D237" s="99"/>
      <c r="E237" s="99"/>
      <c r="F237" s="89"/>
      <c r="G237" s="169"/>
      <c r="H237" s="210"/>
      <c r="I237" s="230"/>
      <c r="J237" s="169"/>
      <c r="K237" s="249"/>
      <c r="L237" s="248">
        <f t="shared" si="66"/>
        <v>0</v>
      </c>
      <c r="M237" s="292">
        <f>1008.27</f>
        <v>1008.27</v>
      </c>
      <c r="N237" s="249"/>
      <c r="O237" s="248">
        <f t="shared" si="67"/>
        <v>1008.27</v>
      </c>
      <c r="P237" s="93"/>
      <c r="Q237" s="52"/>
    </row>
    <row r="238" spans="1:17" ht="12.75">
      <c r="A238" s="26" t="s">
        <v>369</v>
      </c>
      <c r="B238" s="65">
        <v>35442</v>
      </c>
      <c r="C238" s="139"/>
      <c r="D238" s="99"/>
      <c r="E238" s="99"/>
      <c r="F238" s="89"/>
      <c r="G238" s="169"/>
      <c r="H238" s="210"/>
      <c r="I238" s="230"/>
      <c r="J238" s="169"/>
      <c r="K238" s="249"/>
      <c r="L238" s="248">
        <f t="shared" si="66"/>
        <v>0</v>
      </c>
      <c r="M238" s="292">
        <f>22712.25</f>
        <v>22712.25</v>
      </c>
      <c r="N238" s="249"/>
      <c r="O238" s="248">
        <f t="shared" si="67"/>
        <v>22712.25</v>
      </c>
      <c r="P238" s="93"/>
      <c r="Q238" s="52"/>
    </row>
    <row r="239" spans="1:17" ht="12.75">
      <c r="A239" s="21" t="s">
        <v>352</v>
      </c>
      <c r="B239" s="65"/>
      <c r="C239" s="139"/>
      <c r="D239" s="99">
        <f>13.91+232.42</f>
        <v>246.32999999999998</v>
      </c>
      <c r="E239" s="99"/>
      <c r="F239" s="89">
        <f t="shared" si="64"/>
        <v>246.32999999999998</v>
      </c>
      <c r="G239" s="169"/>
      <c r="H239" s="210"/>
      <c r="I239" s="230">
        <f t="shared" si="65"/>
        <v>246.32999999999998</v>
      </c>
      <c r="J239" s="169">
        <f>8.58+143.49</f>
        <v>152.07000000000002</v>
      </c>
      <c r="K239" s="249"/>
      <c r="L239" s="248">
        <f t="shared" si="66"/>
        <v>398.4</v>
      </c>
      <c r="M239" s="292"/>
      <c r="N239" s="249"/>
      <c r="O239" s="248">
        <f t="shared" si="67"/>
        <v>398.4</v>
      </c>
      <c r="P239" s="93"/>
      <c r="Q239" s="52">
        <f>O239+P239</f>
        <v>398.4</v>
      </c>
    </row>
    <row r="240" spans="1:17" ht="12.75">
      <c r="A240" s="21" t="s">
        <v>339</v>
      </c>
      <c r="B240" s="184" t="s">
        <v>340</v>
      </c>
      <c r="C240" s="139"/>
      <c r="D240" s="99"/>
      <c r="E240" s="99"/>
      <c r="F240" s="89">
        <f t="shared" si="64"/>
        <v>0</v>
      </c>
      <c r="G240" s="169">
        <f>5154.15+3197.37</f>
        <v>8351.52</v>
      </c>
      <c r="H240" s="210"/>
      <c r="I240" s="230">
        <f t="shared" si="65"/>
        <v>8351.52</v>
      </c>
      <c r="J240" s="169">
        <f>474.92+765.27</f>
        <v>1240.19</v>
      </c>
      <c r="K240" s="249"/>
      <c r="L240" s="248">
        <f t="shared" si="66"/>
        <v>9591.710000000001</v>
      </c>
      <c r="M240" s="292">
        <f>-0.18+474.92+765.27</f>
        <v>1240.01</v>
      </c>
      <c r="N240" s="249"/>
      <c r="O240" s="248">
        <f t="shared" si="67"/>
        <v>10831.720000000001</v>
      </c>
      <c r="P240" s="93"/>
      <c r="Q240" s="52"/>
    </row>
    <row r="241" spans="1:17" ht="12.75">
      <c r="A241" s="26" t="s">
        <v>349</v>
      </c>
      <c r="B241" s="65">
        <v>13351</v>
      </c>
      <c r="C241" s="139"/>
      <c r="D241" s="99"/>
      <c r="E241" s="99"/>
      <c r="F241" s="89"/>
      <c r="G241" s="169"/>
      <c r="H241" s="210"/>
      <c r="I241" s="230">
        <f t="shared" si="65"/>
        <v>0</v>
      </c>
      <c r="J241" s="169">
        <f>443.42</f>
        <v>443.42</v>
      </c>
      <c r="K241" s="249"/>
      <c r="L241" s="248">
        <f t="shared" si="66"/>
        <v>443.42</v>
      </c>
      <c r="M241" s="292">
        <f>26.84</f>
        <v>26.84</v>
      </c>
      <c r="N241" s="249"/>
      <c r="O241" s="248">
        <f t="shared" si="67"/>
        <v>470.26</v>
      </c>
      <c r="P241" s="93"/>
      <c r="Q241" s="52"/>
    </row>
    <row r="242" spans="1:17" ht="12.75">
      <c r="A242" s="26" t="s">
        <v>379</v>
      </c>
      <c r="B242" s="65">
        <v>13351</v>
      </c>
      <c r="C242" s="139"/>
      <c r="D242" s="99"/>
      <c r="E242" s="99"/>
      <c r="F242" s="89"/>
      <c r="G242" s="169"/>
      <c r="H242" s="210"/>
      <c r="I242" s="230"/>
      <c r="J242" s="169"/>
      <c r="K242" s="249"/>
      <c r="L242" s="248">
        <f t="shared" si="66"/>
        <v>0</v>
      </c>
      <c r="M242" s="292">
        <f>260.13</f>
        <v>260.13</v>
      </c>
      <c r="N242" s="249"/>
      <c r="O242" s="248">
        <f t="shared" si="67"/>
        <v>260.13</v>
      </c>
      <c r="P242" s="93"/>
      <c r="Q242" s="52"/>
    </row>
    <row r="243" spans="1:17" ht="12.75">
      <c r="A243" s="26" t="s">
        <v>366</v>
      </c>
      <c r="B243" s="65">
        <v>13307</v>
      </c>
      <c r="C243" s="139"/>
      <c r="D243" s="99"/>
      <c r="E243" s="99"/>
      <c r="F243" s="89"/>
      <c r="G243" s="169"/>
      <c r="H243" s="210"/>
      <c r="I243" s="230"/>
      <c r="J243" s="169"/>
      <c r="K243" s="249"/>
      <c r="L243" s="248">
        <f t="shared" si="66"/>
        <v>0</v>
      </c>
      <c r="M243" s="292">
        <f>1237.9</f>
        <v>1237.9</v>
      </c>
      <c r="N243" s="249"/>
      <c r="O243" s="248">
        <f t="shared" si="67"/>
        <v>1237.9</v>
      </c>
      <c r="P243" s="93"/>
      <c r="Q243" s="52"/>
    </row>
    <row r="244" spans="1:17" ht="12.75">
      <c r="A244" s="21" t="s">
        <v>338</v>
      </c>
      <c r="B244" s="65">
        <v>4359</v>
      </c>
      <c r="C244" s="139"/>
      <c r="D244" s="99"/>
      <c r="E244" s="99"/>
      <c r="F244" s="89">
        <f t="shared" si="64"/>
        <v>0</v>
      </c>
      <c r="G244" s="169">
        <f>284+381</f>
        <v>665</v>
      </c>
      <c r="H244" s="210"/>
      <c r="I244" s="230">
        <f t="shared" si="65"/>
        <v>665</v>
      </c>
      <c r="J244" s="169"/>
      <c r="K244" s="249"/>
      <c r="L244" s="248">
        <f t="shared" si="66"/>
        <v>665</v>
      </c>
      <c r="M244" s="292">
        <f>125+192</f>
        <v>317</v>
      </c>
      <c r="N244" s="249"/>
      <c r="O244" s="248">
        <f t="shared" si="67"/>
        <v>982</v>
      </c>
      <c r="P244" s="93"/>
      <c r="Q244" s="52"/>
    </row>
    <row r="245" spans="1:17" ht="12.75" hidden="1">
      <c r="A245" s="21" t="s">
        <v>86</v>
      </c>
      <c r="B245" s="65"/>
      <c r="C245" s="134"/>
      <c r="D245" s="99"/>
      <c r="E245" s="99"/>
      <c r="F245" s="89">
        <f t="shared" si="64"/>
        <v>0</v>
      </c>
      <c r="G245" s="169"/>
      <c r="H245" s="210"/>
      <c r="I245" s="230">
        <f t="shared" si="65"/>
        <v>0</v>
      </c>
      <c r="J245" s="169"/>
      <c r="K245" s="249"/>
      <c r="L245" s="248">
        <f t="shared" si="66"/>
        <v>0</v>
      </c>
      <c r="M245" s="292"/>
      <c r="N245" s="249"/>
      <c r="O245" s="248">
        <f t="shared" si="67"/>
        <v>0</v>
      </c>
      <c r="P245" s="93"/>
      <c r="Q245" s="52">
        <f>O245+P245</f>
        <v>0</v>
      </c>
    </row>
    <row r="246" spans="1:17" ht="12.75">
      <c r="A246" s="23" t="s">
        <v>52</v>
      </c>
      <c r="B246" s="69"/>
      <c r="C246" s="137">
        <f>SUM(C248:C254)</f>
        <v>0</v>
      </c>
      <c r="D246" s="102">
        <f aca="true" t="shared" si="68" ref="D246:Q246">SUM(D248:D254)</f>
        <v>7850.77</v>
      </c>
      <c r="E246" s="102">
        <f t="shared" si="68"/>
        <v>0</v>
      </c>
      <c r="F246" s="120">
        <f t="shared" si="68"/>
        <v>7850.77</v>
      </c>
      <c r="G246" s="171">
        <f t="shared" si="68"/>
        <v>-7850.77</v>
      </c>
      <c r="H246" s="214">
        <f t="shared" si="68"/>
        <v>0</v>
      </c>
      <c r="I246" s="233">
        <f t="shared" si="68"/>
        <v>0</v>
      </c>
      <c r="J246" s="171">
        <f t="shared" si="68"/>
        <v>270</v>
      </c>
      <c r="K246" s="254">
        <f t="shared" si="68"/>
        <v>5525.07</v>
      </c>
      <c r="L246" s="255">
        <f t="shared" si="68"/>
        <v>5795.07</v>
      </c>
      <c r="M246" s="315">
        <f t="shared" si="68"/>
        <v>535.9200000000001</v>
      </c>
      <c r="N246" s="254">
        <f t="shared" si="68"/>
        <v>23155</v>
      </c>
      <c r="O246" s="255">
        <f t="shared" si="68"/>
        <v>29485.989999999998</v>
      </c>
      <c r="P246" s="102">
        <f t="shared" si="68"/>
        <v>0</v>
      </c>
      <c r="Q246" s="137">
        <f t="shared" si="68"/>
        <v>364.1</v>
      </c>
    </row>
    <row r="247" spans="1:17" ht="12.75">
      <c r="A247" s="19" t="s">
        <v>26</v>
      </c>
      <c r="B247" s="65"/>
      <c r="C247" s="134"/>
      <c r="D247" s="99"/>
      <c r="E247" s="99"/>
      <c r="F247" s="89"/>
      <c r="G247" s="169"/>
      <c r="H247" s="210"/>
      <c r="I247" s="230"/>
      <c r="J247" s="169"/>
      <c r="K247" s="249"/>
      <c r="L247" s="248"/>
      <c r="M247" s="292"/>
      <c r="N247" s="249"/>
      <c r="O247" s="248"/>
      <c r="P247" s="93"/>
      <c r="Q247" s="52"/>
    </row>
    <row r="248" spans="1:17" ht="12.75" hidden="1">
      <c r="A248" s="21" t="s">
        <v>53</v>
      </c>
      <c r="B248" s="65"/>
      <c r="C248" s="134">
        <v>0</v>
      </c>
      <c r="D248" s="99">
        <f>7850.77</f>
        <v>7850.77</v>
      </c>
      <c r="E248" s="99"/>
      <c r="F248" s="89">
        <f>C248+D248+E248</f>
        <v>7850.77</v>
      </c>
      <c r="G248" s="169">
        <f>-7850.77</f>
        <v>-7850.77</v>
      </c>
      <c r="H248" s="210"/>
      <c r="I248" s="230">
        <f aca="true" t="shared" si="69" ref="I248:I254">F248+G248+H248</f>
        <v>0</v>
      </c>
      <c r="J248" s="169"/>
      <c r="K248" s="249"/>
      <c r="L248" s="248">
        <f aca="true" t="shared" si="70" ref="L248:L254">I248+J248+K248</f>
        <v>0</v>
      </c>
      <c r="M248" s="292"/>
      <c r="N248" s="249"/>
      <c r="O248" s="248">
        <f aca="true" t="shared" si="71" ref="O248:O254">L248+M248+N248</f>
        <v>0</v>
      </c>
      <c r="P248" s="93"/>
      <c r="Q248" s="52"/>
    </row>
    <row r="249" spans="1:17" ht="12.75">
      <c r="A249" s="21" t="s">
        <v>83</v>
      </c>
      <c r="B249" s="65"/>
      <c r="C249" s="134"/>
      <c r="D249" s="99"/>
      <c r="E249" s="99"/>
      <c r="F249" s="89"/>
      <c r="G249" s="169"/>
      <c r="H249" s="210"/>
      <c r="I249" s="230">
        <f t="shared" si="69"/>
        <v>0</v>
      </c>
      <c r="J249" s="169">
        <f>270</f>
        <v>270</v>
      </c>
      <c r="K249" s="249"/>
      <c r="L249" s="248">
        <f t="shared" si="70"/>
        <v>270</v>
      </c>
      <c r="M249" s="292"/>
      <c r="N249" s="249">
        <f>16500</f>
        <v>16500</v>
      </c>
      <c r="O249" s="248">
        <f t="shared" si="71"/>
        <v>16770</v>
      </c>
      <c r="P249" s="93"/>
      <c r="Q249" s="52"/>
    </row>
    <row r="250" spans="1:17" ht="12.75">
      <c r="A250" s="21" t="s">
        <v>238</v>
      </c>
      <c r="B250" s="65"/>
      <c r="C250" s="134"/>
      <c r="D250" s="99"/>
      <c r="E250" s="99"/>
      <c r="F250" s="89">
        <f>C250+D250+E250</f>
        <v>0</v>
      </c>
      <c r="G250" s="169"/>
      <c r="H250" s="210"/>
      <c r="I250" s="230">
        <f t="shared" si="69"/>
        <v>0</v>
      </c>
      <c r="J250" s="169"/>
      <c r="K250" s="249">
        <f>1775.07+2350+1400</f>
        <v>5525.07</v>
      </c>
      <c r="L250" s="248">
        <f t="shared" si="70"/>
        <v>5525.07</v>
      </c>
      <c r="M250" s="292"/>
      <c r="N250" s="249">
        <f>6655</f>
        <v>6655</v>
      </c>
      <c r="O250" s="248">
        <f t="shared" si="71"/>
        <v>12180.07</v>
      </c>
      <c r="P250" s="93"/>
      <c r="Q250" s="52"/>
    </row>
    <row r="251" spans="1:17" ht="12.75">
      <c r="A251" s="21" t="s">
        <v>371</v>
      </c>
      <c r="B251" s="65"/>
      <c r="C251" s="134"/>
      <c r="D251" s="99"/>
      <c r="E251" s="99"/>
      <c r="F251" s="89"/>
      <c r="G251" s="169"/>
      <c r="H251" s="210"/>
      <c r="I251" s="230"/>
      <c r="J251" s="169"/>
      <c r="K251" s="249"/>
      <c r="L251" s="248">
        <f t="shared" si="70"/>
        <v>0</v>
      </c>
      <c r="M251" s="292">
        <f>171.82</f>
        <v>171.82</v>
      </c>
      <c r="N251" s="249"/>
      <c r="O251" s="248">
        <f t="shared" si="71"/>
        <v>171.82</v>
      </c>
      <c r="P251" s="93"/>
      <c r="Q251" s="52"/>
    </row>
    <row r="252" spans="1:17" ht="12.75" hidden="1">
      <c r="A252" s="21" t="s">
        <v>67</v>
      </c>
      <c r="B252" s="65"/>
      <c r="C252" s="134"/>
      <c r="D252" s="99"/>
      <c r="E252" s="99"/>
      <c r="F252" s="89">
        <f>C252+D252+E252</f>
        <v>0</v>
      </c>
      <c r="G252" s="169"/>
      <c r="H252" s="210"/>
      <c r="I252" s="230">
        <f t="shared" si="69"/>
        <v>0</v>
      </c>
      <c r="J252" s="169"/>
      <c r="K252" s="249"/>
      <c r="L252" s="248">
        <f t="shared" si="70"/>
        <v>0</v>
      </c>
      <c r="M252" s="292"/>
      <c r="N252" s="249"/>
      <c r="O252" s="248">
        <f t="shared" si="71"/>
        <v>0</v>
      </c>
      <c r="P252" s="93"/>
      <c r="Q252" s="52">
        <f>O252+P252</f>
        <v>0</v>
      </c>
    </row>
    <row r="253" spans="1:17" ht="12.75" hidden="1">
      <c r="A253" s="21" t="s">
        <v>211</v>
      </c>
      <c r="B253" s="65"/>
      <c r="C253" s="134"/>
      <c r="D253" s="99"/>
      <c r="E253" s="99"/>
      <c r="F253" s="89">
        <f>C253+D253+E253</f>
        <v>0</v>
      </c>
      <c r="G253" s="174"/>
      <c r="H253" s="216"/>
      <c r="I253" s="235">
        <f t="shared" si="69"/>
        <v>0</v>
      </c>
      <c r="J253" s="174"/>
      <c r="K253" s="258"/>
      <c r="L253" s="259">
        <f t="shared" si="70"/>
        <v>0</v>
      </c>
      <c r="M253" s="302"/>
      <c r="N253" s="258"/>
      <c r="O253" s="259">
        <f t="shared" si="71"/>
        <v>0</v>
      </c>
      <c r="P253" s="295"/>
      <c r="Q253" s="54">
        <f>O253+P253</f>
        <v>0</v>
      </c>
    </row>
    <row r="254" spans="1:17" ht="12.75">
      <c r="A254" s="20" t="s">
        <v>76</v>
      </c>
      <c r="B254" s="68"/>
      <c r="C254" s="195"/>
      <c r="D254" s="148"/>
      <c r="E254" s="148"/>
      <c r="F254" s="159">
        <f>C254+D254+E254</f>
        <v>0</v>
      </c>
      <c r="G254" s="174"/>
      <c r="H254" s="216"/>
      <c r="I254" s="235">
        <f t="shared" si="69"/>
        <v>0</v>
      </c>
      <c r="J254" s="174"/>
      <c r="K254" s="258"/>
      <c r="L254" s="259">
        <f t="shared" si="70"/>
        <v>0</v>
      </c>
      <c r="M254" s="302">
        <f>364.1</f>
        <v>364.1</v>
      </c>
      <c r="N254" s="258"/>
      <c r="O254" s="259">
        <f t="shared" si="71"/>
        <v>364.1</v>
      </c>
      <c r="P254" s="295"/>
      <c r="Q254" s="54">
        <f>O254+P254</f>
        <v>364.1</v>
      </c>
    </row>
    <row r="255" spans="1:17" ht="12.75">
      <c r="A255" s="29" t="s">
        <v>87</v>
      </c>
      <c r="B255" s="70"/>
      <c r="C255" s="136">
        <f aca="true" t="shared" si="72" ref="C255:Q255">C256+C272</f>
        <v>228552.1</v>
      </c>
      <c r="D255" s="100">
        <f t="shared" si="72"/>
        <v>16061.180000000002</v>
      </c>
      <c r="E255" s="100">
        <f t="shared" si="72"/>
        <v>0</v>
      </c>
      <c r="F255" s="87">
        <f t="shared" si="72"/>
        <v>244613.28</v>
      </c>
      <c r="G255" s="173">
        <f t="shared" si="72"/>
        <v>10542.05</v>
      </c>
      <c r="H255" s="212">
        <f t="shared" si="72"/>
        <v>-4280</v>
      </c>
      <c r="I255" s="231">
        <f t="shared" si="72"/>
        <v>250875.33</v>
      </c>
      <c r="J255" s="173">
        <f t="shared" si="72"/>
        <v>1956.49</v>
      </c>
      <c r="K255" s="251">
        <f t="shared" si="72"/>
        <v>0</v>
      </c>
      <c r="L255" s="158">
        <f t="shared" si="72"/>
        <v>252831.81999999998</v>
      </c>
      <c r="M255" s="312">
        <f>M256+M272</f>
        <v>6047.66</v>
      </c>
      <c r="N255" s="251">
        <f>N256+N272</f>
        <v>0</v>
      </c>
      <c r="O255" s="158">
        <f>O256+O272</f>
        <v>258879.48</v>
      </c>
      <c r="P255" s="100">
        <f t="shared" si="72"/>
        <v>0</v>
      </c>
      <c r="Q255" s="136">
        <f t="shared" si="72"/>
        <v>251528.87999999998</v>
      </c>
    </row>
    <row r="256" spans="1:17" ht="12.75">
      <c r="A256" s="23" t="s">
        <v>48</v>
      </c>
      <c r="B256" s="69"/>
      <c r="C256" s="137">
        <f aca="true" t="shared" si="73" ref="C256:Q256">SUM(C258:C271)</f>
        <v>225172.1</v>
      </c>
      <c r="D256" s="102">
        <f t="shared" si="73"/>
        <v>12691.180000000002</v>
      </c>
      <c r="E256" s="102">
        <f t="shared" si="73"/>
        <v>0</v>
      </c>
      <c r="F256" s="120">
        <f t="shared" si="73"/>
        <v>237863.28</v>
      </c>
      <c r="G256" s="171">
        <f t="shared" si="73"/>
        <v>10649.05</v>
      </c>
      <c r="H256" s="214">
        <f t="shared" si="73"/>
        <v>-1180</v>
      </c>
      <c r="I256" s="233">
        <f t="shared" si="73"/>
        <v>247332.33</v>
      </c>
      <c r="J256" s="171">
        <f t="shared" si="73"/>
        <v>1956.49</v>
      </c>
      <c r="K256" s="254">
        <f t="shared" si="73"/>
        <v>0</v>
      </c>
      <c r="L256" s="255">
        <f t="shared" si="73"/>
        <v>249288.81999999998</v>
      </c>
      <c r="M256" s="315">
        <f>SUM(M258:M271)</f>
        <v>1326.71</v>
      </c>
      <c r="N256" s="254">
        <f>SUM(N258:N271)</f>
        <v>0</v>
      </c>
      <c r="O256" s="255">
        <f>SUM(O258:O271)</f>
        <v>250615.53</v>
      </c>
      <c r="P256" s="102">
        <f t="shared" si="73"/>
        <v>0</v>
      </c>
      <c r="Q256" s="137">
        <f t="shared" si="73"/>
        <v>246865.88999999998</v>
      </c>
    </row>
    <row r="257" spans="1:17" ht="12.75">
      <c r="A257" s="19" t="s">
        <v>26</v>
      </c>
      <c r="B257" s="65"/>
      <c r="C257" s="134"/>
      <c r="D257" s="99"/>
      <c r="E257" s="99"/>
      <c r="F257" s="89"/>
      <c r="G257" s="169"/>
      <c r="H257" s="210"/>
      <c r="I257" s="230"/>
      <c r="J257" s="169"/>
      <c r="K257" s="249"/>
      <c r="L257" s="248"/>
      <c r="M257" s="292"/>
      <c r="N257" s="249"/>
      <c r="O257" s="248"/>
      <c r="P257" s="93"/>
      <c r="Q257" s="52"/>
    </row>
    <row r="258" spans="1:17" ht="12.75">
      <c r="A258" s="21" t="s">
        <v>72</v>
      </c>
      <c r="B258" s="65"/>
      <c r="C258" s="134">
        <v>190968.5</v>
      </c>
      <c r="D258" s="99">
        <f>2154.6+7724.6</f>
        <v>9879.2</v>
      </c>
      <c r="E258" s="99"/>
      <c r="F258" s="89">
        <f aca="true" t="shared" si="74" ref="F258:F271">C258+D258+E258</f>
        <v>200847.7</v>
      </c>
      <c r="G258" s="169">
        <f>428.7+136.4+6611.7+220.95</f>
        <v>7397.75</v>
      </c>
      <c r="H258" s="210"/>
      <c r="I258" s="230">
        <f>F258+G258+H258</f>
        <v>208245.45</v>
      </c>
      <c r="J258" s="169">
        <f>290+956.8</f>
        <v>1246.8</v>
      </c>
      <c r="K258" s="249"/>
      <c r="L258" s="248">
        <f>I258+J258+K258</f>
        <v>209492.25</v>
      </c>
      <c r="M258" s="292">
        <f>18.2-215+56.2</f>
        <v>-140.60000000000002</v>
      </c>
      <c r="N258" s="249"/>
      <c r="O258" s="248">
        <f>L258+M258+N258</f>
        <v>209351.65</v>
      </c>
      <c r="P258" s="93"/>
      <c r="Q258" s="52">
        <f aca="true" t="shared" si="75" ref="Q258:Q271">O258+P258</f>
        <v>209351.65</v>
      </c>
    </row>
    <row r="259" spans="1:17" ht="12.75">
      <c r="A259" s="21" t="s">
        <v>50</v>
      </c>
      <c r="B259" s="65"/>
      <c r="C259" s="134">
        <v>30515.6</v>
      </c>
      <c r="D259" s="99">
        <f>-1130-6273+556-2490.05+2641.14+1500</f>
        <v>-5195.91</v>
      </c>
      <c r="E259" s="99"/>
      <c r="F259" s="89">
        <f t="shared" si="74"/>
        <v>25319.69</v>
      </c>
      <c r="G259" s="169">
        <f>200</f>
        <v>200</v>
      </c>
      <c r="H259" s="210">
        <f>-1180</f>
        <v>-1180</v>
      </c>
      <c r="I259" s="230">
        <f aca="true" t="shared" si="76" ref="I259:I271">F259+G259+H259</f>
        <v>24339.69</v>
      </c>
      <c r="J259" s="169">
        <f>-350-290-100</f>
        <v>-740</v>
      </c>
      <c r="K259" s="249"/>
      <c r="L259" s="248">
        <f aca="true" t="shared" si="77" ref="L259:L271">I259+J259+K259</f>
        <v>23599.69</v>
      </c>
      <c r="M259" s="292">
        <f>600+1000-650+72.1</f>
        <v>1022.1</v>
      </c>
      <c r="N259" s="249"/>
      <c r="O259" s="248">
        <f aca="true" t="shared" si="78" ref="O259:O271">L259+M259+N259</f>
        <v>24621.789999999997</v>
      </c>
      <c r="P259" s="93"/>
      <c r="Q259" s="52">
        <f t="shared" si="75"/>
        <v>24621.789999999997</v>
      </c>
    </row>
    <row r="260" spans="1:17" ht="12.75">
      <c r="A260" s="21" t="s">
        <v>129</v>
      </c>
      <c r="B260" s="65"/>
      <c r="C260" s="134">
        <v>3388</v>
      </c>
      <c r="D260" s="99">
        <f>94.86</f>
        <v>94.86</v>
      </c>
      <c r="E260" s="99"/>
      <c r="F260" s="89">
        <f t="shared" si="74"/>
        <v>3482.86</v>
      </c>
      <c r="G260" s="169"/>
      <c r="H260" s="210"/>
      <c r="I260" s="230">
        <f t="shared" si="76"/>
        <v>3482.86</v>
      </c>
      <c r="J260" s="169"/>
      <c r="K260" s="249"/>
      <c r="L260" s="248">
        <f t="shared" si="77"/>
        <v>3482.86</v>
      </c>
      <c r="M260" s="292"/>
      <c r="N260" s="249"/>
      <c r="O260" s="248">
        <f t="shared" si="78"/>
        <v>3482.86</v>
      </c>
      <c r="P260" s="93"/>
      <c r="Q260" s="52">
        <f t="shared" si="75"/>
        <v>3482.86</v>
      </c>
    </row>
    <row r="261" spans="1:17" ht="12.75">
      <c r="A261" s="21" t="s">
        <v>63</v>
      </c>
      <c r="B261" s="65"/>
      <c r="C261" s="134"/>
      <c r="D261" s="99">
        <f>1130+6273+240.59</f>
        <v>7643.59</v>
      </c>
      <c r="E261" s="99"/>
      <c r="F261" s="89">
        <f t="shared" si="74"/>
        <v>7643.59</v>
      </c>
      <c r="G261" s="169"/>
      <c r="H261" s="210"/>
      <c r="I261" s="230">
        <f t="shared" si="76"/>
        <v>7643.59</v>
      </c>
      <c r="J261" s="169"/>
      <c r="K261" s="249"/>
      <c r="L261" s="248">
        <f t="shared" si="77"/>
        <v>7643.59</v>
      </c>
      <c r="M261" s="292"/>
      <c r="N261" s="249"/>
      <c r="O261" s="248">
        <f t="shared" si="78"/>
        <v>7643.59</v>
      </c>
      <c r="P261" s="93"/>
      <c r="Q261" s="52">
        <f t="shared" si="75"/>
        <v>7643.59</v>
      </c>
    </row>
    <row r="262" spans="1:17" ht="12.75">
      <c r="A262" s="21" t="s">
        <v>88</v>
      </c>
      <c r="B262" s="65">
        <v>34070</v>
      </c>
      <c r="C262" s="134"/>
      <c r="D262" s="99"/>
      <c r="E262" s="99"/>
      <c r="F262" s="89">
        <f t="shared" si="74"/>
        <v>0</v>
      </c>
      <c r="G262" s="169"/>
      <c r="H262" s="210"/>
      <c r="I262" s="230">
        <f t="shared" si="76"/>
        <v>0</v>
      </c>
      <c r="J262" s="169">
        <f>500+400+210+50</f>
        <v>1160</v>
      </c>
      <c r="K262" s="249"/>
      <c r="L262" s="248">
        <f t="shared" si="77"/>
        <v>1160</v>
      </c>
      <c r="M262" s="292"/>
      <c r="N262" s="249"/>
      <c r="O262" s="248">
        <f t="shared" si="78"/>
        <v>1160</v>
      </c>
      <c r="P262" s="93"/>
      <c r="Q262" s="52">
        <f t="shared" si="75"/>
        <v>1160</v>
      </c>
    </row>
    <row r="263" spans="1:17" ht="12.75">
      <c r="A263" s="21" t="s">
        <v>362</v>
      </c>
      <c r="B263" s="65">
        <v>34013</v>
      </c>
      <c r="C263" s="134"/>
      <c r="D263" s="99"/>
      <c r="E263" s="99"/>
      <c r="F263" s="89">
        <f t="shared" si="74"/>
        <v>0</v>
      </c>
      <c r="G263" s="169">
        <f>108+110+167+65</f>
        <v>450</v>
      </c>
      <c r="H263" s="210"/>
      <c r="I263" s="230">
        <f t="shared" si="76"/>
        <v>450</v>
      </c>
      <c r="J263" s="169"/>
      <c r="K263" s="249"/>
      <c r="L263" s="248">
        <f t="shared" si="77"/>
        <v>450</v>
      </c>
      <c r="M263" s="292"/>
      <c r="N263" s="249"/>
      <c r="O263" s="248">
        <f t="shared" si="78"/>
        <v>450</v>
      </c>
      <c r="P263" s="93"/>
      <c r="Q263" s="52"/>
    </row>
    <row r="264" spans="1:17" ht="12.75">
      <c r="A264" s="21" t="s">
        <v>351</v>
      </c>
      <c r="B264" s="65">
        <v>34017</v>
      </c>
      <c r="C264" s="134"/>
      <c r="D264" s="99"/>
      <c r="E264" s="99"/>
      <c r="F264" s="89"/>
      <c r="G264" s="169"/>
      <c r="H264" s="210"/>
      <c r="I264" s="230">
        <f t="shared" si="76"/>
        <v>0</v>
      </c>
      <c r="J264" s="169">
        <f>57.98</f>
        <v>57.98</v>
      </c>
      <c r="K264" s="249"/>
      <c r="L264" s="248">
        <f t="shared" si="77"/>
        <v>57.98</v>
      </c>
      <c r="M264" s="292"/>
      <c r="N264" s="249"/>
      <c r="O264" s="248">
        <f t="shared" si="78"/>
        <v>57.98</v>
      </c>
      <c r="P264" s="93"/>
      <c r="Q264" s="52"/>
    </row>
    <row r="265" spans="1:17" ht="12.75">
      <c r="A265" s="21" t="s">
        <v>350</v>
      </c>
      <c r="B265" s="65">
        <v>34019</v>
      </c>
      <c r="C265" s="134"/>
      <c r="D265" s="99"/>
      <c r="E265" s="99"/>
      <c r="F265" s="89"/>
      <c r="G265" s="169"/>
      <c r="H265" s="210"/>
      <c r="I265" s="230">
        <f t="shared" si="76"/>
        <v>0</v>
      </c>
      <c r="J265" s="169">
        <f>31.71+90+110</f>
        <v>231.71</v>
      </c>
      <c r="K265" s="249"/>
      <c r="L265" s="248">
        <f t="shared" si="77"/>
        <v>231.71</v>
      </c>
      <c r="M265" s="292"/>
      <c r="N265" s="249"/>
      <c r="O265" s="248">
        <f t="shared" si="78"/>
        <v>231.71</v>
      </c>
      <c r="P265" s="93"/>
      <c r="Q265" s="52"/>
    </row>
    <row r="266" spans="1:17" ht="12.75">
      <c r="A266" s="21" t="s">
        <v>343</v>
      </c>
      <c r="B266" s="65">
        <v>34026</v>
      </c>
      <c r="C266" s="134"/>
      <c r="D266" s="99"/>
      <c r="E266" s="99"/>
      <c r="F266" s="89">
        <f t="shared" si="74"/>
        <v>0</v>
      </c>
      <c r="G266" s="169">
        <f>490.3</f>
        <v>490.3</v>
      </c>
      <c r="H266" s="210"/>
      <c r="I266" s="230">
        <f t="shared" si="76"/>
        <v>490.3</v>
      </c>
      <c r="J266" s="169"/>
      <c r="K266" s="249"/>
      <c r="L266" s="248">
        <f t="shared" si="77"/>
        <v>490.3</v>
      </c>
      <c r="M266" s="292">
        <f>-74.79</f>
        <v>-74.79</v>
      </c>
      <c r="N266" s="249"/>
      <c r="O266" s="248">
        <f t="shared" si="78"/>
        <v>415.51</v>
      </c>
      <c r="P266" s="93"/>
      <c r="Q266" s="52"/>
    </row>
    <row r="267" spans="1:17" ht="12.75">
      <c r="A267" s="21" t="s">
        <v>372</v>
      </c>
      <c r="B267" s="65">
        <v>34021</v>
      </c>
      <c r="C267" s="134"/>
      <c r="D267" s="99"/>
      <c r="E267" s="99"/>
      <c r="F267" s="89"/>
      <c r="G267" s="169"/>
      <c r="H267" s="210"/>
      <c r="I267" s="230"/>
      <c r="J267" s="169"/>
      <c r="K267" s="249"/>
      <c r="L267" s="248">
        <f t="shared" si="77"/>
        <v>0</v>
      </c>
      <c r="M267" s="292">
        <f>520</f>
        <v>520</v>
      </c>
      <c r="N267" s="249"/>
      <c r="O267" s="248">
        <f t="shared" si="78"/>
        <v>520</v>
      </c>
      <c r="P267" s="93"/>
      <c r="Q267" s="52"/>
    </row>
    <row r="268" spans="1:17" ht="12.75">
      <c r="A268" s="21" t="s">
        <v>89</v>
      </c>
      <c r="B268" s="65">
        <v>34053</v>
      </c>
      <c r="C268" s="134"/>
      <c r="D268" s="99"/>
      <c r="E268" s="99"/>
      <c r="F268" s="89">
        <f t="shared" si="74"/>
        <v>0</v>
      </c>
      <c r="G268" s="169">
        <f>306</f>
        <v>306</v>
      </c>
      <c r="H268" s="210"/>
      <c r="I268" s="230">
        <f t="shared" si="76"/>
        <v>306</v>
      </c>
      <c r="J268" s="169"/>
      <c r="K268" s="249"/>
      <c r="L268" s="248">
        <f t="shared" si="77"/>
        <v>306</v>
      </c>
      <c r="M268" s="292"/>
      <c r="N268" s="249"/>
      <c r="O268" s="248">
        <f t="shared" si="78"/>
        <v>306</v>
      </c>
      <c r="P268" s="93"/>
      <c r="Q268" s="52">
        <f t="shared" si="75"/>
        <v>306</v>
      </c>
    </row>
    <row r="269" spans="1:17" ht="12.75">
      <c r="A269" s="21" t="s">
        <v>344</v>
      </c>
      <c r="B269" s="65">
        <v>33063</v>
      </c>
      <c r="C269" s="134"/>
      <c r="D269" s="99"/>
      <c r="E269" s="99"/>
      <c r="F269" s="89">
        <f t="shared" si="74"/>
        <v>0</v>
      </c>
      <c r="G269" s="169">
        <f>1805</f>
        <v>1805</v>
      </c>
      <c r="H269" s="210"/>
      <c r="I269" s="230">
        <f t="shared" si="76"/>
        <v>1805</v>
      </c>
      <c r="J269" s="169"/>
      <c r="K269" s="249"/>
      <c r="L269" s="248">
        <f t="shared" si="77"/>
        <v>1805</v>
      </c>
      <c r="M269" s="292"/>
      <c r="N269" s="249"/>
      <c r="O269" s="248">
        <f t="shared" si="78"/>
        <v>1805</v>
      </c>
      <c r="P269" s="93"/>
      <c r="Q269" s="52"/>
    </row>
    <row r="270" spans="1:17" ht="12.75">
      <c r="A270" s="21" t="s">
        <v>326</v>
      </c>
      <c r="B270" s="65"/>
      <c r="C270" s="134"/>
      <c r="D270" s="99">
        <f>269.44</f>
        <v>269.44</v>
      </c>
      <c r="E270" s="99"/>
      <c r="F270" s="89">
        <f t="shared" si="74"/>
        <v>269.44</v>
      </c>
      <c r="G270" s="169"/>
      <c r="H270" s="210"/>
      <c r="I270" s="230">
        <f t="shared" si="76"/>
        <v>269.44</v>
      </c>
      <c r="J270" s="169"/>
      <c r="K270" s="249"/>
      <c r="L270" s="248">
        <f t="shared" si="77"/>
        <v>269.44</v>
      </c>
      <c r="M270" s="292"/>
      <c r="N270" s="249"/>
      <c r="O270" s="248">
        <f t="shared" si="78"/>
        <v>269.44</v>
      </c>
      <c r="P270" s="93"/>
      <c r="Q270" s="52"/>
    </row>
    <row r="271" spans="1:17" ht="12.75">
      <c r="A271" s="21" t="s">
        <v>76</v>
      </c>
      <c r="B271" s="65"/>
      <c r="C271" s="134">
        <v>300</v>
      </c>
      <c r="D271" s="99"/>
      <c r="E271" s="99"/>
      <c r="F271" s="89">
        <f t="shared" si="74"/>
        <v>300</v>
      </c>
      <c r="G271" s="169"/>
      <c r="H271" s="210"/>
      <c r="I271" s="230">
        <f t="shared" si="76"/>
        <v>300</v>
      </c>
      <c r="J271" s="169"/>
      <c r="K271" s="249"/>
      <c r="L271" s="248">
        <f t="shared" si="77"/>
        <v>300</v>
      </c>
      <c r="M271" s="292"/>
      <c r="N271" s="249"/>
      <c r="O271" s="248">
        <f t="shared" si="78"/>
        <v>300</v>
      </c>
      <c r="P271" s="93"/>
      <c r="Q271" s="52">
        <f t="shared" si="75"/>
        <v>300</v>
      </c>
    </row>
    <row r="272" spans="1:17" ht="12.75">
      <c r="A272" s="23" t="s">
        <v>52</v>
      </c>
      <c r="B272" s="69"/>
      <c r="C272" s="137">
        <f>SUM(C274:C279)</f>
        <v>3380</v>
      </c>
      <c r="D272" s="102">
        <f aca="true" t="shared" si="79" ref="D272:Q272">SUM(D274:D279)</f>
        <v>3370</v>
      </c>
      <c r="E272" s="102">
        <f t="shared" si="79"/>
        <v>0</v>
      </c>
      <c r="F272" s="120">
        <f t="shared" si="79"/>
        <v>6750</v>
      </c>
      <c r="G272" s="171">
        <f t="shared" si="79"/>
        <v>-107</v>
      </c>
      <c r="H272" s="214">
        <f t="shared" si="79"/>
        <v>-3100</v>
      </c>
      <c r="I272" s="233">
        <f t="shared" si="79"/>
        <v>3543</v>
      </c>
      <c r="J272" s="171">
        <f t="shared" si="79"/>
        <v>0</v>
      </c>
      <c r="K272" s="254">
        <f t="shared" si="79"/>
        <v>0</v>
      </c>
      <c r="L272" s="255">
        <f t="shared" si="79"/>
        <v>3543</v>
      </c>
      <c r="M272" s="315">
        <f t="shared" si="79"/>
        <v>4720.95</v>
      </c>
      <c r="N272" s="254">
        <f t="shared" si="79"/>
        <v>0</v>
      </c>
      <c r="O272" s="255">
        <f t="shared" si="79"/>
        <v>8263.95</v>
      </c>
      <c r="P272" s="102">
        <f t="shared" si="79"/>
        <v>0</v>
      </c>
      <c r="Q272" s="137">
        <f t="shared" si="79"/>
        <v>4662.99</v>
      </c>
    </row>
    <row r="273" spans="1:17" ht="12.75">
      <c r="A273" s="19" t="s">
        <v>26</v>
      </c>
      <c r="B273" s="65"/>
      <c r="C273" s="134"/>
      <c r="D273" s="99"/>
      <c r="E273" s="99"/>
      <c r="F273" s="89"/>
      <c r="G273" s="169"/>
      <c r="H273" s="210"/>
      <c r="I273" s="230"/>
      <c r="J273" s="169"/>
      <c r="K273" s="249"/>
      <c r="L273" s="248"/>
      <c r="M273" s="292"/>
      <c r="N273" s="249"/>
      <c r="O273" s="248"/>
      <c r="P273" s="93"/>
      <c r="Q273" s="52"/>
    </row>
    <row r="274" spans="1:17" ht="12.75" hidden="1">
      <c r="A274" s="21" t="s">
        <v>89</v>
      </c>
      <c r="B274" s="65">
        <v>34544</v>
      </c>
      <c r="C274" s="134"/>
      <c r="D274" s="99"/>
      <c r="E274" s="99"/>
      <c r="F274" s="89">
        <f>C274+D274+E274</f>
        <v>0</v>
      </c>
      <c r="G274" s="169"/>
      <c r="H274" s="210"/>
      <c r="I274" s="230">
        <f>F274+G274+H274</f>
        <v>0</v>
      </c>
      <c r="J274" s="169"/>
      <c r="K274" s="249"/>
      <c r="L274" s="248">
        <f aca="true" t="shared" si="80" ref="L274:L279">I274+J274+K274</f>
        <v>0</v>
      </c>
      <c r="M274" s="292"/>
      <c r="N274" s="249"/>
      <c r="O274" s="248">
        <f aca="true" t="shared" si="81" ref="O274:O279">L274+M274+N274</f>
        <v>0</v>
      </c>
      <c r="P274" s="93"/>
      <c r="Q274" s="52">
        <f>O274+P274</f>
        <v>0</v>
      </c>
    </row>
    <row r="275" spans="1:17" ht="12.75">
      <c r="A275" s="21" t="s">
        <v>362</v>
      </c>
      <c r="B275" s="65">
        <v>34941</v>
      </c>
      <c r="C275" s="134"/>
      <c r="D275" s="99"/>
      <c r="E275" s="99"/>
      <c r="F275" s="89">
        <f>C275+D275+E275</f>
        <v>0</v>
      </c>
      <c r="G275" s="169">
        <f>93</f>
        <v>93</v>
      </c>
      <c r="H275" s="210"/>
      <c r="I275" s="230">
        <f>F275+G275+H275</f>
        <v>93</v>
      </c>
      <c r="J275" s="169"/>
      <c r="K275" s="249"/>
      <c r="L275" s="248">
        <f t="shared" si="80"/>
        <v>93</v>
      </c>
      <c r="M275" s="292"/>
      <c r="N275" s="249"/>
      <c r="O275" s="248">
        <f t="shared" si="81"/>
        <v>93</v>
      </c>
      <c r="P275" s="93"/>
      <c r="Q275" s="52"/>
    </row>
    <row r="276" spans="1:17" ht="12.75">
      <c r="A276" s="63" t="s">
        <v>373</v>
      </c>
      <c r="B276" s="65">
        <v>34502</v>
      </c>
      <c r="C276" s="134"/>
      <c r="D276" s="99"/>
      <c r="E276" s="99"/>
      <c r="F276" s="89"/>
      <c r="G276" s="169"/>
      <c r="H276" s="210"/>
      <c r="I276" s="230"/>
      <c r="J276" s="169"/>
      <c r="K276" s="249"/>
      <c r="L276" s="248">
        <f t="shared" si="80"/>
        <v>0</v>
      </c>
      <c r="M276" s="292">
        <f>496+3011.96</f>
        <v>3507.96</v>
      </c>
      <c r="N276" s="249"/>
      <c r="O276" s="248">
        <f t="shared" si="81"/>
        <v>3507.96</v>
      </c>
      <c r="P276" s="93"/>
      <c r="Q276" s="52"/>
    </row>
    <row r="277" spans="1:17" ht="12.75">
      <c r="A277" s="63" t="s">
        <v>83</v>
      </c>
      <c r="B277" s="65"/>
      <c r="C277" s="134">
        <v>2850</v>
      </c>
      <c r="D277" s="99"/>
      <c r="E277" s="99"/>
      <c r="F277" s="89">
        <f>C277+D277+E277</f>
        <v>2850</v>
      </c>
      <c r="G277" s="169"/>
      <c r="H277" s="210"/>
      <c r="I277" s="230">
        <f>F277+G277+H277</f>
        <v>2850</v>
      </c>
      <c r="J277" s="169"/>
      <c r="K277" s="249"/>
      <c r="L277" s="248">
        <f t="shared" si="80"/>
        <v>2850</v>
      </c>
      <c r="M277" s="292">
        <f>1212.99</f>
        <v>1212.99</v>
      </c>
      <c r="N277" s="249"/>
      <c r="O277" s="248">
        <f t="shared" si="81"/>
        <v>4062.99</v>
      </c>
      <c r="P277" s="93"/>
      <c r="Q277" s="52">
        <f>O277+P277</f>
        <v>4062.99</v>
      </c>
    </row>
    <row r="278" spans="1:17" ht="12.75">
      <c r="A278" s="132" t="s">
        <v>53</v>
      </c>
      <c r="B278" s="68"/>
      <c r="C278" s="195">
        <v>530</v>
      </c>
      <c r="D278" s="148">
        <f>3370</f>
        <v>3370</v>
      </c>
      <c r="E278" s="148"/>
      <c r="F278" s="159">
        <f>C278+D278+E278</f>
        <v>3900</v>
      </c>
      <c r="G278" s="174">
        <f>-200</f>
        <v>-200</v>
      </c>
      <c r="H278" s="216">
        <f>-3100</f>
        <v>-3100</v>
      </c>
      <c r="I278" s="235">
        <f>F278+G278+H278</f>
        <v>600</v>
      </c>
      <c r="J278" s="174"/>
      <c r="K278" s="258"/>
      <c r="L278" s="259">
        <f t="shared" si="80"/>
        <v>600</v>
      </c>
      <c r="M278" s="302"/>
      <c r="N278" s="258"/>
      <c r="O278" s="259">
        <f t="shared" si="81"/>
        <v>600</v>
      </c>
      <c r="P278" s="93"/>
      <c r="Q278" s="52">
        <f>O278+P278</f>
        <v>600</v>
      </c>
    </row>
    <row r="279" spans="1:17" ht="12.75" hidden="1">
      <c r="A279" s="28" t="s">
        <v>76</v>
      </c>
      <c r="B279" s="68"/>
      <c r="C279" s="195"/>
      <c r="D279" s="148"/>
      <c r="E279" s="148"/>
      <c r="F279" s="159">
        <f>C279+D279+E279</f>
        <v>0</v>
      </c>
      <c r="G279" s="174"/>
      <c r="H279" s="216"/>
      <c r="I279" s="235">
        <f>F279+G279+H279</f>
        <v>0</v>
      </c>
      <c r="J279" s="174"/>
      <c r="K279" s="258"/>
      <c r="L279" s="259">
        <f t="shared" si="80"/>
        <v>0</v>
      </c>
      <c r="M279" s="302"/>
      <c r="N279" s="258"/>
      <c r="O279" s="259">
        <f t="shared" si="81"/>
        <v>0</v>
      </c>
      <c r="P279" s="295"/>
      <c r="Q279" s="54">
        <f>O279+P279</f>
        <v>0</v>
      </c>
    </row>
    <row r="280" spans="1:28" ht="12.75">
      <c r="A280" s="14" t="s">
        <v>279</v>
      </c>
      <c r="B280" s="69"/>
      <c r="C280" s="133">
        <f>C281+C284</f>
        <v>1365.7</v>
      </c>
      <c r="D280" s="86">
        <f>D281+D284</f>
        <v>160</v>
      </c>
      <c r="E280" s="86">
        <f>E281+E286</f>
        <v>0</v>
      </c>
      <c r="F280" s="94">
        <f>F281+F284</f>
        <v>1525.7</v>
      </c>
      <c r="G280" s="168">
        <f aca="true" t="shared" si="82" ref="G280:Q280">G281+G284</f>
        <v>0</v>
      </c>
      <c r="H280" s="209">
        <f t="shared" si="82"/>
        <v>-485.7</v>
      </c>
      <c r="I280" s="229">
        <f t="shared" si="82"/>
        <v>1040</v>
      </c>
      <c r="J280" s="168">
        <f t="shared" si="82"/>
        <v>0</v>
      </c>
      <c r="K280" s="246">
        <f t="shared" si="82"/>
        <v>0</v>
      </c>
      <c r="L280" s="247">
        <f t="shared" si="82"/>
        <v>1040</v>
      </c>
      <c r="M280" s="309">
        <f>M281+M284</f>
        <v>-18.2</v>
      </c>
      <c r="N280" s="246">
        <f>N281+N284</f>
        <v>0</v>
      </c>
      <c r="O280" s="247">
        <f>O281+O284</f>
        <v>1021.8</v>
      </c>
      <c r="P280" s="106">
        <f t="shared" si="82"/>
        <v>0</v>
      </c>
      <c r="Q280" s="106">
        <f t="shared" si="82"/>
        <v>0</v>
      </c>
      <c r="AA280" s="135"/>
      <c r="AB280" s="94"/>
    </row>
    <row r="281" spans="1:17" ht="12.75">
      <c r="A281" s="23" t="s">
        <v>48</v>
      </c>
      <c r="B281" s="69"/>
      <c r="C281" s="137">
        <f>SUM(C283:C283)</f>
        <v>1365.7</v>
      </c>
      <c r="D281" s="102">
        <f>SUM(D283:D283)</f>
        <v>160</v>
      </c>
      <c r="E281" s="102">
        <f>SUM(E283:E283)</f>
        <v>0</v>
      </c>
      <c r="F281" s="120">
        <f>SUM(F283:F283)</f>
        <v>1525.7</v>
      </c>
      <c r="G281" s="171">
        <f aca="true" t="shared" si="83" ref="G281:Q281">SUM(G283:G283)</f>
        <v>0</v>
      </c>
      <c r="H281" s="214">
        <f t="shared" si="83"/>
        <v>-485.7</v>
      </c>
      <c r="I281" s="233">
        <f t="shared" si="83"/>
        <v>1040</v>
      </c>
      <c r="J281" s="171">
        <f t="shared" si="83"/>
        <v>0</v>
      </c>
      <c r="K281" s="254">
        <f t="shared" si="83"/>
        <v>0</v>
      </c>
      <c r="L281" s="255">
        <f t="shared" si="83"/>
        <v>1040</v>
      </c>
      <c r="M281" s="315">
        <f>SUM(M283:M283)</f>
        <v>-18.2</v>
      </c>
      <c r="N281" s="254">
        <f>SUM(N283:N283)</f>
        <v>0</v>
      </c>
      <c r="O281" s="255">
        <f>SUM(O283:O283)</f>
        <v>1021.8</v>
      </c>
      <c r="P281" s="112">
        <f t="shared" si="83"/>
        <v>0</v>
      </c>
      <c r="Q281" s="112">
        <f t="shared" si="83"/>
        <v>0</v>
      </c>
    </row>
    <row r="282" spans="1:17" ht="12.75">
      <c r="A282" s="19" t="s">
        <v>26</v>
      </c>
      <c r="B282" s="65"/>
      <c r="C282" s="134"/>
      <c r="D282" s="99"/>
      <c r="E282" s="99"/>
      <c r="F282" s="89"/>
      <c r="G282" s="169"/>
      <c r="H282" s="210"/>
      <c r="I282" s="230"/>
      <c r="J282" s="169"/>
      <c r="K282" s="249"/>
      <c r="L282" s="248"/>
      <c r="M282" s="292"/>
      <c r="N282" s="249"/>
      <c r="O282" s="248"/>
      <c r="P282" s="93"/>
      <c r="Q282" s="52"/>
    </row>
    <row r="283" spans="1:17" ht="12.75">
      <c r="A283" s="20" t="s">
        <v>50</v>
      </c>
      <c r="B283" s="68"/>
      <c r="C283" s="195">
        <v>1365.7</v>
      </c>
      <c r="D283" s="148">
        <f>-40+200</f>
        <v>160</v>
      </c>
      <c r="E283" s="148"/>
      <c r="F283" s="159">
        <f>C283+D283+E283</f>
        <v>1525.7</v>
      </c>
      <c r="G283" s="174"/>
      <c r="H283" s="216">
        <f>-485.7</f>
        <v>-485.7</v>
      </c>
      <c r="I283" s="235">
        <f>F283+G283+H283</f>
        <v>1040</v>
      </c>
      <c r="J283" s="174"/>
      <c r="K283" s="258"/>
      <c r="L283" s="259">
        <f>I283+J283+K283</f>
        <v>1040</v>
      </c>
      <c r="M283" s="302">
        <f>-18.2</f>
        <v>-18.2</v>
      </c>
      <c r="N283" s="258"/>
      <c r="O283" s="259">
        <f>L283+M283+N283</f>
        <v>1021.8</v>
      </c>
      <c r="P283" s="93"/>
      <c r="Q283" s="52"/>
    </row>
    <row r="284" spans="1:17" ht="12.75" hidden="1">
      <c r="A284" s="23" t="s">
        <v>52</v>
      </c>
      <c r="B284" s="69"/>
      <c r="C284" s="137">
        <f>C286</f>
        <v>0</v>
      </c>
      <c r="D284" s="102">
        <f>D286</f>
        <v>0</v>
      </c>
      <c r="E284" s="83">
        <f aca="true" t="shared" si="84" ref="E284:Q284">E286</f>
        <v>0</v>
      </c>
      <c r="F284" s="160">
        <f t="shared" si="84"/>
        <v>0</v>
      </c>
      <c r="G284" s="171">
        <f t="shared" si="84"/>
        <v>0</v>
      </c>
      <c r="H284" s="214">
        <f t="shared" si="84"/>
        <v>0</v>
      </c>
      <c r="I284" s="233">
        <f t="shared" si="84"/>
        <v>0</v>
      </c>
      <c r="J284" s="171">
        <f t="shared" si="84"/>
        <v>0</v>
      </c>
      <c r="K284" s="254">
        <f t="shared" si="84"/>
        <v>0</v>
      </c>
      <c r="L284" s="255">
        <f t="shared" si="84"/>
        <v>0</v>
      </c>
      <c r="M284" s="315">
        <f t="shared" si="84"/>
        <v>0</v>
      </c>
      <c r="N284" s="254">
        <f t="shared" si="84"/>
        <v>0</v>
      </c>
      <c r="O284" s="255">
        <f t="shared" si="84"/>
        <v>0</v>
      </c>
      <c r="P284" s="102">
        <f t="shared" si="84"/>
        <v>0</v>
      </c>
      <c r="Q284" s="83">
        <f t="shared" si="84"/>
        <v>0</v>
      </c>
    </row>
    <row r="285" spans="1:17" ht="12.75" hidden="1">
      <c r="A285" s="19" t="s">
        <v>26</v>
      </c>
      <c r="B285" s="65"/>
      <c r="C285" s="134"/>
      <c r="D285" s="99"/>
      <c r="E285" s="99"/>
      <c r="F285" s="89"/>
      <c r="G285" s="169"/>
      <c r="H285" s="210"/>
      <c r="I285" s="230"/>
      <c r="J285" s="169"/>
      <c r="K285" s="249"/>
      <c r="L285" s="248"/>
      <c r="M285" s="292"/>
      <c r="N285" s="249"/>
      <c r="O285" s="248"/>
      <c r="P285" s="93"/>
      <c r="Q285" s="52"/>
    </row>
    <row r="286" spans="1:17" ht="12.75" hidden="1">
      <c r="A286" s="132" t="s">
        <v>53</v>
      </c>
      <c r="B286" s="68"/>
      <c r="C286" s="195"/>
      <c r="D286" s="148"/>
      <c r="E286" s="148"/>
      <c r="F286" s="159">
        <f>C286+D286+E286</f>
        <v>0</v>
      </c>
      <c r="G286" s="169"/>
      <c r="H286" s="210"/>
      <c r="I286" s="230">
        <f>F286+G286+H286</f>
        <v>0</v>
      </c>
      <c r="J286" s="169"/>
      <c r="K286" s="249"/>
      <c r="L286" s="248">
        <f>I286+J286+K286</f>
        <v>0</v>
      </c>
      <c r="M286" s="292"/>
      <c r="N286" s="249"/>
      <c r="O286" s="248">
        <f>L286+M286+N286</f>
        <v>0</v>
      </c>
      <c r="P286" s="93"/>
      <c r="Q286" s="52">
        <f>O286+P286</f>
        <v>0</v>
      </c>
    </row>
    <row r="287" spans="1:17" ht="12.75">
      <c r="A287" s="14" t="s">
        <v>47</v>
      </c>
      <c r="B287" s="67"/>
      <c r="C287" s="133">
        <f>C288+C302</f>
        <v>63729.03999999999</v>
      </c>
      <c r="D287" s="86">
        <f>D288+D302</f>
        <v>208525.06</v>
      </c>
      <c r="E287" s="86">
        <f>E288+E302</f>
        <v>10000</v>
      </c>
      <c r="F287" s="94">
        <f>F288+F302</f>
        <v>282254.1</v>
      </c>
      <c r="G287" s="168">
        <f aca="true" t="shared" si="85" ref="G287:Q287">G288+G302</f>
        <v>-130000</v>
      </c>
      <c r="H287" s="209">
        <f t="shared" si="85"/>
        <v>3350</v>
      </c>
      <c r="I287" s="229">
        <f t="shared" si="85"/>
        <v>155604.09999999998</v>
      </c>
      <c r="J287" s="168">
        <f t="shared" si="85"/>
        <v>32.179999999999836</v>
      </c>
      <c r="K287" s="246">
        <f t="shared" si="85"/>
        <v>0</v>
      </c>
      <c r="L287" s="247">
        <f t="shared" si="85"/>
        <v>155636.27999999997</v>
      </c>
      <c r="M287" s="309">
        <f>M288+M302</f>
        <v>0</v>
      </c>
      <c r="N287" s="246">
        <f>N288+N302</f>
        <v>0</v>
      </c>
      <c r="O287" s="247">
        <f>O288+O302</f>
        <v>155636.27999999997</v>
      </c>
      <c r="P287" s="106">
        <f t="shared" si="85"/>
        <v>0</v>
      </c>
      <c r="Q287" s="106">
        <f t="shared" si="85"/>
        <v>54419.03999999999</v>
      </c>
    </row>
    <row r="288" spans="1:17" ht="12.75">
      <c r="A288" s="23" t="s">
        <v>48</v>
      </c>
      <c r="B288" s="67"/>
      <c r="C288" s="137">
        <f>SUM(C290:C301)</f>
        <v>63729.03999999999</v>
      </c>
      <c r="D288" s="102">
        <f>SUM(D290:D301)</f>
        <v>204113</v>
      </c>
      <c r="E288" s="102">
        <f>SUM(E290:E301)</f>
        <v>10000</v>
      </c>
      <c r="F288" s="120">
        <f>SUM(F290:F301)</f>
        <v>277842.04</v>
      </c>
      <c r="G288" s="171">
        <f aca="true" t="shared" si="86" ref="G288:Q288">SUM(G290:G301)</f>
        <v>-130000</v>
      </c>
      <c r="H288" s="214">
        <f t="shared" si="86"/>
        <v>2990</v>
      </c>
      <c r="I288" s="233">
        <f t="shared" si="86"/>
        <v>150832.03999999998</v>
      </c>
      <c r="J288" s="171">
        <f t="shared" si="86"/>
        <v>-2167.82</v>
      </c>
      <c r="K288" s="254">
        <f t="shared" si="86"/>
        <v>0</v>
      </c>
      <c r="L288" s="255">
        <f t="shared" si="86"/>
        <v>148664.21999999997</v>
      </c>
      <c r="M288" s="315">
        <f>SUM(M290:M301)</f>
        <v>0</v>
      </c>
      <c r="N288" s="254">
        <f>SUM(N290:N301)</f>
        <v>100</v>
      </c>
      <c r="O288" s="255">
        <f>SUM(O290:O301)</f>
        <v>148764.21999999997</v>
      </c>
      <c r="P288" s="112">
        <f t="shared" si="86"/>
        <v>0</v>
      </c>
      <c r="Q288" s="112">
        <f t="shared" si="86"/>
        <v>54419.03999999999</v>
      </c>
    </row>
    <row r="289" spans="1:17" ht="12.75">
      <c r="A289" s="19" t="s">
        <v>26</v>
      </c>
      <c r="B289" s="48"/>
      <c r="C289" s="134"/>
      <c r="D289" s="99"/>
      <c r="E289" s="99"/>
      <c r="F289" s="89"/>
      <c r="G289" s="169"/>
      <c r="H289" s="210"/>
      <c r="I289" s="230"/>
      <c r="J289" s="169"/>
      <c r="K289" s="249"/>
      <c r="L289" s="248"/>
      <c r="M289" s="292"/>
      <c r="N289" s="249"/>
      <c r="O289" s="248"/>
      <c r="P289" s="93"/>
      <c r="Q289" s="52"/>
    </row>
    <row r="290" spans="1:17" ht="12.75">
      <c r="A290" s="17" t="s">
        <v>133</v>
      </c>
      <c r="B290" s="65"/>
      <c r="C290" s="134">
        <v>28272.67</v>
      </c>
      <c r="D290" s="99"/>
      <c r="E290" s="99"/>
      <c r="F290" s="89">
        <f aca="true" t="shared" si="87" ref="F290:F301">C290+D290+E290</f>
        <v>28272.67</v>
      </c>
      <c r="G290" s="169"/>
      <c r="H290" s="210"/>
      <c r="I290" s="230">
        <f aca="true" t="shared" si="88" ref="I290:I301">F290+G290+H290</f>
        <v>28272.67</v>
      </c>
      <c r="J290" s="169"/>
      <c r="K290" s="249"/>
      <c r="L290" s="248">
        <f>I290+J290+K290</f>
        <v>28272.67</v>
      </c>
      <c r="M290" s="292"/>
      <c r="N290" s="249"/>
      <c r="O290" s="248">
        <f>L290+M290+N290</f>
        <v>28272.67</v>
      </c>
      <c r="P290" s="93"/>
      <c r="Q290" s="52">
        <f>O290+P290</f>
        <v>28272.67</v>
      </c>
    </row>
    <row r="291" spans="1:17" ht="12.75">
      <c r="A291" s="17" t="s">
        <v>49</v>
      </c>
      <c r="B291" s="65"/>
      <c r="C291" s="134">
        <v>7192.59</v>
      </c>
      <c r="D291" s="99"/>
      <c r="E291" s="99"/>
      <c r="F291" s="89">
        <f t="shared" si="87"/>
        <v>7192.59</v>
      </c>
      <c r="G291" s="169"/>
      <c r="H291" s="210"/>
      <c r="I291" s="230">
        <f t="shared" si="88"/>
        <v>7192.59</v>
      </c>
      <c r="J291" s="169"/>
      <c r="K291" s="249"/>
      <c r="L291" s="248">
        <f>I291+J291+K291</f>
        <v>7192.59</v>
      </c>
      <c r="M291" s="292"/>
      <c r="N291" s="249"/>
      <c r="O291" s="248">
        <f>L291+M291+N291</f>
        <v>7192.59</v>
      </c>
      <c r="P291" s="93"/>
      <c r="Q291" s="52">
        <f>O291+P291</f>
        <v>7192.59</v>
      </c>
    </row>
    <row r="292" spans="1:17" ht="12.75">
      <c r="A292" s="17" t="s">
        <v>246</v>
      </c>
      <c r="B292" s="65"/>
      <c r="C292" s="134">
        <v>1450</v>
      </c>
      <c r="D292" s="99"/>
      <c r="E292" s="99"/>
      <c r="F292" s="89">
        <f t="shared" si="87"/>
        <v>1450</v>
      </c>
      <c r="G292" s="169"/>
      <c r="H292" s="210"/>
      <c r="I292" s="230">
        <f t="shared" si="88"/>
        <v>1450</v>
      </c>
      <c r="J292" s="169"/>
      <c r="K292" s="249"/>
      <c r="L292" s="248">
        <f>I292+J292+K292</f>
        <v>1450</v>
      </c>
      <c r="M292" s="292"/>
      <c r="N292" s="249"/>
      <c r="O292" s="248">
        <f>L292+M292+N292</f>
        <v>1450</v>
      </c>
      <c r="P292" s="93"/>
      <c r="Q292" s="52">
        <f>O292+P292</f>
        <v>1450</v>
      </c>
    </row>
    <row r="293" spans="1:17" ht="13.5" thickBot="1">
      <c r="A293" s="342" t="s">
        <v>50</v>
      </c>
      <c r="B293" s="330"/>
      <c r="C293" s="331">
        <v>16713.78</v>
      </c>
      <c r="D293" s="332">
        <f>1300</f>
        <v>1300</v>
      </c>
      <c r="E293" s="332"/>
      <c r="F293" s="333">
        <f t="shared" si="87"/>
        <v>18013.78</v>
      </c>
      <c r="G293" s="334"/>
      <c r="H293" s="335">
        <f>-650</f>
        <v>-650</v>
      </c>
      <c r="I293" s="336">
        <f t="shared" si="88"/>
        <v>17363.78</v>
      </c>
      <c r="J293" s="334"/>
      <c r="K293" s="337"/>
      <c r="L293" s="338">
        <f>I293+J293+K293</f>
        <v>17363.78</v>
      </c>
      <c r="M293" s="341"/>
      <c r="N293" s="337"/>
      <c r="O293" s="338">
        <f>L293+M293+N293</f>
        <v>17363.78</v>
      </c>
      <c r="P293" s="93"/>
      <c r="Q293" s="52">
        <f>O293+P293</f>
        <v>17363.78</v>
      </c>
    </row>
    <row r="294" spans="1:17" ht="12.75" hidden="1">
      <c r="A294" s="17" t="s">
        <v>76</v>
      </c>
      <c r="B294" s="65"/>
      <c r="C294" s="134"/>
      <c r="D294" s="99"/>
      <c r="E294" s="99"/>
      <c r="F294" s="89">
        <f t="shared" si="87"/>
        <v>0</v>
      </c>
      <c r="G294" s="169"/>
      <c r="H294" s="210"/>
      <c r="I294" s="230">
        <f t="shared" si="88"/>
        <v>0</v>
      </c>
      <c r="J294" s="169"/>
      <c r="K294" s="249"/>
      <c r="L294" s="248"/>
      <c r="M294" s="292"/>
      <c r="N294" s="249"/>
      <c r="O294" s="248"/>
      <c r="P294" s="93"/>
      <c r="Q294" s="52"/>
    </row>
    <row r="295" spans="1:17" ht="12.75">
      <c r="A295" s="17" t="s">
        <v>347</v>
      </c>
      <c r="B295" s="65"/>
      <c r="C295" s="134">
        <v>500</v>
      </c>
      <c r="D295" s="99"/>
      <c r="E295" s="99"/>
      <c r="F295" s="89">
        <f t="shared" si="87"/>
        <v>500</v>
      </c>
      <c r="G295" s="169"/>
      <c r="H295" s="210">
        <f>-360</f>
        <v>-360</v>
      </c>
      <c r="I295" s="230">
        <f t="shared" si="88"/>
        <v>140</v>
      </c>
      <c r="J295" s="169"/>
      <c r="K295" s="249"/>
      <c r="L295" s="248">
        <f aca="true" t="shared" si="89" ref="L295:L301">I295+J295+K295</f>
        <v>140</v>
      </c>
      <c r="M295" s="292"/>
      <c r="N295" s="249"/>
      <c r="O295" s="248">
        <f aca="true" t="shared" si="90" ref="O295:O301">L295+M295+N295</f>
        <v>140</v>
      </c>
      <c r="P295" s="93"/>
      <c r="Q295" s="52">
        <f>O295+P295</f>
        <v>140</v>
      </c>
    </row>
    <row r="296" spans="1:17" ht="12.75">
      <c r="A296" s="17" t="s">
        <v>329</v>
      </c>
      <c r="B296" s="65"/>
      <c r="C296" s="134"/>
      <c r="D296" s="99">
        <v>200000</v>
      </c>
      <c r="E296" s="99">
        <v>10000</v>
      </c>
      <c r="F296" s="89">
        <f t="shared" si="87"/>
        <v>210000</v>
      </c>
      <c r="G296" s="169">
        <f>-140000</f>
        <v>-140000</v>
      </c>
      <c r="H296" s="210">
        <f>-3000</f>
        <v>-3000</v>
      </c>
      <c r="I296" s="230">
        <f t="shared" si="88"/>
        <v>67000</v>
      </c>
      <c r="J296" s="169"/>
      <c r="K296" s="249"/>
      <c r="L296" s="248">
        <f t="shared" si="89"/>
        <v>67000</v>
      </c>
      <c r="M296" s="292"/>
      <c r="N296" s="249"/>
      <c r="O296" s="248">
        <f t="shared" si="90"/>
        <v>67000</v>
      </c>
      <c r="P296" s="93"/>
      <c r="Q296" s="52"/>
    </row>
    <row r="297" spans="1:17" ht="12.75">
      <c r="A297" s="17" t="s">
        <v>330</v>
      </c>
      <c r="B297" s="65">
        <v>98022</v>
      </c>
      <c r="C297" s="134"/>
      <c r="D297" s="99"/>
      <c r="E297" s="99"/>
      <c r="F297" s="89">
        <f t="shared" si="87"/>
        <v>0</v>
      </c>
      <c r="G297" s="169">
        <f>10000</f>
        <v>10000</v>
      </c>
      <c r="H297" s="210"/>
      <c r="I297" s="230">
        <f t="shared" si="88"/>
        <v>10000</v>
      </c>
      <c r="J297" s="169"/>
      <c r="K297" s="249"/>
      <c r="L297" s="248">
        <f t="shared" si="89"/>
        <v>10000</v>
      </c>
      <c r="M297" s="292"/>
      <c r="N297" s="249"/>
      <c r="O297" s="248">
        <f t="shared" si="90"/>
        <v>10000</v>
      </c>
      <c r="P297" s="93"/>
      <c r="Q297" s="52"/>
    </row>
    <row r="298" spans="1:17" ht="12.75">
      <c r="A298" s="17" t="s">
        <v>357</v>
      </c>
      <c r="B298" s="65">
        <v>13351</v>
      </c>
      <c r="C298" s="134"/>
      <c r="D298" s="99"/>
      <c r="E298" s="99"/>
      <c r="F298" s="89"/>
      <c r="G298" s="169"/>
      <c r="H298" s="210"/>
      <c r="I298" s="230">
        <f t="shared" si="88"/>
        <v>0</v>
      </c>
      <c r="J298" s="169">
        <f>32.18</f>
        <v>32.18</v>
      </c>
      <c r="K298" s="249"/>
      <c r="L298" s="248">
        <f t="shared" si="89"/>
        <v>32.18</v>
      </c>
      <c r="M298" s="292"/>
      <c r="N298" s="249"/>
      <c r="O298" s="248">
        <f t="shared" si="90"/>
        <v>32.18</v>
      </c>
      <c r="P298" s="93"/>
      <c r="Q298" s="52"/>
    </row>
    <row r="299" spans="1:17" ht="12.75">
      <c r="A299" s="17" t="s">
        <v>247</v>
      </c>
      <c r="B299" s="65"/>
      <c r="C299" s="134">
        <v>9000</v>
      </c>
      <c r="D299" s="99">
        <f>2600+40</f>
        <v>2640</v>
      </c>
      <c r="E299" s="99"/>
      <c r="F299" s="89">
        <f t="shared" si="87"/>
        <v>11640</v>
      </c>
      <c r="G299" s="169"/>
      <c r="H299" s="210">
        <f>4000</f>
        <v>4000</v>
      </c>
      <c r="I299" s="230">
        <f t="shared" si="88"/>
        <v>15640</v>
      </c>
      <c r="J299" s="169">
        <f>-2200</f>
        <v>-2200</v>
      </c>
      <c r="K299" s="249"/>
      <c r="L299" s="248">
        <f t="shared" si="89"/>
        <v>13440</v>
      </c>
      <c r="M299" s="292"/>
      <c r="N299" s="249">
        <f>100</f>
        <v>100</v>
      </c>
      <c r="O299" s="248">
        <f t="shared" si="90"/>
        <v>13540</v>
      </c>
      <c r="P299" s="93"/>
      <c r="Q299" s="52"/>
    </row>
    <row r="300" spans="1:17" ht="12.75">
      <c r="A300" s="17" t="s">
        <v>248</v>
      </c>
      <c r="B300" s="65"/>
      <c r="C300" s="134">
        <v>600</v>
      </c>
      <c r="D300" s="99">
        <f>173</f>
        <v>173</v>
      </c>
      <c r="E300" s="99"/>
      <c r="F300" s="89">
        <f t="shared" si="87"/>
        <v>773</v>
      </c>
      <c r="G300" s="169"/>
      <c r="H300" s="210">
        <f>3000</f>
        <v>3000</v>
      </c>
      <c r="I300" s="230">
        <f t="shared" si="88"/>
        <v>3773</v>
      </c>
      <c r="J300" s="169"/>
      <c r="K300" s="249"/>
      <c r="L300" s="248">
        <f t="shared" si="89"/>
        <v>3773</v>
      </c>
      <c r="M300" s="292"/>
      <c r="N300" s="249"/>
      <c r="O300" s="248">
        <f t="shared" si="90"/>
        <v>3773</v>
      </c>
      <c r="P300" s="93"/>
      <c r="Q300" s="52"/>
    </row>
    <row r="301" spans="1:17" ht="12.75" hidden="1">
      <c r="A301" s="17" t="s">
        <v>51</v>
      </c>
      <c r="B301" s="65"/>
      <c r="C301" s="134"/>
      <c r="D301" s="99"/>
      <c r="E301" s="99"/>
      <c r="F301" s="89">
        <f t="shared" si="87"/>
        <v>0</v>
      </c>
      <c r="G301" s="169"/>
      <c r="H301" s="210"/>
      <c r="I301" s="230">
        <f t="shared" si="88"/>
        <v>0</v>
      </c>
      <c r="J301" s="169"/>
      <c r="K301" s="249"/>
      <c r="L301" s="248">
        <f t="shared" si="89"/>
        <v>0</v>
      </c>
      <c r="M301" s="292"/>
      <c r="N301" s="249"/>
      <c r="O301" s="248">
        <f t="shared" si="90"/>
        <v>0</v>
      </c>
      <c r="P301" s="93"/>
      <c r="Q301" s="52">
        <f>O301+P301</f>
        <v>0</v>
      </c>
    </row>
    <row r="302" spans="1:17" ht="12.75">
      <c r="A302" s="24" t="s">
        <v>52</v>
      </c>
      <c r="B302" s="69"/>
      <c r="C302" s="138">
        <f aca="true" t="shared" si="91" ref="C302:Q302">SUM(C304:C309)</f>
        <v>0</v>
      </c>
      <c r="D302" s="103">
        <f t="shared" si="91"/>
        <v>4412.0599999999995</v>
      </c>
      <c r="E302" s="103">
        <f t="shared" si="91"/>
        <v>0</v>
      </c>
      <c r="F302" s="121">
        <f t="shared" si="91"/>
        <v>4412.0599999999995</v>
      </c>
      <c r="G302" s="172">
        <f t="shared" si="91"/>
        <v>0</v>
      </c>
      <c r="H302" s="215">
        <f t="shared" si="91"/>
        <v>360</v>
      </c>
      <c r="I302" s="234">
        <f t="shared" si="91"/>
        <v>4772.0599999999995</v>
      </c>
      <c r="J302" s="172">
        <f t="shared" si="91"/>
        <v>2200</v>
      </c>
      <c r="K302" s="256">
        <f t="shared" si="91"/>
        <v>0</v>
      </c>
      <c r="L302" s="257">
        <f t="shared" si="91"/>
        <v>6972.0599999999995</v>
      </c>
      <c r="M302" s="316">
        <f t="shared" si="91"/>
        <v>0</v>
      </c>
      <c r="N302" s="256">
        <f t="shared" si="91"/>
        <v>-100</v>
      </c>
      <c r="O302" s="257">
        <f t="shared" si="91"/>
        <v>6872.0599999999995</v>
      </c>
      <c r="P302" s="103">
        <f t="shared" si="91"/>
        <v>0</v>
      </c>
      <c r="Q302" s="138">
        <f t="shared" si="91"/>
        <v>0</v>
      </c>
    </row>
    <row r="303" spans="1:17" ht="12.75">
      <c r="A303" s="15" t="s">
        <v>26</v>
      </c>
      <c r="B303" s="65"/>
      <c r="C303" s="136"/>
      <c r="D303" s="100"/>
      <c r="E303" s="100"/>
      <c r="F303" s="87"/>
      <c r="G303" s="173"/>
      <c r="H303" s="212"/>
      <c r="I303" s="231"/>
      <c r="J303" s="173"/>
      <c r="K303" s="251"/>
      <c r="L303" s="158"/>
      <c r="M303" s="312"/>
      <c r="N303" s="251"/>
      <c r="O303" s="158"/>
      <c r="P303" s="93"/>
      <c r="Q303" s="52"/>
    </row>
    <row r="304" spans="1:17" ht="12.75" hidden="1">
      <c r="A304" s="17" t="s">
        <v>152</v>
      </c>
      <c r="B304" s="65"/>
      <c r="C304" s="134"/>
      <c r="D304" s="99"/>
      <c r="E304" s="99"/>
      <c r="F304" s="89">
        <f aca="true" t="shared" si="92" ref="F304:F309">C304+D304+E304</f>
        <v>0</v>
      </c>
      <c r="G304" s="169"/>
      <c r="H304" s="210"/>
      <c r="I304" s="230">
        <f aca="true" t="shared" si="93" ref="I304:I309">F304+G304+H304</f>
        <v>0</v>
      </c>
      <c r="J304" s="169"/>
      <c r="K304" s="249"/>
      <c r="L304" s="248">
        <f aca="true" t="shared" si="94" ref="L304:L309">I304+J304+K304</f>
        <v>0</v>
      </c>
      <c r="M304" s="292"/>
      <c r="N304" s="249"/>
      <c r="O304" s="248">
        <f aca="true" t="shared" si="95" ref="O304:O309">L304+M304+N304</f>
        <v>0</v>
      </c>
      <c r="P304" s="93"/>
      <c r="Q304" s="52">
        <f>O304+P304</f>
        <v>0</v>
      </c>
    </row>
    <row r="305" spans="1:17" ht="12.75">
      <c r="A305" s="17" t="s">
        <v>347</v>
      </c>
      <c r="B305" s="65"/>
      <c r="C305" s="134"/>
      <c r="D305" s="99"/>
      <c r="E305" s="99"/>
      <c r="F305" s="89">
        <f t="shared" si="92"/>
        <v>0</v>
      </c>
      <c r="G305" s="169"/>
      <c r="H305" s="210">
        <f>360</f>
        <v>360</v>
      </c>
      <c r="I305" s="230">
        <f t="shared" si="93"/>
        <v>360</v>
      </c>
      <c r="J305" s="169"/>
      <c r="K305" s="249"/>
      <c r="L305" s="248">
        <f t="shared" si="94"/>
        <v>360</v>
      </c>
      <c r="M305" s="292"/>
      <c r="N305" s="249"/>
      <c r="O305" s="248">
        <f t="shared" si="95"/>
        <v>360</v>
      </c>
      <c r="P305" s="93"/>
      <c r="Q305" s="52"/>
    </row>
    <row r="306" spans="1:17" ht="12.75">
      <c r="A306" s="17" t="s">
        <v>247</v>
      </c>
      <c r="B306" s="65"/>
      <c r="C306" s="134"/>
      <c r="D306" s="99">
        <f>321+450</f>
        <v>771</v>
      </c>
      <c r="E306" s="99"/>
      <c r="F306" s="89">
        <f t="shared" si="92"/>
        <v>771</v>
      </c>
      <c r="G306" s="169"/>
      <c r="H306" s="210"/>
      <c r="I306" s="230">
        <f t="shared" si="93"/>
        <v>771</v>
      </c>
      <c r="J306" s="169">
        <f>2200</f>
        <v>2200</v>
      </c>
      <c r="K306" s="249"/>
      <c r="L306" s="248">
        <f t="shared" si="94"/>
        <v>2971</v>
      </c>
      <c r="M306" s="292"/>
      <c r="N306" s="249">
        <f>-100</f>
        <v>-100</v>
      </c>
      <c r="O306" s="248">
        <f t="shared" si="95"/>
        <v>2871</v>
      </c>
      <c r="P306" s="93"/>
      <c r="Q306" s="52"/>
    </row>
    <row r="307" spans="1:17" ht="12.75">
      <c r="A307" s="20" t="s">
        <v>248</v>
      </c>
      <c r="B307" s="68"/>
      <c r="C307" s="195"/>
      <c r="D307" s="148">
        <f>3641.06</f>
        <v>3641.06</v>
      </c>
      <c r="E307" s="148"/>
      <c r="F307" s="159">
        <f t="shared" si="92"/>
        <v>3641.06</v>
      </c>
      <c r="G307" s="174"/>
      <c r="H307" s="216"/>
      <c r="I307" s="235">
        <f t="shared" si="93"/>
        <v>3641.06</v>
      </c>
      <c r="J307" s="174"/>
      <c r="K307" s="258"/>
      <c r="L307" s="259">
        <f t="shared" si="94"/>
        <v>3641.06</v>
      </c>
      <c r="M307" s="302"/>
      <c r="N307" s="258"/>
      <c r="O307" s="259">
        <f t="shared" si="95"/>
        <v>3641.06</v>
      </c>
      <c r="P307" s="93"/>
      <c r="Q307" s="52"/>
    </row>
    <row r="308" spans="1:17" ht="12.75" hidden="1">
      <c r="A308" s="17" t="s">
        <v>51</v>
      </c>
      <c r="B308" s="65"/>
      <c r="C308" s="134"/>
      <c r="D308" s="99"/>
      <c r="E308" s="99"/>
      <c r="F308" s="89">
        <f t="shared" si="92"/>
        <v>0</v>
      </c>
      <c r="G308" s="174"/>
      <c r="H308" s="216"/>
      <c r="I308" s="235">
        <f t="shared" si="93"/>
        <v>0</v>
      </c>
      <c r="J308" s="174"/>
      <c r="K308" s="258"/>
      <c r="L308" s="259">
        <f t="shared" si="94"/>
        <v>0</v>
      </c>
      <c r="M308" s="302"/>
      <c r="N308" s="258"/>
      <c r="O308" s="259">
        <f t="shared" si="95"/>
        <v>0</v>
      </c>
      <c r="P308" s="295"/>
      <c r="Q308" s="54">
        <f>O308+P308</f>
        <v>0</v>
      </c>
    </row>
    <row r="309" spans="1:17" ht="12.75" hidden="1">
      <c r="A309" s="20" t="s">
        <v>53</v>
      </c>
      <c r="B309" s="68"/>
      <c r="C309" s="195"/>
      <c r="D309" s="148"/>
      <c r="E309" s="148"/>
      <c r="F309" s="159">
        <f t="shared" si="92"/>
        <v>0</v>
      </c>
      <c r="G309" s="174"/>
      <c r="H309" s="216"/>
      <c r="I309" s="235">
        <f t="shared" si="93"/>
        <v>0</v>
      </c>
      <c r="J309" s="174"/>
      <c r="K309" s="258"/>
      <c r="L309" s="259">
        <f t="shared" si="94"/>
        <v>0</v>
      </c>
      <c r="M309" s="302"/>
      <c r="N309" s="258"/>
      <c r="O309" s="259">
        <f t="shared" si="95"/>
        <v>0</v>
      </c>
      <c r="P309" s="93"/>
      <c r="Q309" s="52">
        <f>O309+P309</f>
        <v>0</v>
      </c>
    </row>
    <row r="310" spans="1:17" ht="12.75">
      <c r="A310" s="14" t="s">
        <v>252</v>
      </c>
      <c r="B310" s="69"/>
      <c r="C310" s="133">
        <f aca="true" t="shared" si="96" ref="C310:Q310">C311+C330</f>
        <v>448158.94</v>
      </c>
      <c r="D310" s="86">
        <f t="shared" si="96"/>
        <v>11224.98</v>
      </c>
      <c r="E310" s="86">
        <f t="shared" si="96"/>
        <v>0</v>
      </c>
      <c r="F310" s="94">
        <f t="shared" si="96"/>
        <v>459383.92</v>
      </c>
      <c r="G310" s="168">
        <f t="shared" si="96"/>
        <v>2082.86</v>
      </c>
      <c r="H310" s="209">
        <f t="shared" si="96"/>
        <v>-5010</v>
      </c>
      <c r="I310" s="229">
        <f t="shared" si="96"/>
        <v>456456.77999999997</v>
      </c>
      <c r="J310" s="168">
        <f t="shared" si="96"/>
        <v>1027.3</v>
      </c>
      <c r="K310" s="246">
        <f t="shared" si="96"/>
        <v>0</v>
      </c>
      <c r="L310" s="247">
        <f t="shared" si="96"/>
        <v>457484.07999999996</v>
      </c>
      <c r="M310" s="309">
        <f>M311+M330</f>
        <v>798.65</v>
      </c>
      <c r="N310" s="246">
        <f>N311+N330</f>
        <v>0</v>
      </c>
      <c r="O310" s="247">
        <f>O311+O330</f>
        <v>458282.73</v>
      </c>
      <c r="P310" s="86">
        <f t="shared" si="96"/>
        <v>0</v>
      </c>
      <c r="Q310" s="133">
        <f t="shared" si="96"/>
        <v>456161.22</v>
      </c>
    </row>
    <row r="311" spans="1:17" ht="12.75">
      <c r="A311" s="23" t="s">
        <v>48</v>
      </c>
      <c r="B311" s="69"/>
      <c r="C311" s="137">
        <f aca="true" t="shared" si="97" ref="C311:Q311">SUM(C313:C329)</f>
        <v>448158.94</v>
      </c>
      <c r="D311" s="102">
        <f t="shared" si="97"/>
        <v>11224.98</v>
      </c>
      <c r="E311" s="102">
        <f t="shared" si="97"/>
        <v>0</v>
      </c>
      <c r="F311" s="120">
        <f t="shared" si="97"/>
        <v>459383.92</v>
      </c>
      <c r="G311" s="171">
        <f t="shared" si="97"/>
        <v>2082.86</v>
      </c>
      <c r="H311" s="214">
        <f t="shared" si="97"/>
        <v>-5010</v>
      </c>
      <c r="I311" s="233">
        <f t="shared" si="97"/>
        <v>456456.77999999997</v>
      </c>
      <c r="J311" s="171">
        <f t="shared" si="97"/>
        <v>1027.3</v>
      </c>
      <c r="K311" s="254">
        <f t="shared" si="97"/>
        <v>0</v>
      </c>
      <c r="L311" s="255">
        <f t="shared" si="97"/>
        <v>457484.07999999996</v>
      </c>
      <c r="M311" s="315">
        <f>SUM(M313:M329)</f>
        <v>798.65</v>
      </c>
      <c r="N311" s="254">
        <f>SUM(N313:N329)</f>
        <v>0</v>
      </c>
      <c r="O311" s="255">
        <f>SUM(O313:O329)</f>
        <v>458282.73</v>
      </c>
      <c r="P311" s="102">
        <f t="shared" si="97"/>
        <v>0</v>
      </c>
      <c r="Q311" s="137">
        <f t="shared" si="97"/>
        <v>456161.22</v>
      </c>
    </row>
    <row r="312" spans="1:17" ht="12.75">
      <c r="A312" s="19" t="s">
        <v>26</v>
      </c>
      <c r="B312" s="65"/>
      <c r="C312" s="134"/>
      <c r="D312" s="99"/>
      <c r="E312" s="99"/>
      <c r="F312" s="89"/>
      <c r="G312" s="169"/>
      <c r="H312" s="210"/>
      <c r="I312" s="230"/>
      <c r="J312" s="169"/>
      <c r="K312" s="249"/>
      <c r="L312" s="248"/>
      <c r="M312" s="292"/>
      <c r="N312" s="249"/>
      <c r="O312" s="248"/>
      <c r="P312" s="93"/>
      <c r="Q312" s="52"/>
    </row>
    <row r="313" spans="1:17" ht="12.75">
      <c r="A313" s="26" t="s">
        <v>134</v>
      </c>
      <c r="B313" s="65"/>
      <c r="C313" s="134">
        <v>237478.44</v>
      </c>
      <c r="D313" s="99"/>
      <c r="E313" s="99"/>
      <c r="F313" s="89">
        <f aca="true" t="shared" si="98" ref="F313:F329">C313+D313+E313</f>
        <v>237478.44</v>
      </c>
      <c r="G313" s="169">
        <f>320+120</f>
        <v>440</v>
      </c>
      <c r="H313" s="210"/>
      <c r="I313" s="230">
        <f>F313+G313+H313</f>
        <v>237918.44</v>
      </c>
      <c r="J313" s="169">
        <f>201.16</f>
        <v>201.16</v>
      </c>
      <c r="K313" s="249"/>
      <c r="L313" s="248">
        <f>I313+J313+K313</f>
        <v>238119.6</v>
      </c>
      <c r="M313" s="292"/>
      <c r="N313" s="249"/>
      <c r="O313" s="248">
        <f>L313+M313+N313</f>
        <v>238119.6</v>
      </c>
      <c r="P313" s="93"/>
      <c r="Q313" s="52">
        <f aca="true" t="shared" si="99" ref="Q313:Q320">O313+P313</f>
        <v>238119.6</v>
      </c>
    </row>
    <row r="314" spans="1:17" ht="12.75">
      <c r="A314" s="17" t="s">
        <v>49</v>
      </c>
      <c r="B314" s="65"/>
      <c r="C314" s="134">
        <v>80587.27</v>
      </c>
      <c r="D314" s="99"/>
      <c r="E314" s="99"/>
      <c r="F314" s="89">
        <f t="shared" si="98"/>
        <v>80587.27</v>
      </c>
      <c r="G314" s="169">
        <f>20</f>
        <v>20</v>
      </c>
      <c r="H314" s="210"/>
      <c r="I314" s="230">
        <f aca="true" t="shared" si="100" ref="I314:I325">F314+G314+H314</f>
        <v>80607.27</v>
      </c>
      <c r="J314" s="169">
        <f>68.84</f>
        <v>68.84</v>
      </c>
      <c r="K314" s="249"/>
      <c r="L314" s="248">
        <f aca="true" t="shared" si="101" ref="L314:L328">I314+J314+K314</f>
        <v>80676.11</v>
      </c>
      <c r="M314" s="292"/>
      <c r="N314" s="249"/>
      <c r="O314" s="248">
        <f aca="true" t="shared" si="102" ref="O314:O328">L314+M314+N314</f>
        <v>80676.11</v>
      </c>
      <c r="P314" s="93"/>
      <c r="Q314" s="52">
        <f t="shared" si="99"/>
        <v>80676.11</v>
      </c>
    </row>
    <row r="315" spans="1:17" ht="12.75">
      <c r="A315" s="17" t="s">
        <v>246</v>
      </c>
      <c r="B315" s="65"/>
      <c r="C315" s="134">
        <v>200</v>
      </c>
      <c r="D315" s="99"/>
      <c r="E315" s="99"/>
      <c r="F315" s="89">
        <f t="shared" si="98"/>
        <v>200</v>
      </c>
      <c r="G315" s="169"/>
      <c r="H315" s="210"/>
      <c r="I315" s="230">
        <f t="shared" si="100"/>
        <v>200</v>
      </c>
      <c r="J315" s="169"/>
      <c r="K315" s="249"/>
      <c r="L315" s="248">
        <f t="shared" si="101"/>
        <v>200</v>
      </c>
      <c r="M315" s="292"/>
      <c r="N315" s="249"/>
      <c r="O315" s="248">
        <f t="shared" si="102"/>
        <v>200</v>
      </c>
      <c r="P315" s="93"/>
      <c r="Q315" s="52">
        <f t="shared" si="99"/>
        <v>200</v>
      </c>
    </row>
    <row r="316" spans="1:17" ht="12.75">
      <c r="A316" s="17" t="s">
        <v>50</v>
      </c>
      <c r="B316" s="65"/>
      <c r="C316" s="134">
        <v>65726.5</v>
      </c>
      <c r="D316" s="186">
        <f>9011+418.98</f>
        <v>9429.98</v>
      </c>
      <c r="E316" s="99"/>
      <c r="F316" s="89">
        <f t="shared" si="98"/>
        <v>75156.48</v>
      </c>
      <c r="G316" s="169"/>
      <c r="H316" s="210">
        <f>-5010</f>
        <v>-5010</v>
      </c>
      <c r="I316" s="230">
        <f t="shared" si="100"/>
        <v>70146.48</v>
      </c>
      <c r="J316" s="169">
        <f>500+57.3</f>
        <v>557.3</v>
      </c>
      <c r="K316" s="249"/>
      <c r="L316" s="248">
        <f t="shared" si="101"/>
        <v>70703.78</v>
      </c>
      <c r="M316" s="292"/>
      <c r="N316" s="249"/>
      <c r="O316" s="248">
        <f t="shared" si="102"/>
        <v>70703.78</v>
      </c>
      <c r="P316" s="93"/>
      <c r="Q316" s="52">
        <f t="shared" si="99"/>
        <v>70703.78</v>
      </c>
    </row>
    <row r="317" spans="1:17" ht="12.75">
      <c r="A317" s="17" t="s">
        <v>54</v>
      </c>
      <c r="B317" s="65">
        <v>1115</v>
      </c>
      <c r="C317" s="134">
        <v>350</v>
      </c>
      <c r="D317" s="99">
        <f>80</f>
        <v>80</v>
      </c>
      <c r="E317" s="99"/>
      <c r="F317" s="89">
        <f t="shared" si="98"/>
        <v>430</v>
      </c>
      <c r="G317" s="169"/>
      <c r="H317" s="210"/>
      <c r="I317" s="230">
        <f t="shared" si="100"/>
        <v>430</v>
      </c>
      <c r="J317" s="169"/>
      <c r="K317" s="249"/>
      <c r="L317" s="248">
        <f t="shared" si="101"/>
        <v>430</v>
      </c>
      <c r="M317" s="292"/>
      <c r="N317" s="249"/>
      <c r="O317" s="248">
        <f t="shared" si="102"/>
        <v>430</v>
      </c>
      <c r="P317" s="93"/>
      <c r="Q317" s="52">
        <f t="shared" si="99"/>
        <v>430</v>
      </c>
    </row>
    <row r="318" spans="1:17" ht="12.75" hidden="1">
      <c r="A318" s="17" t="s">
        <v>55</v>
      </c>
      <c r="B318" s="65"/>
      <c r="C318" s="134"/>
      <c r="D318" s="99"/>
      <c r="E318" s="99"/>
      <c r="F318" s="89">
        <f t="shared" si="98"/>
        <v>0</v>
      </c>
      <c r="G318" s="169"/>
      <c r="H318" s="210"/>
      <c r="I318" s="230">
        <f t="shared" si="100"/>
        <v>0</v>
      </c>
      <c r="J318" s="169"/>
      <c r="K318" s="249"/>
      <c r="L318" s="248">
        <f t="shared" si="101"/>
        <v>0</v>
      </c>
      <c r="M318" s="292"/>
      <c r="N318" s="249"/>
      <c r="O318" s="248">
        <f t="shared" si="102"/>
        <v>0</v>
      </c>
      <c r="P318" s="93"/>
      <c r="Q318" s="52">
        <f t="shared" si="99"/>
        <v>0</v>
      </c>
    </row>
    <row r="319" spans="1:17" ht="12.75">
      <c r="A319" s="17" t="s">
        <v>56</v>
      </c>
      <c r="B319" s="65">
        <v>51</v>
      </c>
      <c r="C319" s="134">
        <v>63816.73</v>
      </c>
      <c r="D319" s="99">
        <f>1700</f>
        <v>1700</v>
      </c>
      <c r="E319" s="99"/>
      <c r="F319" s="89">
        <f t="shared" si="98"/>
        <v>65516.73</v>
      </c>
      <c r="G319" s="169"/>
      <c r="H319" s="210"/>
      <c r="I319" s="230">
        <f t="shared" si="100"/>
        <v>65516.73</v>
      </c>
      <c r="J319" s="169"/>
      <c r="K319" s="249"/>
      <c r="L319" s="248">
        <f t="shared" si="101"/>
        <v>65516.73</v>
      </c>
      <c r="M319" s="292"/>
      <c r="N319" s="249"/>
      <c r="O319" s="248">
        <f t="shared" si="102"/>
        <v>65516.73</v>
      </c>
      <c r="P319" s="93"/>
      <c r="Q319" s="52">
        <f t="shared" si="99"/>
        <v>65516.73</v>
      </c>
    </row>
    <row r="320" spans="1:17" ht="12.75" hidden="1">
      <c r="A320" s="17" t="s">
        <v>75</v>
      </c>
      <c r="B320" s="65"/>
      <c r="C320" s="134"/>
      <c r="D320" s="99"/>
      <c r="E320" s="99"/>
      <c r="F320" s="89">
        <f t="shared" si="98"/>
        <v>0</v>
      </c>
      <c r="G320" s="169"/>
      <c r="H320" s="210"/>
      <c r="I320" s="230">
        <f t="shared" si="100"/>
        <v>0</v>
      </c>
      <c r="J320" s="169"/>
      <c r="K320" s="249"/>
      <c r="L320" s="248">
        <f t="shared" si="101"/>
        <v>0</v>
      </c>
      <c r="M320" s="292"/>
      <c r="N320" s="249"/>
      <c r="O320" s="248">
        <f t="shared" si="102"/>
        <v>0</v>
      </c>
      <c r="P320" s="93"/>
      <c r="Q320" s="52">
        <f t="shared" si="99"/>
        <v>0</v>
      </c>
    </row>
    <row r="321" spans="1:17" ht="12.75" hidden="1">
      <c r="A321" s="17" t="s">
        <v>197</v>
      </c>
      <c r="B321" s="65">
        <v>13234</v>
      </c>
      <c r="C321" s="134"/>
      <c r="D321" s="99"/>
      <c r="E321" s="99"/>
      <c r="F321" s="89">
        <f t="shared" si="98"/>
        <v>0</v>
      </c>
      <c r="G321" s="169"/>
      <c r="H321" s="210"/>
      <c r="I321" s="230">
        <f t="shared" si="100"/>
        <v>0</v>
      </c>
      <c r="J321" s="169"/>
      <c r="K321" s="249"/>
      <c r="L321" s="248">
        <f t="shared" si="101"/>
        <v>0</v>
      </c>
      <c r="M321" s="292"/>
      <c r="N321" s="249"/>
      <c r="O321" s="248">
        <f t="shared" si="102"/>
        <v>0</v>
      </c>
      <c r="P321" s="93"/>
      <c r="Q321" s="52"/>
    </row>
    <row r="322" spans="1:17" ht="12.75">
      <c r="A322" s="17" t="s">
        <v>334</v>
      </c>
      <c r="B322" s="97">
        <v>13014</v>
      </c>
      <c r="C322" s="134"/>
      <c r="D322" s="99"/>
      <c r="E322" s="99"/>
      <c r="F322" s="89">
        <f t="shared" si="98"/>
        <v>0</v>
      </c>
      <c r="G322" s="169">
        <f>234.94</f>
        <v>234.94</v>
      </c>
      <c r="H322" s="210"/>
      <c r="I322" s="230">
        <f t="shared" si="100"/>
        <v>234.94</v>
      </c>
      <c r="J322" s="169"/>
      <c r="K322" s="249"/>
      <c r="L322" s="248">
        <f t="shared" si="101"/>
        <v>234.94</v>
      </c>
      <c r="M322" s="292"/>
      <c r="N322" s="249"/>
      <c r="O322" s="248">
        <f t="shared" si="102"/>
        <v>234.94</v>
      </c>
      <c r="P322" s="93"/>
      <c r="Q322" s="52"/>
    </row>
    <row r="323" spans="1:17" ht="12.75" hidden="1">
      <c r="A323" s="17" t="s">
        <v>57</v>
      </c>
      <c r="B323" s="65"/>
      <c r="C323" s="134"/>
      <c r="D323" s="99"/>
      <c r="E323" s="99"/>
      <c r="F323" s="89">
        <f t="shared" si="98"/>
        <v>0</v>
      </c>
      <c r="G323" s="169"/>
      <c r="H323" s="210"/>
      <c r="I323" s="230">
        <f t="shared" si="100"/>
        <v>0</v>
      </c>
      <c r="J323" s="169"/>
      <c r="K323" s="249"/>
      <c r="L323" s="248">
        <f t="shared" si="101"/>
        <v>0</v>
      </c>
      <c r="M323" s="292"/>
      <c r="N323" s="249"/>
      <c r="O323" s="248">
        <f t="shared" si="102"/>
        <v>0</v>
      </c>
      <c r="P323" s="93"/>
      <c r="Q323" s="52">
        <f>O323+P323</f>
        <v>0</v>
      </c>
    </row>
    <row r="324" spans="1:17" ht="12.75" hidden="1">
      <c r="A324" s="17" t="s">
        <v>255</v>
      </c>
      <c r="B324" s="65">
        <v>98008</v>
      </c>
      <c r="C324" s="134"/>
      <c r="D324" s="99"/>
      <c r="E324" s="99"/>
      <c r="F324" s="89">
        <f t="shared" si="98"/>
        <v>0</v>
      </c>
      <c r="G324" s="169"/>
      <c r="H324" s="210"/>
      <c r="I324" s="230">
        <f t="shared" si="100"/>
        <v>0</v>
      </c>
      <c r="J324" s="169"/>
      <c r="K324" s="249"/>
      <c r="L324" s="248">
        <f t="shared" si="101"/>
        <v>0</v>
      </c>
      <c r="M324" s="292"/>
      <c r="N324" s="249"/>
      <c r="O324" s="248">
        <f t="shared" si="102"/>
        <v>0</v>
      </c>
      <c r="P324" s="93"/>
      <c r="Q324" s="52"/>
    </row>
    <row r="325" spans="1:17" ht="12.75">
      <c r="A325" s="17" t="s">
        <v>354</v>
      </c>
      <c r="B325" s="65">
        <v>98193</v>
      </c>
      <c r="C325" s="134"/>
      <c r="D325" s="99"/>
      <c r="E325" s="99"/>
      <c r="F325" s="89">
        <f t="shared" si="98"/>
        <v>0</v>
      </c>
      <c r="G325" s="169"/>
      <c r="H325" s="210"/>
      <c r="I325" s="230">
        <f t="shared" si="100"/>
        <v>0</v>
      </c>
      <c r="J325" s="169">
        <f>200</f>
        <v>200</v>
      </c>
      <c r="K325" s="249"/>
      <c r="L325" s="248">
        <f t="shared" si="101"/>
        <v>200</v>
      </c>
      <c r="M325" s="292">
        <f>710</f>
        <v>710</v>
      </c>
      <c r="N325" s="249"/>
      <c r="O325" s="248">
        <f t="shared" si="102"/>
        <v>910</v>
      </c>
      <c r="P325" s="93"/>
      <c r="Q325" s="52"/>
    </row>
    <row r="326" spans="1:17" ht="12.75">
      <c r="A326" s="17" t="s">
        <v>58</v>
      </c>
      <c r="B326" s="65">
        <v>98074</v>
      </c>
      <c r="C326" s="134"/>
      <c r="D326" s="99">
        <f>15</f>
        <v>15</v>
      </c>
      <c r="E326" s="99"/>
      <c r="F326" s="89">
        <f t="shared" si="98"/>
        <v>15</v>
      </c>
      <c r="G326" s="169"/>
      <c r="H326" s="210"/>
      <c r="I326" s="230">
        <f>F326+G326+H326</f>
        <v>15</v>
      </c>
      <c r="J326" s="169"/>
      <c r="K326" s="249"/>
      <c r="L326" s="248">
        <f t="shared" si="101"/>
        <v>15</v>
      </c>
      <c r="M326" s="292"/>
      <c r="N326" s="249"/>
      <c r="O326" s="248">
        <f t="shared" si="102"/>
        <v>15</v>
      </c>
      <c r="P326" s="93"/>
      <c r="Q326" s="52">
        <f>O326+P326</f>
        <v>15</v>
      </c>
    </row>
    <row r="327" spans="1:17" ht="12.75" hidden="1">
      <c r="A327" s="17" t="s">
        <v>59</v>
      </c>
      <c r="B327" s="65"/>
      <c r="C327" s="134"/>
      <c r="D327" s="99"/>
      <c r="E327" s="99"/>
      <c r="F327" s="89">
        <f t="shared" si="98"/>
        <v>0</v>
      </c>
      <c r="G327" s="169"/>
      <c r="H327" s="210"/>
      <c r="I327" s="230">
        <f>F327+G327+H327</f>
        <v>0</v>
      </c>
      <c r="J327" s="169"/>
      <c r="K327" s="249"/>
      <c r="L327" s="248">
        <f t="shared" si="101"/>
        <v>0</v>
      </c>
      <c r="M327" s="292"/>
      <c r="N327" s="249"/>
      <c r="O327" s="248">
        <f t="shared" si="102"/>
        <v>0</v>
      </c>
      <c r="P327" s="93"/>
      <c r="Q327" s="52">
        <f>O327+P327</f>
        <v>0</v>
      </c>
    </row>
    <row r="328" spans="1:17" ht="12.75">
      <c r="A328" s="17" t="s">
        <v>336</v>
      </c>
      <c r="B328" s="65">
        <v>13015</v>
      </c>
      <c r="C328" s="134"/>
      <c r="D328" s="99"/>
      <c r="E328" s="99"/>
      <c r="F328" s="89">
        <f t="shared" si="98"/>
        <v>0</v>
      </c>
      <c r="G328" s="169">
        <f>887.92</f>
        <v>887.92</v>
      </c>
      <c r="H328" s="210"/>
      <c r="I328" s="230">
        <f>F328+G328+H328</f>
        <v>887.92</v>
      </c>
      <c r="J328" s="169"/>
      <c r="K328" s="249"/>
      <c r="L328" s="248">
        <f t="shared" si="101"/>
        <v>887.92</v>
      </c>
      <c r="M328" s="292">
        <f>88.65</f>
        <v>88.65</v>
      </c>
      <c r="N328" s="249"/>
      <c r="O328" s="248">
        <f t="shared" si="102"/>
        <v>976.5699999999999</v>
      </c>
      <c r="P328" s="93"/>
      <c r="Q328" s="52"/>
    </row>
    <row r="329" spans="1:17" ht="12.75">
      <c r="A329" s="20" t="s">
        <v>60</v>
      </c>
      <c r="B329" s="68">
        <v>4001</v>
      </c>
      <c r="C329" s="195"/>
      <c r="D329" s="148"/>
      <c r="E329" s="148"/>
      <c r="F329" s="159">
        <f t="shared" si="98"/>
        <v>0</v>
      </c>
      <c r="G329" s="174">
        <f>500</f>
        <v>500</v>
      </c>
      <c r="H329" s="216"/>
      <c r="I329" s="235">
        <f>F329+G329+H329</f>
        <v>500</v>
      </c>
      <c r="J329" s="174"/>
      <c r="K329" s="258"/>
      <c r="L329" s="259">
        <f>I329+J329+K329</f>
        <v>500</v>
      </c>
      <c r="M329" s="302"/>
      <c r="N329" s="258"/>
      <c r="O329" s="259">
        <f>L329+M329+N329</f>
        <v>500</v>
      </c>
      <c r="P329" s="93"/>
      <c r="Q329" s="52">
        <f>O329+P329</f>
        <v>500</v>
      </c>
    </row>
    <row r="330" spans="1:17" ht="12.75" hidden="1">
      <c r="A330" s="23" t="s">
        <v>52</v>
      </c>
      <c r="B330" s="69"/>
      <c r="C330" s="137">
        <f>C333+C332</f>
        <v>0</v>
      </c>
      <c r="D330" s="102">
        <f aca="true" t="shared" si="103" ref="D330:Q330">D333+D332</f>
        <v>0</v>
      </c>
      <c r="E330" s="102">
        <f t="shared" si="103"/>
        <v>0</v>
      </c>
      <c r="F330" s="120">
        <f t="shared" si="103"/>
        <v>0</v>
      </c>
      <c r="G330" s="171">
        <f t="shared" si="103"/>
        <v>0</v>
      </c>
      <c r="H330" s="214">
        <f t="shared" si="103"/>
        <v>0</v>
      </c>
      <c r="I330" s="233">
        <f t="shared" si="103"/>
        <v>0</v>
      </c>
      <c r="J330" s="171">
        <f t="shared" si="103"/>
        <v>0</v>
      </c>
      <c r="K330" s="254">
        <f t="shared" si="103"/>
        <v>0</v>
      </c>
      <c r="L330" s="255">
        <f t="shared" si="103"/>
        <v>0</v>
      </c>
      <c r="M330" s="315">
        <f t="shared" si="103"/>
        <v>0</v>
      </c>
      <c r="N330" s="254">
        <f t="shared" si="103"/>
        <v>0</v>
      </c>
      <c r="O330" s="255">
        <f t="shared" si="103"/>
        <v>0</v>
      </c>
      <c r="P330" s="102">
        <f t="shared" si="103"/>
        <v>0</v>
      </c>
      <c r="Q330" s="137">
        <f t="shared" si="103"/>
        <v>0</v>
      </c>
    </row>
    <row r="331" spans="1:17" ht="12.75" hidden="1">
      <c r="A331" s="19" t="s">
        <v>26</v>
      </c>
      <c r="B331" s="65"/>
      <c r="C331" s="134"/>
      <c r="D331" s="99"/>
      <c r="E331" s="99"/>
      <c r="F331" s="94"/>
      <c r="G331" s="169"/>
      <c r="H331" s="210"/>
      <c r="I331" s="229"/>
      <c r="J331" s="169"/>
      <c r="K331" s="249"/>
      <c r="L331" s="247"/>
      <c r="M331" s="292"/>
      <c r="N331" s="249"/>
      <c r="O331" s="247"/>
      <c r="P331" s="93"/>
      <c r="Q331" s="52"/>
    </row>
    <row r="332" spans="1:17" ht="12.75" hidden="1">
      <c r="A332" s="16" t="s">
        <v>53</v>
      </c>
      <c r="B332" s="65"/>
      <c r="C332" s="134"/>
      <c r="D332" s="99"/>
      <c r="E332" s="99"/>
      <c r="F332" s="89">
        <f>C332+D332+E332</f>
        <v>0</v>
      </c>
      <c r="G332" s="169"/>
      <c r="H332" s="210"/>
      <c r="I332" s="230">
        <f>F332+G332+H332</f>
        <v>0</v>
      </c>
      <c r="J332" s="169"/>
      <c r="K332" s="249"/>
      <c r="L332" s="248">
        <f>I332+J332+K332</f>
        <v>0</v>
      </c>
      <c r="M332" s="292"/>
      <c r="N332" s="249"/>
      <c r="O332" s="248">
        <f>L332+M332+N332</f>
        <v>0</v>
      </c>
      <c r="P332" s="93"/>
      <c r="Q332" s="52">
        <f>O332+P332</f>
        <v>0</v>
      </c>
    </row>
    <row r="333" spans="1:17" ht="12.75" hidden="1">
      <c r="A333" s="20" t="s">
        <v>76</v>
      </c>
      <c r="B333" s="68"/>
      <c r="C333" s="195"/>
      <c r="D333" s="148"/>
      <c r="E333" s="148"/>
      <c r="F333" s="159">
        <f>C333+D333+E333</f>
        <v>0</v>
      </c>
      <c r="G333" s="174"/>
      <c r="H333" s="216"/>
      <c r="I333" s="235">
        <f>F333+G333+H333</f>
        <v>0</v>
      </c>
      <c r="J333" s="174"/>
      <c r="K333" s="258"/>
      <c r="L333" s="259">
        <f>I333+J333+K333</f>
        <v>0</v>
      </c>
      <c r="M333" s="302"/>
      <c r="N333" s="258"/>
      <c r="O333" s="259">
        <f>L333+M333+N333</f>
        <v>0</v>
      </c>
      <c r="P333" s="295"/>
      <c r="Q333" s="54">
        <f>O333+P333</f>
        <v>0</v>
      </c>
    </row>
    <row r="334" spans="1:17" ht="12.75">
      <c r="A334" s="29" t="s">
        <v>163</v>
      </c>
      <c r="B334" s="70"/>
      <c r="C334" s="133">
        <f aca="true" t="shared" si="104" ref="C334:Q334">C335+C359</f>
        <v>829460.8700000001</v>
      </c>
      <c r="D334" s="86">
        <f t="shared" si="104"/>
        <v>1773618.5</v>
      </c>
      <c r="E334" s="86">
        <f t="shared" si="104"/>
        <v>0</v>
      </c>
      <c r="F334" s="94">
        <f t="shared" si="104"/>
        <v>2603079.37</v>
      </c>
      <c r="G334" s="168">
        <f t="shared" si="104"/>
        <v>208518.46999999997</v>
      </c>
      <c r="H334" s="209">
        <f t="shared" si="104"/>
        <v>-540.4199999999936</v>
      </c>
      <c r="I334" s="229">
        <f t="shared" si="104"/>
        <v>2811057.4200000004</v>
      </c>
      <c r="J334" s="168">
        <f t="shared" si="104"/>
        <v>716727.64</v>
      </c>
      <c r="K334" s="246">
        <f t="shared" si="104"/>
        <v>-830.5200000000001</v>
      </c>
      <c r="L334" s="247">
        <f t="shared" si="104"/>
        <v>3526954.54</v>
      </c>
      <c r="M334" s="309">
        <f>M335+M359</f>
        <v>494026.24</v>
      </c>
      <c r="N334" s="246">
        <f>N335+N359</f>
        <v>0</v>
      </c>
      <c r="O334" s="247">
        <f>O335+O359</f>
        <v>4020980.7800000003</v>
      </c>
      <c r="P334" s="86">
        <f t="shared" si="104"/>
        <v>0</v>
      </c>
      <c r="Q334" s="133">
        <f t="shared" si="104"/>
        <v>0</v>
      </c>
    </row>
    <row r="335" spans="1:17" ht="12.75">
      <c r="A335" s="23" t="s">
        <v>48</v>
      </c>
      <c r="B335" s="69"/>
      <c r="C335" s="137">
        <f aca="true" t="shared" si="105" ref="C335:Q335">SUM(C337:C347)</f>
        <v>76319.28</v>
      </c>
      <c r="D335" s="102">
        <f t="shared" si="105"/>
        <v>44694.51</v>
      </c>
      <c r="E335" s="102">
        <f t="shared" si="105"/>
        <v>0</v>
      </c>
      <c r="F335" s="120">
        <f t="shared" si="105"/>
        <v>121013.79000000001</v>
      </c>
      <c r="G335" s="171">
        <f t="shared" si="105"/>
        <v>12631.400000000001</v>
      </c>
      <c r="H335" s="214">
        <f t="shared" si="105"/>
        <v>257.37</v>
      </c>
      <c r="I335" s="233">
        <f t="shared" si="105"/>
        <v>133902.56</v>
      </c>
      <c r="J335" s="171">
        <f t="shared" si="105"/>
        <v>50522.78</v>
      </c>
      <c r="K335" s="254">
        <f t="shared" si="105"/>
        <v>404.87</v>
      </c>
      <c r="L335" s="255">
        <f t="shared" si="105"/>
        <v>184830.21000000002</v>
      </c>
      <c r="M335" s="315">
        <f>SUM(M337:M347)</f>
        <v>396.9499999999998</v>
      </c>
      <c r="N335" s="254">
        <f>SUM(N337:N347)</f>
        <v>0</v>
      </c>
      <c r="O335" s="255">
        <f>SUM(O337:O347)</f>
        <v>185227.16000000003</v>
      </c>
      <c r="P335" s="102">
        <f t="shared" si="105"/>
        <v>0</v>
      </c>
      <c r="Q335" s="137">
        <f t="shared" si="105"/>
        <v>0</v>
      </c>
    </row>
    <row r="336" spans="1:17" ht="12.75">
      <c r="A336" s="19" t="s">
        <v>26</v>
      </c>
      <c r="B336" s="65"/>
      <c r="C336" s="137"/>
      <c r="D336" s="149"/>
      <c r="E336" s="149"/>
      <c r="F336" s="120"/>
      <c r="G336" s="169"/>
      <c r="H336" s="210"/>
      <c r="I336" s="230"/>
      <c r="J336" s="169"/>
      <c r="K336" s="249"/>
      <c r="L336" s="248"/>
      <c r="M336" s="292"/>
      <c r="N336" s="249"/>
      <c r="O336" s="248"/>
      <c r="P336" s="93"/>
      <c r="Q336" s="52"/>
    </row>
    <row r="337" spans="1:17" ht="12.75">
      <c r="A337" s="21" t="s">
        <v>50</v>
      </c>
      <c r="B337" s="65"/>
      <c r="C337" s="134">
        <v>6645.87</v>
      </c>
      <c r="D337" s="150">
        <f>1000</f>
        <v>1000</v>
      </c>
      <c r="E337" s="150"/>
      <c r="F337" s="89">
        <f aca="true" t="shared" si="106" ref="F337:F358">C337+D337+E337</f>
        <v>7645.87</v>
      </c>
      <c r="G337" s="169">
        <f>135.18</f>
        <v>135.18</v>
      </c>
      <c r="H337" s="210"/>
      <c r="I337" s="230">
        <f aca="true" t="shared" si="107" ref="I337:I358">F337+G337+H337</f>
        <v>7781.05</v>
      </c>
      <c r="J337" s="169">
        <f>-114.35</f>
        <v>-114.35</v>
      </c>
      <c r="K337" s="249"/>
      <c r="L337" s="248">
        <f>I337+J337+K337</f>
        <v>7666.7</v>
      </c>
      <c r="M337" s="292">
        <f>-344.85-600</f>
        <v>-944.85</v>
      </c>
      <c r="N337" s="249"/>
      <c r="O337" s="248">
        <f>L337+M337+N337</f>
        <v>6721.849999999999</v>
      </c>
      <c r="P337" s="93"/>
      <c r="Q337" s="52"/>
    </row>
    <row r="338" spans="1:17" ht="12.75">
      <c r="A338" s="21" t="s">
        <v>169</v>
      </c>
      <c r="B338" s="65">
        <v>1080</v>
      </c>
      <c r="C338" s="134"/>
      <c r="D338" s="150">
        <f>1306.05</f>
        <v>1306.05</v>
      </c>
      <c r="E338" s="150"/>
      <c r="F338" s="89">
        <f t="shared" si="106"/>
        <v>1306.05</v>
      </c>
      <c r="G338" s="169"/>
      <c r="H338" s="210"/>
      <c r="I338" s="230">
        <f t="shared" si="107"/>
        <v>1306.05</v>
      </c>
      <c r="J338" s="169"/>
      <c r="K338" s="249"/>
      <c r="L338" s="248">
        <f aca="true" t="shared" si="108" ref="L338:L358">I338+J338+K338</f>
        <v>1306.05</v>
      </c>
      <c r="M338" s="292"/>
      <c r="N338" s="249"/>
      <c r="O338" s="248">
        <f aca="true" t="shared" si="109" ref="O338:O358">L338+M338+N338</f>
        <v>1306.05</v>
      </c>
      <c r="P338" s="93"/>
      <c r="Q338" s="52"/>
    </row>
    <row r="339" spans="1:17" ht="12.75">
      <c r="A339" s="21" t="s">
        <v>170</v>
      </c>
      <c r="B339" s="129">
        <v>1081.1202</v>
      </c>
      <c r="C339" s="134">
        <v>2182</v>
      </c>
      <c r="D339" s="150">
        <f>457.11</f>
        <v>457.11</v>
      </c>
      <c r="E339" s="150"/>
      <c r="F339" s="89">
        <f t="shared" si="106"/>
        <v>2639.11</v>
      </c>
      <c r="G339" s="169"/>
      <c r="H339" s="210"/>
      <c r="I339" s="230">
        <f t="shared" si="107"/>
        <v>2639.11</v>
      </c>
      <c r="J339" s="169"/>
      <c r="K339" s="249"/>
      <c r="L339" s="248">
        <f t="shared" si="108"/>
        <v>2639.11</v>
      </c>
      <c r="M339" s="292"/>
      <c r="N339" s="249"/>
      <c r="O339" s="248">
        <f t="shared" si="109"/>
        <v>2639.11</v>
      </c>
      <c r="P339" s="93"/>
      <c r="Q339" s="52"/>
    </row>
    <row r="340" spans="1:17" ht="12.75">
      <c r="A340" s="66" t="s">
        <v>79</v>
      </c>
      <c r="B340" s="65"/>
      <c r="C340" s="134">
        <v>300</v>
      </c>
      <c r="D340" s="150"/>
      <c r="E340" s="150"/>
      <c r="F340" s="89">
        <f t="shared" si="106"/>
        <v>300</v>
      </c>
      <c r="G340" s="169"/>
      <c r="H340" s="210"/>
      <c r="I340" s="230">
        <f t="shared" si="107"/>
        <v>300</v>
      </c>
      <c r="J340" s="169"/>
      <c r="K340" s="249"/>
      <c r="L340" s="248">
        <f t="shared" si="108"/>
        <v>300</v>
      </c>
      <c r="M340" s="292"/>
      <c r="N340" s="249"/>
      <c r="O340" s="248">
        <f t="shared" si="109"/>
        <v>300</v>
      </c>
      <c r="P340" s="93"/>
      <c r="Q340" s="52"/>
    </row>
    <row r="341" spans="1:17" ht="12.75">
      <c r="A341" s="17" t="s">
        <v>176</v>
      </c>
      <c r="B341" s="65"/>
      <c r="C341" s="134">
        <v>35554.41</v>
      </c>
      <c r="D341" s="150"/>
      <c r="E341" s="150"/>
      <c r="F341" s="89">
        <f t="shared" si="106"/>
        <v>35554.41</v>
      </c>
      <c r="G341" s="169"/>
      <c r="H341" s="210"/>
      <c r="I341" s="230">
        <f t="shared" si="107"/>
        <v>35554.41</v>
      </c>
      <c r="J341" s="169"/>
      <c r="K341" s="249"/>
      <c r="L341" s="248">
        <f t="shared" si="108"/>
        <v>35554.41</v>
      </c>
      <c r="M341" s="292"/>
      <c r="N341" s="249"/>
      <c r="O341" s="248">
        <f t="shared" si="109"/>
        <v>35554.41</v>
      </c>
      <c r="P341" s="93"/>
      <c r="Q341" s="52"/>
    </row>
    <row r="342" spans="1:17" ht="12.75">
      <c r="A342" s="21" t="s">
        <v>230</v>
      </c>
      <c r="B342" s="65"/>
      <c r="C342" s="134"/>
      <c r="D342" s="150">
        <f>330.16</f>
        <v>330.16</v>
      </c>
      <c r="E342" s="150"/>
      <c r="F342" s="89">
        <f t="shared" si="106"/>
        <v>330.16</v>
      </c>
      <c r="G342" s="169">
        <f>3000</f>
        <v>3000</v>
      </c>
      <c r="H342" s="210"/>
      <c r="I342" s="230">
        <f t="shared" si="107"/>
        <v>3330.16</v>
      </c>
      <c r="J342" s="169">
        <f>40000</f>
        <v>40000</v>
      </c>
      <c r="K342" s="249"/>
      <c r="L342" s="248">
        <f t="shared" si="108"/>
        <v>43330.16</v>
      </c>
      <c r="M342" s="292"/>
      <c r="N342" s="249"/>
      <c r="O342" s="248">
        <f t="shared" si="109"/>
        <v>43330.16</v>
      </c>
      <c r="P342" s="93"/>
      <c r="Q342" s="52"/>
    </row>
    <row r="343" spans="1:17" ht="12.75">
      <c r="A343" s="17" t="s">
        <v>194</v>
      </c>
      <c r="B343" s="97">
        <v>212163</v>
      </c>
      <c r="C343" s="134"/>
      <c r="D343" s="150">
        <v>0.05</v>
      </c>
      <c r="E343" s="150"/>
      <c r="F343" s="89">
        <f t="shared" si="106"/>
        <v>0.05</v>
      </c>
      <c r="G343" s="169">
        <f>10</f>
        <v>10</v>
      </c>
      <c r="H343" s="210"/>
      <c r="I343" s="230">
        <f t="shared" si="107"/>
        <v>10.05</v>
      </c>
      <c r="J343" s="169"/>
      <c r="K343" s="249"/>
      <c r="L343" s="248">
        <f t="shared" si="108"/>
        <v>10.05</v>
      </c>
      <c r="M343" s="292"/>
      <c r="N343" s="249"/>
      <c r="O343" s="248">
        <f t="shared" si="109"/>
        <v>10.05</v>
      </c>
      <c r="P343" s="93"/>
      <c r="Q343" s="52"/>
    </row>
    <row r="344" spans="1:17" ht="12.75">
      <c r="A344" s="21" t="s">
        <v>166</v>
      </c>
      <c r="B344" s="97">
        <v>212162</v>
      </c>
      <c r="C344" s="134"/>
      <c r="D344" s="150">
        <f>658.97</f>
        <v>658.97</v>
      </c>
      <c r="E344" s="150"/>
      <c r="F344" s="89">
        <f t="shared" si="106"/>
        <v>658.97</v>
      </c>
      <c r="G344" s="169"/>
      <c r="H344" s="210"/>
      <c r="I344" s="230">
        <f t="shared" si="107"/>
        <v>658.97</v>
      </c>
      <c r="J344" s="169"/>
      <c r="K344" s="249"/>
      <c r="L344" s="248">
        <f t="shared" si="108"/>
        <v>658.97</v>
      </c>
      <c r="M344" s="292"/>
      <c r="N344" s="249"/>
      <c r="O344" s="248">
        <f t="shared" si="109"/>
        <v>658.97</v>
      </c>
      <c r="P344" s="93"/>
      <c r="Q344" s="52"/>
    </row>
    <row r="345" spans="1:17" ht="12.75">
      <c r="A345" s="21" t="s">
        <v>328</v>
      </c>
      <c r="B345" s="97"/>
      <c r="C345" s="134"/>
      <c r="D345" s="150">
        <f>558.14</f>
        <v>558.14</v>
      </c>
      <c r="E345" s="150"/>
      <c r="F345" s="89">
        <f t="shared" si="106"/>
        <v>558.14</v>
      </c>
      <c r="G345" s="169">
        <f>1090.57</f>
        <v>1090.57</v>
      </c>
      <c r="H345" s="210"/>
      <c r="I345" s="230">
        <f t="shared" si="107"/>
        <v>1648.71</v>
      </c>
      <c r="J345" s="169">
        <f>3406.32</f>
        <v>3406.32</v>
      </c>
      <c r="K345" s="249"/>
      <c r="L345" s="248">
        <f t="shared" si="108"/>
        <v>5055.030000000001</v>
      </c>
      <c r="M345" s="292">
        <f>-938.38</f>
        <v>-938.38</v>
      </c>
      <c r="N345" s="249"/>
      <c r="O345" s="248">
        <f t="shared" si="109"/>
        <v>4116.650000000001</v>
      </c>
      <c r="P345" s="296"/>
      <c r="Q345" s="52"/>
    </row>
    <row r="346" spans="1:17" ht="12.75">
      <c r="A346" s="21" t="s">
        <v>307</v>
      </c>
      <c r="B346" s="97"/>
      <c r="C346" s="134"/>
      <c r="D346" s="150">
        <f>181.24</f>
        <v>181.24</v>
      </c>
      <c r="E346" s="150"/>
      <c r="F346" s="89">
        <f t="shared" si="106"/>
        <v>181.24</v>
      </c>
      <c r="G346" s="169"/>
      <c r="H346" s="210"/>
      <c r="I346" s="230">
        <f t="shared" si="107"/>
        <v>181.24</v>
      </c>
      <c r="J346" s="169">
        <f>182.25</f>
        <v>182.25</v>
      </c>
      <c r="K346" s="249"/>
      <c r="L346" s="248">
        <f t="shared" si="108"/>
        <v>363.49</v>
      </c>
      <c r="M346" s="292"/>
      <c r="N346" s="249"/>
      <c r="O346" s="248">
        <f t="shared" si="109"/>
        <v>363.49</v>
      </c>
      <c r="P346" s="296"/>
      <c r="Q346" s="52"/>
    </row>
    <row r="347" spans="1:17" ht="12.75">
      <c r="A347" s="17" t="s">
        <v>76</v>
      </c>
      <c r="B347" s="65"/>
      <c r="C347" s="139">
        <f>SUM(C348:C358)</f>
        <v>31637</v>
      </c>
      <c r="D347" s="150">
        <f>SUM(D348:D358)</f>
        <v>40202.79</v>
      </c>
      <c r="E347" s="150">
        <f aca="true" t="shared" si="110" ref="E347:Q347">SUM(E348:E358)</f>
        <v>0</v>
      </c>
      <c r="F347" s="104">
        <f t="shared" si="110"/>
        <v>71839.79000000001</v>
      </c>
      <c r="G347" s="175">
        <f t="shared" si="110"/>
        <v>8395.650000000001</v>
      </c>
      <c r="H347" s="218">
        <f t="shared" si="110"/>
        <v>257.37</v>
      </c>
      <c r="I347" s="237">
        <f t="shared" si="110"/>
        <v>80492.81000000001</v>
      </c>
      <c r="J347" s="175">
        <f t="shared" si="110"/>
        <v>7048.5599999999995</v>
      </c>
      <c r="K347" s="260">
        <f t="shared" si="110"/>
        <v>404.87</v>
      </c>
      <c r="L347" s="262">
        <f t="shared" si="110"/>
        <v>87946.24</v>
      </c>
      <c r="M347" s="292">
        <f t="shared" si="110"/>
        <v>2280.18</v>
      </c>
      <c r="N347" s="260">
        <f t="shared" si="110"/>
        <v>0</v>
      </c>
      <c r="O347" s="262">
        <f t="shared" si="110"/>
        <v>90226.42</v>
      </c>
      <c r="P347" s="104">
        <f t="shared" si="110"/>
        <v>0</v>
      </c>
      <c r="Q347" s="139">
        <f t="shared" si="110"/>
        <v>0</v>
      </c>
    </row>
    <row r="348" spans="1:17" ht="12.75">
      <c r="A348" s="17" t="s">
        <v>217</v>
      </c>
      <c r="B348" s="65"/>
      <c r="C348" s="139">
        <v>14000</v>
      </c>
      <c r="D348" s="150">
        <f>2350</f>
        <v>2350</v>
      </c>
      <c r="E348" s="99"/>
      <c r="F348" s="89">
        <f t="shared" si="106"/>
        <v>16350</v>
      </c>
      <c r="G348" s="169"/>
      <c r="H348" s="210"/>
      <c r="I348" s="230">
        <f t="shared" si="107"/>
        <v>16350</v>
      </c>
      <c r="J348" s="169"/>
      <c r="K348" s="249"/>
      <c r="L348" s="248">
        <f t="shared" si="108"/>
        <v>16350</v>
      </c>
      <c r="M348" s="292"/>
      <c r="N348" s="249"/>
      <c r="O348" s="248">
        <f t="shared" si="109"/>
        <v>16350</v>
      </c>
      <c r="P348" s="93"/>
      <c r="Q348" s="52"/>
    </row>
    <row r="349" spans="1:17" ht="12.75">
      <c r="A349" s="17" t="s">
        <v>175</v>
      </c>
      <c r="B349" s="65"/>
      <c r="C349" s="139">
        <v>300</v>
      </c>
      <c r="D349" s="150">
        <f>33986.1+236.9+224.26-2350</f>
        <v>32097.260000000002</v>
      </c>
      <c r="E349" s="99"/>
      <c r="F349" s="89">
        <f t="shared" si="106"/>
        <v>32397.260000000002</v>
      </c>
      <c r="G349" s="169">
        <f>50.82+863.99+6854.77</f>
        <v>7769.580000000001</v>
      </c>
      <c r="H349" s="210"/>
      <c r="I349" s="230">
        <f t="shared" si="107"/>
        <v>40166.840000000004</v>
      </c>
      <c r="J349" s="169">
        <f>9.44+160.47</f>
        <v>169.91</v>
      </c>
      <c r="K349" s="249"/>
      <c r="L349" s="248">
        <f t="shared" si="108"/>
        <v>40336.75000000001</v>
      </c>
      <c r="M349" s="292">
        <f>6.51+110.72+1291.87</f>
        <v>1409.1</v>
      </c>
      <c r="N349" s="249"/>
      <c r="O349" s="248">
        <f t="shared" si="109"/>
        <v>41745.850000000006</v>
      </c>
      <c r="P349" s="93"/>
      <c r="Q349" s="52"/>
    </row>
    <row r="350" spans="1:17" ht="12.75" hidden="1">
      <c r="A350" s="17" t="s">
        <v>268</v>
      </c>
      <c r="B350" s="65"/>
      <c r="C350" s="139"/>
      <c r="D350" s="151"/>
      <c r="E350" s="99"/>
      <c r="F350" s="89">
        <f t="shared" si="106"/>
        <v>0</v>
      </c>
      <c r="G350" s="169"/>
      <c r="H350" s="210"/>
      <c r="I350" s="230">
        <f t="shared" si="107"/>
        <v>0</v>
      </c>
      <c r="J350" s="169"/>
      <c r="K350" s="249"/>
      <c r="L350" s="248">
        <f t="shared" si="108"/>
        <v>0</v>
      </c>
      <c r="M350" s="292"/>
      <c r="N350" s="249"/>
      <c r="O350" s="248">
        <f t="shared" si="109"/>
        <v>0</v>
      </c>
      <c r="P350" s="93"/>
      <c r="Q350" s="52"/>
    </row>
    <row r="351" spans="1:17" ht="12.75" hidden="1">
      <c r="A351" s="17" t="s">
        <v>204</v>
      </c>
      <c r="B351" s="65"/>
      <c r="C351" s="139"/>
      <c r="D351" s="150"/>
      <c r="E351" s="99"/>
      <c r="F351" s="89">
        <f t="shared" si="106"/>
        <v>0</v>
      </c>
      <c r="G351" s="169"/>
      <c r="H351" s="210"/>
      <c r="I351" s="230">
        <f t="shared" si="107"/>
        <v>0</v>
      </c>
      <c r="J351" s="169"/>
      <c r="K351" s="249"/>
      <c r="L351" s="248">
        <f t="shared" si="108"/>
        <v>0</v>
      </c>
      <c r="M351" s="292"/>
      <c r="N351" s="249"/>
      <c r="O351" s="248">
        <f t="shared" si="109"/>
        <v>0</v>
      </c>
      <c r="P351" s="93"/>
      <c r="Q351" s="52"/>
    </row>
    <row r="352" spans="1:17" ht="12.75">
      <c r="A352" s="17" t="s">
        <v>229</v>
      </c>
      <c r="B352" s="65"/>
      <c r="C352" s="139"/>
      <c r="D352" s="150">
        <f>11169.53</f>
        <v>11169.53</v>
      </c>
      <c r="E352" s="99"/>
      <c r="F352" s="89">
        <f t="shared" si="106"/>
        <v>11169.53</v>
      </c>
      <c r="G352" s="169"/>
      <c r="H352" s="210"/>
      <c r="I352" s="230">
        <f t="shared" si="107"/>
        <v>11169.53</v>
      </c>
      <c r="J352" s="169"/>
      <c r="K352" s="249"/>
      <c r="L352" s="248">
        <f t="shared" si="108"/>
        <v>11169.53</v>
      </c>
      <c r="M352" s="292"/>
      <c r="N352" s="249"/>
      <c r="O352" s="248">
        <f t="shared" si="109"/>
        <v>11169.53</v>
      </c>
      <c r="P352" s="93"/>
      <c r="Q352" s="52"/>
    </row>
    <row r="353" spans="1:17" ht="12.75">
      <c r="A353" s="17" t="s">
        <v>174</v>
      </c>
      <c r="B353" s="65"/>
      <c r="C353" s="139"/>
      <c r="D353" s="150">
        <f>2726.77+840.5+353.95+205.7</f>
        <v>4126.92</v>
      </c>
      <c r="E353" s="99"/>
      <c r="F353" s="89">
        <f t="shared" si="106"/>
        <v>4126.92</v>
      </c>
      <c r="G353" s="169"/>
      <c r="H353" s="210">
        <f>184.77+72.6</f>
        <v>257.37</v>
      </c>
      <c r="I353" s="230">
        <f t="shared" si="107"/>
        <v>4384.29</v>
      </c>
      <c r="J353" s="169">
        <f>47.19+94.38+709.22</f>
        <v>850.79</v>
      </c>
      <c r="K353" s="249">
        <f>404.87</f>
        <v>404.87</v>
      </c>
      <c r="L353" s="248">
        <f t="shared" si="108"/>
        <v>5639.95</v>
      </c>
      <c r="M353" s="292">
        <f>353</f>
        <v>353</v>
      </c>
      <c r="N353" s="249"/>
      <c r="O353" s="248">
        <f t="shared" si="109"/>
        <v>5992.95</v>
      </c>
      <c r="P353" s="93"/>
      <c r="Q353" s="52"/>
    </row>
    <row r="354" spans="1:17" ht="12.75">
      <c r="A354" s="17" t="s">
        <v>177</v>
      </c>
      <c r="B354" s="65"/>
      <c r="C354" s="139"/>
      <c r="D354" s="150">
        <f>2967.12</f>
        <v>2967.12</v>
      </c>
      <c r="E354" s="99"/>
      <c r="F354" s="89">
        <f t="shared" si="106"/>
        <v>2967.12</v>
      </c>
      <c r="G354" s="169"/>
      <c r="H354" s="210"/>
      <c r="I354" s="230">
        <f t="shared" si="107"/>
        <v>2967.12</v>
      </c>
      <c r="J354" s="169"/>
      <c r="K354" s="249"/>
      <c r="L354" s="248">
        <f t="shared" si="108"/>
        <v>2967.12</v>
      </c>
      <c r="M354" s="292"/>
      <c r="N354" s="249"/>
      <c r="O354" s="248">
        <f t="shared" si="109"/>
        <v>2967.12</v>
      </c>
      <c r="P354" s="93"/>
      <c r="Q354" s="52"/>
    </row>
    <row r="355" spans="1:17" ht="12.75">
      <c r="A355" s="17" t="s">
        <v>181</v>
      </c>
      <c r="B355" s="65"/>
      <c r="C355" s="139">
        <v>7500</v>
      </c>
      <c r="D355" s="150">
        <f>-7500+17.05</f>
        <v>-7482.95</v>
      </c>
      <c r="E355" s="99"/>
      <c r="F355" s="89">
        <f t="shared" si="106"/>
        <v>17.050000000000182</v>
      </c>
      <c r="G355" s="169"/>
      <c r="H355" s="210"/>
      <c r="I355" s="230">
        <f t="shared" si="107"/>
        <v>17.050000000000182</v>
      </c>
      <c r="J355" s="169">
        <f>169.09+500+4900</f>
        <v>5569.09</v>
      </c>
      <c r="K355" s="249"/>
      <c r="L355" s="248">
        <f t="shared" si="108"/>
        <v>5586.14</v>
      </c>
      <c r="M355" s="292">
        <f>518.08</f>
        <v>518.08</v>
      </c>
      <c r="N355" s="249"/>
      <c r="O355" s="248">
        <f t="shared" si="109"/>
        <v>6104.22</v>
      </c>
      <c r="P355" s="93"/>
      <c r="Q355" s="52"/>
    </row>
    <row r="356" spans="1:17" ht="12.75">
      <c r="A356" s="17" t="s">
        <v>180</v>
      </c>
      <c r="B356" s="65"/>
      <c r="C356" s="139">
        <v>8299</v>
      </c>
      <c r="D356" s="150">
        <f>-6743.14+2500.95+129.98+169.29-1500</f>
        <v>-5442.920000000001</v>
      </c>
      <c r="E356" s="99"/>
      <c r="F356" s="89">
        <f t="shared" si="106"/>
        <v>2856.079999999999</v>
      </c>
      <c r="G356" s="169">
        <f>696.88+79.5</f>
        <v>776.38</v>
      </c>
      <c r="H356" s="210"/>
      <c r="I356" s="230">
        <f t="shared" si="107"/>
        <v>3632.459999999999</v>
      </c>
      <c r="J356" s="169">
        <f>458.77</f>
        <v>458.77</v>
      </c>
      <c r="K356" s="249"/>
      <c r="L356" s="248">
        <f t="shared" si="108"/>
        <v>4091.229999999999</v>
      </c>
      <c r="M356" s="292"/>
      <c r="N356" s="249"/>
      <c r="O356" s="248">
        <f t="shared" si="109"/>
        <v>4091.229999999999</v>
      </c>
      <c r="P356" s="93"/>
      <c r="Q356" s="52"/>
    </row>
    <row r="357" spans="1:17" ht="12.75">
      <c r="A357" s="17" t="s">
        <v>208</v>
      </c>
      <c r="B357" s="65"/>
      <c r="C357" s="139">
        <v>1538</v>
      </c>
      <c r="D357" s="150">
        <f>-954+1621.52-400</f>
        <v>267.52</v>
      </c>
      <c r="E357" s="99"/>
      <c r="F357" s="89">
        <f t="shared" si="106"/>
        <v>1805.52</v>
      </c>
      <c r="G357" s="169"/>
      <c r="H357" s="210"/>
      <c r="I357" s="230">
        <f t="shared" si="107"/>
        <v>1805.52</v>
      </c>
      <c r="J357" s="169"/>
      <c r="K357" s="249"/>
      <c r="L357" s="248">
        <f t="shared" si="108"/>
        <v>1805.52</v>
      </c>
      <c r="M357" s="292"/>
      <c r="N357" s="249"/>
      <c r="O357" s="248">
        <f t="shared" si="109"/>
        <v>1805.52</v>
      </c>
      <c r="P357" s="93"/>
      <c r="Q357" s="52"/>
    </row>
    <row r="358" spans="1:17" ht="12.75" hidden="1">
      <c r="A358" s="17" t="s">
        <v>240</v>
      </c>
      <c r="B358" s="65"/>
      <c r="C358" s="139"/>
      <c r="D358" s="151">
        <f>458.38-272.68-35.39</f>
        <v>150.31</v>
      </c>
      <c r="E358" s="99"/>
      <c r="F358" s="89">
        <f t="shared" si="106"/>
        <v>150.31</v>
      </c>
      <c r="G358" s="169">
        <f>-150.31</f>
        <v>-150.31</v>
      </c>
      <c r="H358" s="210"/>
      <c r="I358" s="230">
        <f t="shared" si="107"/>
        <v>0</v>
      </c>
      <c r="J358" s="169"/>
      <c r="K358" s="249"/>
      <c r="L358" s="248">
        <f t="shared" si="108"/>
        <v>0</v>
      </c>
      <c r="M358" s="292"/>
      <c r="N358" s="249"/>
      <c r="O358" s="248">
        <f t="shared" si="109"/>
        <v>0</v>
      </c>
      <c r="P358" s="93"/>
      <c r="Q358" s="52"/>
    </row>
    <row r="359" spans="1:17" ht="12.75">
      <c r="A359" s="23" t="s">
        <v>52</v>
      </c>
      <c r="B359" s="69"/>
      <c r="C359" s="137">
        <f aca="true" t="shared" si="111" ref="C359:Q359">SUM(C361:C379)</f>
        <v>753141.5900000001</v>
      </c>
      <c r="D359" s="102">
        <f t="shared" si="111"/>
        <v>1728923.99</v>
      </c>
      <c r="E359" s="102">
        <f t="shared" si="111"/>
        <v>0</v>
      </c>
      <c r="F359" s="120">
        <f t="shared" si="111"/>
        <v>2482065.58</v>
      </c>
      <c r="G359" s="171">
        <f t="shared" si="111"/>
        <v>195887.06999999998</v>
      </c>
      <c r="H359" s="214">
        <f t="shared" si="111"/>
        <v>-797.7899999999936</v>
      </c>
      <c r="I359" s="233">
        <f t="shared" si="111"/>
        <v>2677154.8600000003</v>
      </c>
      <c r="J359" s="171">
        <f t="shared" si="111"/>
        <v>666204.86</v>
      </c>
      <c r="K359" s="254">
        <f t="shared" si="111"/>
        <v>-1235.39</v>
      </c>
      <c r="L359" s="255">
        <f t="shared" si="111"/>
        <v>3342124.33</v>
      </c>
      <c r="M359" s="315">
        <f t="shared" si="111"/>
        <v>493629.29</v>
      </c>
      <c r="N359" s="254">
        <f t="shared" si="111"/>
        <v>0</v>
      </c>
      <c r="O359" s="255">
        <f t="shared" si="111"/>
        <v>3835753.62</v>
      </c>
      <c r="P359" s="102">
        <f t="shared" si="111"/>
        <v>0</v>
      </c>
      <c r="Q359" s="137">
        <f t="shared" si="111"/>
        <v>0</v>
      </c>
    </row>
    <row r="360" spans="1:17" ht="12.75">
      <c r="A360" s="21" t="s">
        <v>26</v>
      </c>
      <c r="B360" s="65"/>
      <c r="C360" s="134"/>
      <c r="D360" s="99"/>
      <c r="E360" s="99"/>
      <c r="F360" s="89"/>
      <c r="G360" s="169"/>
      <c r="H360" s="210"/>
      <c r="I360" s="230"/>
      <c r="J360" s="169"/>
      <c r="K360" s="249"/>
      <c r="L360" s="248"/>
      <c r="M360" s="292"/>
      <c r="N360" s="249"/>
      <c r="O360" s="248"/>
      <c r="P360" s="93"/>
      <c r="Q360" s="52"/>
    </row>
    <row r="361" spans="1:17" ht="12.75" hidden="1">
      <c r="A361" s="21" t="s">
        <v>171</v>
      </c>
      <c r="B361" s="65"/>
      <c r="C361" s="134"/>
      <c r="D361" s="99"/>
      <c r="E361" s="99"/>
      <c r="F361" s="89">
        <f aca="true" t="shared" si="112" ref="F361:F391">C361+D361+E361</f>
        <v>0</v>
      </c>
      <c r="G361" s="169"/>
      <c r="H361" s="210"/>
      <c r="I361" s="230"/>
      <c r="J361" s="169"/>
      <c r="K361" s="249"/>
      <c r="L361" s="248"/>
      <c r="M361" s="292"/>
      <c r="N361" s="249"/>
      <c r="O361" s="248"/>
      <c r="P361" s="93"/>
      <c r="Q361" s="52"/>
    </row>
    <row r="362" spans="1:17" ht="12.75">
      <c r="A362" s="21" t="s">
        <v>170</v>
      </c>
      <c r="B362" s="129">
        <v>1081.1202</v>
      </c>
      <c r="C362" s="134">
        <v>6044</v>
      </c>
      <c r="D362" s="99">
        <f>692.36</f>
        <v>692.36</v>
      </c>
      <c r="E362" s="99"/>
      <c r="F362" s="89">
        <f t="shared" si="112"/>
        <v>6736.36</v>
      </c>
      <c r="G362" s="169"/>
      <c r="H362" s="210"/>
      <c r="I362" s="230">
        <f aca="true" t="shared" si="113" ref="I362:I378">F362+G362+H362</f>
        <v>6736.36</v>
      </c>
      <c r="J362" s="169"/>
      <c r="K362" s="249"/>
      <c r="L362" s="248">
        <f aca="true" t="shared" si="114" ref="L362:L378">I362+J362+K362</f>
        <v>6736.36</v>
      </c>
      <c r="M362" s="292"/>
      <c r="N362" s="249"/>
      <c r="O362" s="248">
        <f aca="true" t="shared" si="115" ref="O362:O377">L362+M362+N362</f>
        <v>6736.36</v>
      </c>
      <c r="P362" s="93"/>
      <c r="Q362" s="52"/>
    </row>
    <row r="363" spans="1:17" ht="12.75">
      <c r="A363" s="21" t="s">
        <v>165</v>
      </c>
      <c r="B363" s="65"/>
      <c r="C363" s="134">
        <v>19868.59</v>
      </c>
      <c r="D363" s="99">
        <f>711.97+10000</f>
        <v>10711.97</v>
      </c>
      <c r="E363" s="99"/>
      <c r="F363" s="89">
        <f t="shared" si="112"/>
        <v>30580.559999999998</v>
      </c>
      <c r="G363" s="169"/>
      <c r="H363" s="210"/>
      <c r="I363" s="230">
        <f t="shared" si="113"/>
        <v>30580.559999999998</v>
      </c>
      <c r="J363" s="169">
        <f>20000</f>
        <v>20000</v>
      </c>
      <c r="K363" s="249"/>
      <c r="L363" s="248">
        <f t="shared" si="114"/>
        <v>50580.56</v>
      </c>
      <c r="M363" s="292"/>
      <c r="N363" s="249"/>
      <c r="O363" s="248">
        <f t="shared" si="115"/>
        <v>50580.56</v>
      </c>
      <c r="P363" s="93"/>
      <c r="Q363" s="52"/>
    </row>
    <row r="364" spans="1:17" ht="12.75">
      <c r="A364" s="21" t="s">
        <v>280</v>
      </c>
      <c r="B364" s="65"/>
      <c r="C364" s="134">
        <v>5000</v>
      </c>
      <c r="D364" s="99"/>
      <c r="E364" s="99"/>
      <c r="F364" s="89">
        <f t="shared" si="112"/>
        <v>5000</v>
      </c>
      <c r="G364" s="169"/>
      <c r="H364" s="210"/>
      <c r="I364" s="230">
        <f t="shared" si="113"/>
        <v>5000</v>
      </c>
      <c r="J364" s="169"/>
      <c r="K364" s="249"/>
      <c r="L364" s="248">
        <f t="shared" si="114"/>
        <v>5000</v>
      </c>
      <c r="M364" s="292">
        <f>-1000-800</f>
        <v>-1800</v>
      </c>
      <c r="N364" s="249"/>
      <c r="O364" s="248">
        <f t="shared" si="115"/>
        <v>3200</v>
      </c>
      <c r="P364" s="93"/>
      <c r="Q364" s="52"/>
    </row>
    <row r="365" spans="1:17" ht="12.75">
      <c r="A365" s="21" t="s">
        <v>289</v>
      </c>
      <c r="B365" s="65"/>
      <c r="C365" s="134"/>
      <c r="D365" s="150">
        <f>788.1</f>
        <v>788.1</v>
      </c>
      <c r="E365" s="150"/>
      <c r="F365" s="89">
        <f t="shared" si="112"/>
        <v>788.1</v>
      </c>
      <c r="G365" s="169"/>
      <c r="H365" s="210"/>
      <c r="I365" s="230">
        <f t="shared" si="113"/>
        <v>788.1</v>
      </c>
      <c r="J365" s="169"/>
      <c r="K365" s="249"/>
      <c r="L365" s="248">
        <f t="shared" si="114"/>
        <v>788.1</v>
      </c>
      <c r="M365" s="292"/>
      <c r="N365" s="249"/>
      <c r="O365" s="248">
        <f t="shared" si="115"/>
        <v>788.1</v>
      </c>
      <c r="P365" s="93"/>
      <c r="Q365" s="52"/>
    </row>
    <row r="366" spans="1:17" ht="12.75">
      <c r="A366" s="95" t="s">
        <v>230</v>
      </c>
      <c r="B366" s="65"/>
      <c r="C366" s="134">
        <v>400000</v>
      </c>
      <c r="D366" s="151">
        <f>200000+281690.37+30000+150000</f>
        <v>661690.37</v>
      </c>
      <c r="E366" s="151"/>
      <c r="F366" s="89">
        <f t="shared" si="112"/>
        <v>1061690.37</v>
      </c>
      <c r="G366" s="169">
        <f>-3000</f>
        <v>-3000</v>
      </c>
      <c r="H366" s="210"/>
      <c r="I366" s="230">
        <f t="shared" si="113"/>
        <v>1058690.37</v>
      </c>
      <c r="J366" s="175">
        <f>110000</f>
        <v>110000</v>
      </c>
      <c r="K366" s="249"/>
      <c r="L366" s="248">
        <f t="shared" si="114"/>
        <v>1168690.37</v>
      </c>
      <c r="M366" s="292"/>
      <c r="N366" s="249"/>
      <c r="O366" s="248">
        <f t="shared" si="115"/>
        <v>1168690.37</v>
      </c>
      <c r="P366" s="93"/>
      <c r="Q366" s="52"/>
    </row>
    <row r="367" spans="1:17" ht="12.75">
      <c r="A367" s="21" t="s">
        <v>290</v>
      </c>
      <c r="B367" s="97">
        <v>212163</v>
      </c>
      <c r="C367" s="134">
        <v>36000</v>
      </c>
      <c r="D367" s="150">
        <f>50274.06+47194.15</f>
        <v>97468.20999999999</v>
      </c>
      <c r="E367" s="150"/>
      <c r="F367" s="89">
        <f t="shared" si="112"/>
        <v>133468.21</v>
      </c>
      <c r="G367" s="169">
        <f>-10-74650</f>
        <v>-74660</v>
      </c>
      <c r="H367" s="210"/>
      <c r="I367" s="230">
        <f t="shared" si="113"/>
        <v>58808.20999999999</v>
      </c>
      <c r="J367" s="169">
        <f>30000</f>
        <v>30000</v>
      </c>
      <c r="K367" s="249"/>
      <c r="L367" s="248">
        <f t="shared" si="114"/>
        <v>88808.20999999999</v>
      </c>
      <c r="M367" s="292">
        <f>2.42</f>
        <v>2.42</v>
      </c>
      <c r="N367" s="249"/>
      <c r="O367" s="248">
        <f t="shared" si="115"/>
        <v>88810.62999999999</v>
      </c>
      <c r="P367" s="93"/>
      <c r="Q367" s="52"/>
    </row>
    <row r="368" spans="1:17" ht="12.75">
      <c r="A368" s="21" t="s">
        <v>234</v>
      </c>
      <c r="B368" s="97">
        <v>22777</v>
      </c>
      <c r="C368" s="134"/>
      <c r="D368" s="150"/>
      <c r="E368" s="150"/>
      <c r="F368" s="89">
        <f t="shared" si="112"/>
        <v>0</v>
      </c>
      <c r="G368" s="169">
        <f>41783.61</f>
        <v>41783.61</v>
      </c>
      <c r="H368" s="210"/>
      <c r="I368" s="230">
        <f t="shared" si="113"/>
        <v>41783.61</v>
      </c>
      <c r="J368" s="169"/>
      <c r="K368" s="249"/>
      <c r="L368" s="248">
        <f t="shared" si="114"/>
        <v>41783.61</v>
      </c>
      <c r="M368" s="292">
        <f>3636.99</f>
        <v>3636.99</v>
      </c>
      <c r="N368" s="249"/>
      <c r="O368" s="248">
        <f t="shared" si="115"/>
        <v>45420.6</v>
      </c>
      <c r="P368" s="93"/>
      <c r="Q368" s="52"/>
    </row>
    <row r="369" spans="1:17" ht="12.75" hidden="1">
      <c r="A369" s="21" t="s">
        <v>273</v>
      </c>
      <c r="B369" s="97">
        <v>98858</v>
      </c>
      <c r="C369" s="134"/>
      <c r="D369" s="150"/>
      <c r="E369" s="150"/>
      <c r="F369" s="89">
        <f t="shared" si="112"/>
        <v>0</v>
      </c>
      <c r="G369" s="169"/>
      <c r="H369" s="210"/>
      <c r="I369" s="230">
        <f t="shared" si="113"/>
        <v>0</v>
      </c>
      <c r="J369" s="169"/>
      <c r="K369" s="249"/>
      <c r="L369" s="248">
        <f t="shared" si="114"/>
        <v>0</v>
      </c>
      <c r="M369" s="292"/>
      <c r="N369" s="249"/>
      <c r="O369" s="248">
        <f t="shared" si="115"/>
        <v>0</v>
      </c>
      <c r="P369" s="93"/>
      <c r="Q369" s="52"/>
    </row>
    <row r="370" spans="1:17" ht="12.75">
      <c r="A370" s="21" t="s">
        <v>166</v>
      </c>
      <c r="B370" s="97">
        <v>212162</v>
      </c>
      <c r="C370" s="134"/>
      <c r="D370" s="150">
        <f>43486.32</f>
        <v>43486.32</v>
      </c>
      <c r="E370" s="150"/>
      <c r="F370" s="89">
        <f t="shared" si="112"/>
        <v>43486.32</v>
      </c>
      <c r="G370" s="169"/>
      <c r="H370" s="210"/>
      <c r="I370" s="230">
        <f t="shared" si="113"/>
        <v>43486.32</v>
      </c>
      <c r="J370" s="169">
        <f>-30000</f>
        <v>-30000</v>
      </c>
      <c r="K370" s="249"/>
      <c r="L370" s="248">
        <f t="shared" si="114"/>
        <v>13486.32</v>
      </c>
      <c r="M370" s="292"/>
      <c r="N370" s="249"/>
      <c r="O370" s="248">
        <f t="shared" si="115"/>
        <v>13486.32</v>
      </c>
      <c r="P370" s="93"/>
      <c r="Q370" s="52"/>
    </row>
    <row r="371" spans="1:17" ht="12.75">
      <c r="A371" s="21" t="s">
        <v>348</v>
      </c>
      <c r="B371" s="97">
        <v>22777</v>
      </c>
      <c r="C371" s="134"/>
      <c r="D371" s="150"/>
      <c r="E371" s="150"/>
      <c r="F371" s="89"/>
      <c r="G371" s="169"/>
      <c r="H371" s="210"/>
      <c r="I371" s="230">
        <f t="shared" si="113"/>
        <v>0</v>
      </c>
      <c r="J371" s="169">
        <f>1900.88</f>
        <v>1900.88</v>
      </c>
      <c r="K371" s="249"/>
      <c r="L371" s="248">
        <f t="shared" si="114"/>
        <v>1900.88</v>
      </c>
      <c r="M371" s="292"/>
      <c r="N371" s="249"/>
      <c r="O371" s="248">
        <f t="shared" si="115"/>
        <v>1900.88</v>
      </c>
      <c r="P371" s="93"/>
      <c r="Q371" s="52"/>
    </row>
    <row r="372" spans="1:17" ht="12.75">
      <c r="A372" s="21" t="s">
        <v>328</v>
      </c>
      <c r="B372" s="97"/>
      <c r="C372" s="134"/>
      <c r="D372" s="150">
        <f>2568.52</f>
        <v>2568.52</v>
      </c>
      <c r="E372" s="150"/>
      <c r="F372" s="89">
        <f t="shared" si="112"/>
        <v>2568.52</v>
      </c>
      <c r="G372" s="169">
        <f>22697.25</f>
        <v>22697.25</v>
      </c>
      <c r="H372" s="210"/>
      <c r="I372" s="230">
        <f t="shared" si="113"/>
        <v>25265.77</v>
      </c>
      <c r="J372" s="169">
        <f>6853.12</f>
        <v>6853.12</v>
      </c>
      <c r="K372" s="249"/>
      <c r="L372" s="248">
        <f t="shared" si="114"/>
        <v>32118.89</v>
      </c>
      <c r="M372" s="292">
        <f>938.38+1251.77</f>
        <v>2190.15</v>
      </c>
      <c r="N372" s="249"/>
      <c r="O372" s="248">
        <f t="shared" si="115"/>
        <v>34309.04</v>
      </c>
      <c r="P372" s="93"/>
      <c r="Q372" s="52"/>
    </row>
    <row r="373" spans="1:17" ht="12.75">
      <c r="A373" s="21" t="s">
        <v>353</v>
      </c>
      <c r="B373" s="97">
        <v>13501</v>
      </c>
      <c r="C373" s="134"/>
      <c r="D373" s="150"/>
      <c r="E373" s="150"/>
      <c r="F373" s="89"/>
      <c r="G373" s="169"/>
      <c r="H373" s="210"/>
      <c r="I373" s="230">
        <f t="shared" si="113"/>
        <v>0</v>
      </c>
      <c r="J373" s="169">
        <f>29741.91</f>
        <v>29741.91</v>
      </c>
      <c r="K373" s="249"/>
      <c r="L373" s="248">
        <f t="shared" si="114"/>
        <v>29741.91</v>
      </c>
      <c r="M373" s="292"/>
      <c r="N373" s="249"/>
      <c r="O373" s="248">
        <f t="shared" si="115"/>
        <v>29741.91</v>
      </c>
      <c r="P373" s="93"/>
      <c r="Q373" s="52"/>
    </row>
    <row r="374" spans="1:17" ht="12.75">
      <c r="A374" s="21" t="s">
        <v>307</v>
      </c>
      <c r="B374" s="97"/>
      <c r="C374" s="134"/>
      <c r="D374" s="150">
        <f>18961.22</f>
        <v>18961.22</v>
      </c>
      <c r="E374" s="150"/>
      <c r="F374" s="89">
        <f t="shared" si="112"/>
        <v>18961.22</v>
      </c>
      <c r="G374" s="169"/>
      <c r="H374" s="210"/>
      <c r="I374" s="230">
        <f t="shared" si="113"/>
        <v>18961.22</v>
      </c>
      <c r="J374" s="169">
        <f>14004.9</f>
        <v>14004.9</v>
      </c>
      <c r="K374" s="249"/>
      <c r="L374" s="248">
        <f t="shared" si="114"/>
        <v>32966.12</v>
      </c>
      <c r="M374" s="292"/>
      <c r="N374" s="249"/>
      <c r="O374" s="248">
        <f t="shared" si="115"/>
        <v>32966.12</v>
      </c>
      <c r="P374" s="93"/>
      <c r="Q374" s="52"/>
    </row>
    <row r="375" spans="1:17" ht="12.75">
      <c r="A375" s="21" t="s">
        <v>346</v>
      </c>
      <c r="B375" s="97">
        <v>91628</v>
      </c>
      <c r="C375" s="134"/>
      <c r="D375" s="150">
        <f>183880</f>
        <v>183880</v>
      </c>
      <c r="E375" s="150"/>
      <c r="F375" s="89">
        <f t="shared" si="112"/>
        <v>183880</v>
      </c>
      <c r="G375" s="169"/>
      <c r="H375" s="210"/>
      <c r="I375" s="230">
        <f t="shared" si="113"/>
        <v>183880</v>
      </c>
      <c r="J375" s="169"/>
      <c r="K375" s="249"/>
      <c r="L375" s="248">
        <f t="shared" si="114"/>
        <v>183880</v>
      </c>
      <c r="M375" s="292"/>
      <c r="N375" s="249"/>
      <c r="O375" s="248">
        <f t="shared" si="115"/>
        <v>183880</v>
      </c>
      <c r="P375" s="93"/>
      <c r="Q375" s="52"/>
    </row>
    <row r="376" spans="1:17" ht="12.75">
      <c r="A376" s="21" t="s">
        <v>342</v>
      </c>
      <c r="B376" s="97">
        <v>91628</v>
      </c>
      <c r="C376" s="134"/>
      <c r="D376" s="150"/>
      <c r="E376" s="150"/>
      <c r="F376" s="89">
        <f t="shared" si="112"/>
        <v>0</v>
      </c>
      <c r="G376" s="169">
        <f>8953.48</f>
        <v>8953.48</v>
      </c>
      <c r="H376" s="210"/>
      <c r="I376" s="230">
        <f t="shared" si="113"/>
        <v>8953.48</v>
      </c>
      <c r="J376" s="169"/>
      <c r="K376" s="249"/>
      <c r="L376" s="248">
        <f t="shared" si="114"/>
        <v>8953.48</v>
      </c>
      <c r="M376" s="292"/>
      <c r="N376" s="249"/>
      <c r="O376" s="248">
        <f t="shared" si="115"/>
        <v>8953.48</v>
      </c>
      <c r="P376" s="93"/>
      <c r="Q376" s="52"/>
    </row>
    <row r="377" spans="1:17" ht="12.75">
      <c r="A377" s="38" t="s">
        <v>356</v>
      </c>
      <c r="B377" s="97">
        <v>91628</v>
      </c>
      <c r="C377" s="134"/>
      <c r="D377" s="150"/>
      <c r="E377" s="150"/>
      <c r="F377" s="89"/>
      <c r="G377" s="169"/>
      <c r="H377" s="210"/>
      <c r="I377" s="230">
        <f t="shared" si="113"/>
        <v>0</v>
      </c>
      <c r="J377" s="169">
        <f>149400</f>
        <v>149400</v>
      </c>
      <c r="K377" s="249"/>
      <c r="L377" s="248">
        <f t="shared" si="114"/>
        <v>149400</v>
      </c>
      <c r="M377" s="292"/>
      <c r="N377" s="249"/>
      <c r="O377" s="248">
        <f t="shared" si="115"/>
        <v>149400</v>
      </c>
      <c r="P377" s="93"/>
      <c r="Q377" s="52"/>
    </row>
    <row r="378" spans="1:17" ht="12.75" hidden="1">
      <c r="A378" s="21" t="s">
        <v>199</v>
      </c>
      <c r="B378" s="65"/>
      <c r="C378" s="134"/>
      <c r="D378" s="150"/>
      <c r="E378" s="150"/>
      <c r="F378" s="89">
        <f t="shared" si="112"/>
        <v>0</v>
      </c>
      <c r="G378" s="169"/>
      <c r="H378" s="210"/>
      <c r="I378" s="230">
        <f t="shared" si="113"/>
        <v>0</v>
      </c>
      <c r="J378" s="169"/>
      <c r="K378" s="249"/>
      <c r="L378" s="248">
        <f t="shared" si="114"/>
        <v>0</v>
      </c>
      <c r="M378" s="292"/>
      <c r="N378" s="249"/>
      <c r="O378" s="248"/>
      <c r="P378" s="93"/>
      <c r="Q378" s="52"/>
    </row>
    <row r="379" spans="1:17" ht="12.75">
      <c r="A379" s="21" t="s">
        <v>167</v>
      </c>
      <c r="B379" s="65"/>
      <c r="C379" s="134">
        <f>SUM(C380:C391)</f>
        <v>286229</v>
      </c>
      <c r="D379" s="99">
        <f>SUM(D380:D391)</f>
        <v>708676.92</v>
      </c>
      <c r="E379" s="99">
        <f aca="true" t="shared" si="116" ref="E379:Q379">SUM(E380:E391)</f>
        <v>0</v>
      </c>
      <c r="F379" s="89">
        <f t="shared" si="116"/>
        <v>994905.92</v>
      </c>
      <c r="G379" s="169">
        <f t="shared" si="116"/>
        <v>200112.72999999998</v>
      </c>
      <c r="H379" s="210">
        <f t="shared" si="116"/>
        <v>-797.7899999999936</v>
      </c>
      <c r="I379" s="230">
        <f t="shared" si="116"/>
        <v>1194220.8599999999</v>
      </c>
      <c r="J379" s="169">
        <f t="shared" si="116"/>
        <v>334304.05</v>
      </c>
      <c r="K379" s="249">
        <f t="shared" si="116"/>
        <v>-1235.39</v>
      </c>
      <c r="L379" s="248">
        <f t="shared" si="116"/>
        <v>1527289.52</v>
      </c>
      <c r="M379" s="292">
        <f t="shared" si="116"/>
        <v>489599.73</v>
      </c>
      <c r="N379" s="249">
        <f t="shared" si="116"/>
        <v>0</v>
      </c>
      <c r="O379" s="248">
        <f t="shared" si="116"/>
        <v>2016889.25</v>
      </c>
      <c r="P379" s="89">
        <f t="shared" si="116"/>
        <v>0</v>
      </c>
      <c r="Q379" s="134">
        <f t="shared" si="116"/>
        <v>0</v>
      </c>
    </row>
    <row r="380" spans="1:17" ht="12.75">
      <c r="A380" s="17" t="s">
        <v>217</v>
      </c>
      <c r="B380" s="65"/>
      <c r="C380" s="139">
        <v>1000</v>
      </c>
      <c r="D380" s="150"/>
      <c r="E380" s="99"/>
      <c r="F380" s="89">
        <f>C380+D380+E380</f>
        <v>1000</v>
      </c>
      <c r="G380" s="169"/>
      <c r="H380" s="210"/>
      <c r="I380" s="230">
        <f aca="true" t="shared" si="117" ref="I380:I391">F380+G380+H380</f>
        <v>1000</v>
      </c>
      <c r="J380" s="169"/>
      <c r="K380" s="249"/>
      <c r="L380" s="248">
        <f aca="true" t="shared" si="118" ref="L380:L391">I380+J380+K380</f>
        <v>1000</v>
      </c>
      <c r="M380" s="292"/>
      <c r="N380" s="249"/>
      <c r="O380" s="248">
        <f aca="true" t="shared" si="119" ref="O380:O391">L380+M380+N380</f>
        <v>1000</v>
      </c>
      <c r="P380" s="93"/>
      <c r="Q380" s="52"/>
    </row>
    <row r="381" spans="1:17" ht="12.75">
      <c r="A381" s="17" t="s">
        <v>175</v>
      </c>
      <c r="B381" s="65"/>
      <c r="C381" s="139"/>
      <c r="D381" s="150">
        <f>2866+68524.41+3958.35</f>
        <v>75348.76000000001</v>
      </c>
      <c r="E381" s="99"/>
      <c r="F381" s="89">
        <f>C381+D381+E381</f>
        <v>75348.76000000001</v>
      </c>
      <c r="G381" s="169">
        <f>9198.7</f>
        <v>9198.7</v>
      </c>
      <c r="H381" s="210"/>
      <c r="I381" s="230">
        <f t="shared" si="117"/>
        <v>84547.46</v>
      </c>
      <c r="J381" s="169">
        <f>2576.91+5798.02+25854+1327.64+500+8892.9</f>
        <v>44949.47</v>
      </c>
      <c r="K381" s="249"/>
      <c r="L381" s="248">
        <f t="shared" si="118"/>
        <v>129496.93000000001</v>
      </c>
      <c r="M381" s="292">
        <f>11338.35+344.85+8837.52-579.8-436-500-110-36.99+1121.01</f>
        <v>19978.94</v>
      </c>
      <c r="N381" s="249"/>
      <c r="O381" s="248">
        <f t="shared" si="119"/>
        <v>149475.87</v>
      </c>
      <c r="P381" s="93"/>
      <c r="Q381" s="52"/>
    </row>
    <row r="382" spans="1:17" ht="12.75">
      <c r="A382" s="17" t="s">
        <v>268</v>
      </c>
      <c r="B382" s="65"/>
      <c r="C382" s="134"/>
      <c r="D382" s="150">
        <f>420+940.71+1399.29</f>
        <v>2760</v>
      </c>
      <c r="E382" s="99"/>
      <c r="F382" s="89">
        <f t="shared" si="112"/>
        <v>2760</v>
      </c>
      <c r="G382" s="169"/>
      <c r="H382" s="210"/>
      <c r="I382" s="230">
        <f t="shared" si="117"/>
        <v>2760</v>
      </c>
      <c r="J382" s="169">
        <f>750</f>
        <v>750</v>
      </c>
      <c r="K382" s="249"/>
      <c r="L382" s="248">
        <f t="shared" si="118"/>
        <v>3510</v>
      </c>
      <c r="M382" s="292"/>
      <c r="N382" s="249"/>
      <c r="O382" s="248">
        <f t="shared" si="119"/>
        <v>3510</v>
      </c>
      <c r="P382" s="93"/>
      <c r="Q382" s="52"/>
    </row>
    <row r="383" spans="1:17" ht="12.75">
      <c r="A383" s="17" t="s">
        <v>229</v>
      </c>
      <c r="B383" s="65"/>
      <c r="C383" s="134">
        <v>119349</v>
      </c>
      <c r="D383" s="150">
        <f>100000+70380.77</f>
        <v>170380.77000000002</v>
      </c>
      <c r="E383" s="99"/>
      <c r="F383" s="89">
        <f t="shared" si="112"/>
        <v>289729.77</v>
      </c>
      <c r="G383" s="169">
        <f>77371.62+20000</f>
        <v>97371.62</v>
      </c>
      <c r="H383" s="210"/>
      <c r="I383" s="230">
        <f t="shared" si="117"/>
        <v>387101.39</v>
      </c>
      <c r="J383" s="169">
        <f>16410.48+51832.85</f>
        <v>68243.33</v>
      </c>
      <c r="K383" s="249"/>
      <c r="L383" s="248">
        <f t="shared" si="118"/>
        <v>455344.72000000003</v>
      </c>
      <c r="M383" s="292">
        <f>132325.76+95842.39+85936.53+121.73+86951.32</f>
        <v>401177.73000000004</v>
      </c>
      <c r="N383" s="249"/>
      <c r="O383" s="248">
        <f t="shared" si="119"/>
        <v>856522.4500000001</v>
      </c>
      <c r="P383" s="93"/>
      <c r="Q383" s="52"/>
    </row>
    <row r="384" spans="1:19" ht="12.75">
      <c r="A384" s="17" t="s">
        <v>174</v>
      </c>
      <c r="B384" s="65"/>
      <c r="C384" s="134">
        <v>82319</v>
      </c>
      <c r="D384" s="150">
        <f>-70645+813.97+1332.17+1911.58+54.45+1372.24+1188.6+1094.57+4006.77+4204.29+835.25+44.41+352.59</f>
        <v>-53434.11000000001</v>
      </c>
      <c r="E384" s="99"/>
      <c r="F384" s="89">
        <f t="shared" si="112"/>
        <v>28884.889999999992</v>
      </c>
      <c r="G384" s="169">
        <f>2494.52+171.34+43.56+150.04+7114.8+69.39+5410.03+4.84+3956+7.68+2782.77+1222.9+14650+5025.73+150.31+1666</f>
        <v>44919.91</v>
      </c>
      <c r="H384" s="210">
        <f>812.19+37542.28</f>
        <v>38354.47</v>
      </c>
      <c r="I384" s="230">
        <f t="shared" si="117"/>
        <v>112159.26999999999</v>
      </c>
      <c r="J384" s="169">
        <f>4832+2303.84+4398.27+44.77+1983.28+1551.94+2237.44+1601.6+1902.98+758.41+5392.92+1135.18+4873.92+749.74+350.9+1952.02+4409.78+568.43</f>
        <v>41047.41999999999</v>
      </c>
      <c r="K384" s="249">
        <f>78.29+708.05</f>
        <v>786.3399999999999</v>
      </c>
      <c r="L384" s="248">
        <f t="shared" si="118"/>
        <v>153993.02999999997</v>
      </c>
      <c r="M384" s="292">
        <f>119.06+384.68+2550+11528.07+653.82+2475.74+2100.28+4355.65+43.56+3232.06+881.8+813.13+140+2.54+3031.12+3868.33+2032.67+1887.62+2766.23+1099.94</f>
        <v>43966.3</v>
      </c>
      <c r="N384" s="249"/>
      <c r="O384" s="248">
        <f t="shared" si="119"/>
        <v>197959.32999999996</v>
      </c>
      <c r="P384" s="93"/>
      <c r="Q384" s="52"/>
      <c r="S384" s="90"/>
    </row>
    <row r="385" spans="1:17" ht="12.75">
      <c r="A385" s="17" t="s">
        <v>177</v>
      </c>
      <c r="B385" s="65"/>
      <c r="C385" s="134">
        <v>22295</v>
      </c>
      <c r="D385" s="150">
        <f>62130.19+715.39+7090.75+4795.8</f>
        <v>74732.13</v>
      </c>
      <c r="E385" s="99"/>
      <c r="F385" s="89">
        <f t="shared" si="112"/>
        <v>97027.13</v>
      </c>
      <c r="G385" s="169">
        <f>6706.02+356.6+9839.19+900.67+6306.09+1149.61+60000</f>
        <v>85258.18</v>
      </c>
      <c r="H385" s="210"/>
      <c r="I385" s="230">
        <f t="shared" si="117"/>
        <v>182285.31</v>
      </c>
      <c r="J385" s="169">
        <f>11149.75+2907.52+10742.85+1966.58+8100+10363.25</f>
        <v>45229.950000000004</v>
      </c>
      <c r="K385" s="249"/>
      <c r="L385" s="248">
        <f t="shared" si="118"/>
        <v>227515.26</v>
      </c>
      <c r="M385" s="292">
        <f>2348.23+11908.84+11301.34+1157.37+13590.33+3.63+5732.05</f>
        <v>46041.79</v>
      </c>
      <c r="N385" s="249"/>
      <c r="O385" s="248">
        <f t="shared" si="119"/>
        <v>273557.05</v>
      </c>
      <c r="P385" s="93"/>
      <c r="Q385" s="52"/>
    </row>
    <row r="386" spans="1:17" ht="13.5" thickBot="1">
      <c r="A386" s="342" t="s">
        <v>181</v>
      </c>
      <c r="B386" s="330"/>
      <c r="C386" s="331">
        <v>40400</v>
      </c>
      <c r="D386" s="343">
        <f>-1609-5000-31665+22721.54+1928.95+2312.69-5</f>
        <v>-11315.819999999998</v>
      </c>
      <c r="E386" s="332"/>
      <c r="F386" s="333">
        <f t="shared" si="112"/>
        <v>29084.18</v>
      </c>
      <c r="G386" s="334">
        <f>2247.84+1511.46+1762.83+167.71+573.8+2887.23+22.99+1505.58-2000+801.18</f>
        <v>9480.62</v>
      </c>
      <c r="H386" s="335"/>
      <c r="I386" s="336">
        <f t="shared" si="117"/>
        <v>38564.8</v>
      </c>
      <c r="J386" s="334">
        <f>1299.8+32.67+617.52+451.12+22.99+420.5+865.97+3896.94+754.3+1615.38+1100.71+2711.4+22.99+6000-500+307.92+2000+764.04+479.81</f>
        <v>22864.059999999998</v>
      </c>
      <c r="K386" s="337"/>
      <c r="L386" s="338">
        <f t="shared" si="118"/>
        <v>61428.86</v>
      </c>
      <c r="M386" s="341">
        <f>3112.65+983-8000+2154.51+123.2+24.87+348.75+88.19+4078.14+21.42+342.99+3112.51+399.83+39.93+24.87+600+573.87+2638.89</f>
        <v>10667.62</v>
      </c>
      <c r="N386" s="337"/>
      <c r="O386" s="338">
        <f t="shared" si="119"/>
        <v>72096.48</v>
      </c>
      <c r="P386" s="93"/>
      <c r="Q386" s="52"/>
    </row>
    <row r="387" spans="1:17" ht="12.75">
      <c r="A387" s="344" t="s">
        <v>180</v>
      </c>
      <c r="B387" s="345"/>
      <c r="C387" s="346">
        <v>15000</v>
      </c>
      <c r="D387" s="347">
        <f>33882.33+1244.53+9.26+17.97+1775.78-0.27+18.51+8.71+1331.96</f>
        <v>38288.780000000006</v>
      </c>
      <c r="E387" s="347"/>
      <c r="F387" s="348">
        <f t="shared" si="112"/>
        <v>53288.780000000006</v>
      </c>
      <c r="G387" s="349">
        <f>10.89+8.71+8.71+578.26+37.4+31.25+10.69+9.63-8000</f>
        <v>-7304.46</v>
      </c>
      <c r="H387" s="350"/>
      <c r="I387" s="351">
        <f t="shared" si="117"/>
        <v>45984.32000000001</v>
      </c>
      <c r="J387" s="352">
        <f>31.26+2131.73+95.55+4109.21+28350+3324.26+32704.17+49889.03+3000+462.23</f>
        <v>124097.43999999999</v>
      </c>
      <c r="K387" s="353"/>
      <c r="L387" s="354">
        <f t="shared" si="118"/>
        <v>170081.76</v>
      </c>
      <c r="M387" s="355">
        <f>4039.62+208.94+13.98+1598.55+4002.72+1351.01+503.29+286.49+11570.09+198.78+2414.87+712.83+904.94+726.14+4288.15</f>
        <v>32820.4</v>
      </c>
      <c r="N387" s="353"/>
      <c r="O387" s="354">
        <f t="shared" si="119"/>
        <v>202902.16</v>
      </c>
      <c r="P387" s="93"/>
      <c r="Q387" s="52"/>
    </row>
    <row r="388" spans="1:17" ht="12.75" hidden="1">
      <c r="A388" s="17" t="s">
        <v>208</v>
      </c>
      <c r="B388" s="65">
        <v>2088</v>
      </c>
      <c r="C388" s="134"/>
      <c r="D388" s="99"/>
      <c r="E388" s="99"/>
      <c r="F388" s="89">
        <f t="shared" si="112"/>
        <v>0</v>
      </c>
      <c r="G388" s="169"/>
      <c r="H388" s="210"/>
      <c r="I388" s="230">
        <f t="shared" si="117"/>
        <v>0</v>
      </c>
      <c r="J388" s="169"/>
      <c r="K388" s="249"/>
      <c r="L388" s="248">
        <f t="shared" si="118"/>
        <v>0</v>
      </c>
      <c r="M388" s="292"/>
      <c r="N388" s="249"/>
      <c r="O388" s="248">
        <f t="shared" si="119"/>
        <v>0</v>
      </c>
      <c r="P388" s="93"/>
      <c r="Q388" s="52"/>
    </row>
    <row r="389" spans="1:17" ht="12.75">
      <c r="A389" s="17" t="s">
        <v>281</v>
      </c>
      <c r="B389" s="65">
        <v>2088</v>
      </c>
      <c r="C389" s="134"/>
      <c r="D389" s="99">
        <f>138935.27</f>
        <v>138935.27</v>
      </c>
      <c r="E389" s="99"/>
      <c r="F389" s="89">
        <f t="shared" si="112"/>
        <v>138935.27</v>
      </c>
      <c r="G389" s="169">
        <f>2469.43-77371.62</f>
        <v>-74902.19</v>
      </c>
      <c r="H389" s="210"/>
      <c r="I389" s="230">
        <f t="shared" si="117"/>
        <v>64033.07999999999</v>
      </c>
      <c r="J389" s="169">
        <f>27224.83-51832.85+21667.24</f>
        <v>-2940.779999999995</v>
      </c>
      <c r="K389" s="249"/>
      <c r="L389" s="248">
        <f t="shared" si="118"/>
        <v>61092.29999999999</v>
      </c>
      <c r="M389" s="292">
        <f>43383.6+28140.52-132325.76+48563.67+41135.96+20879.53+35750.9-95842.39+12998.81+33225.89+9930.23+22589.67-85936.53+40117.24+54960.25+4948.48-86951.32</f>
        <v>-4431.250000000044</v>
      </c>
      <c r="N389" s="249"/>
      <c r="O389" s="248">
        <f t="shared" si="119"/>
        <v>56661.049999999945</v>
      </c>
      <c r="P389" s="93"/>
      <c r="Q389" s="52"/>
    </row>
    <row r="390" spans="1:17" ht="12.75">
      <c r="A390" s="21" t="s">
        <v>240</v>
      </c>
      <c r="B390" s="65">
        <v>2077</v>
      </c>
      <c r="C390" s="134">
        <v>5866</v>
      </c>
      <c r="D390" s="99">
        <f>1609+5000+31665+70645-2866+116514.28-813.97-799.3-1911.58-54.45-820.8-118.86-1094.57-3413.15-368.93-1399.29+131.48-4.44-558.29</f>
        <v>211341.13000000003</v>
      </c>
      <c r="E390" s="99"/>
      <c r="F390" s="89">
        <f t="shared" si="112"/>
        <v>217207.13000000003</v>
      </c>
      <c r="G390" s="169">
        <f>-1216.49-171.34-26.14-88.94-69.39-5409.18-4.84-3418.56-1672.99-812.92-315.59-13.79-15025.73-480.71</f>
        <v>-28726.61</v>
      </c>
      <c r="H390" s="210"/>
      <c r="I390" s="230">
        <f t="shared" si="117"/>
        <v>188480.52000000002</v>
      </c>
      <c r="J390" s="169">
        <f>-1382.3-401.39-4086.93-270.67-91.96-1191.35-1008.76-1454.34-13.79-964.14-273.33-1141.79-476.28-452.58-94.38-3235.75-994.64-660.43-3029.81-13.79-350.9-1268.81-2645.87-284.38-436.72-410.43</f>
        <v>-26635.520000000004</v>
      </c>
      <c r="K390" s="249"/>
      <c r="L390" s="248">
        <f t="shared" si="118"/>
        <v>161845</v>
      </c>
      <c r="M390" s="292">
        <f>-94.5-230.81-62.8-7306.38-1239.48-928.63-92.93+8000-2446.86-1916.61-73.92-24.87-26.14-88.19-2451.62-2341.64-21.42-487.88-36.41-2984.65-321-1867.51-399.83-2593.98-25.96-24.87-344.32-1659.74-1087.69</f>
        <v>-23180.639999999996</v>
      </c>
      <c r="N390" s="249"/>
      <c r="O390" s="248">
        <f t="shared" si="119"/>
        <v>138664.36000000002</v>
      </c>
      <c r="P390" s="93"/>
      <c r="Q390" s="52"/>
    </row>
    <row r="391" spans="1:19" ht="12.75">
      <c r="A391" s="28" t="s">
        <v>282</v>
      </c>
      <c r="B391" s="68">
        <v>2099</v>
      </c>
      <c r="C391" s="195"/>
      <c r="D391" s="148">
        <f>68906.93-532.87-1244.53-9.26-1928.95-715.39-17.97-7090.75-551.44-3523.83-1775.78+25164.74+3126.66+19217.2-593.62-2312.69-466.32-4795.8+5241.84-2441.18-148.49-178-30000-358.53-1331.96</f>
        <v>61640.01</v>
      </c>
      <c r="E391" s="148"/>
      <c r="F391" s="159">
        <f t="shared" si="112"/>
        <v>61640.01</v>
      </c>
      <c r="G391" s="174">
        <f>30365.86+16108.22+67.54+2580.64+6945.11-6706.02-1278.03-356.6-10.89-8.71-8.71-2247.84-17.42-61.1-7114.8-578.26-9839.19-0.85-1511.46-2300.27-900.67-37.4-167.71-728.13+2900+34672.14+14458.98-6306.09-90.19-1109.78-409.98-258.21-2887.23-9.2-1149.61-1505.58-9.63+5932+382.5-1666-320.47</f>
        <v>64816.96000000001</v>
      </c>
      <c r="H391" s="216">
        <f>-996.96-37614.88-540.42</f>
        <v>-39152.259999999995</v>
      </c>
      <c r="I391" s="235">
        <f t="shared" si="117"/>
        <v>87304.71</v>
      </c>
      <c r="J391" s="174">
        <f>18592.58+12944.72+2286.13-1299.8-4832-5500-11149.75-32.67-921.54-216.13-490.03-2907.52-311.34-750-180.45-791.93-2131.73-95.55-543.18-783.1-9.2-637.46-147.17-761.19-389.69-4066.03-758.41-10742.85-301.72-1615.38-1966.58-709.22-2157.17-4109.21-5798.02+2269.26-140.54-440.28-2711.4-1844.11-9.2+462.48+10194.92+534.48+13590.04+13844.44-6000-8100+42479.94-749.74-683.21-1763.91-23.54-10363.25-8000-43.09-3324.26+10259.44-8892.9+7914.37+2274.76-500+315-568.43</f>
        <v>16698.680000000008</v>
      </c>
      <c r="K391" s="258">
        <f>-1191.21-830.52</f>
        <v>-2021.73</v>
      </c>
      <c r="L391" s="259">
        <f t="shared" si="118"/>
        <v>101981.66000000002</v>
      </c>
      <c r="M391" s="302">
        <f>2027.86+978.99+27295.02+4816.86-2348.23-24.56-153.87-2550-4158.89-944.54-11908.84-983-653.82-4039.62-208.94-13.98-8837.52-2154.51-28.88-183.67-49.28-4355.65-493-17.42-866.83-1626.52+1191.2-11301.34-890.42+579.8-1598.55-881.8-4002.72-1351.01-325.25-503.29-286.49-1157.37+19.18+21.05+18.36+22.8+24.85+14.14-327.69+13.31-46.47-21.99+9654.84+10580.6-13590.33+13604.82-198.78-2414.87-1274.35-1245-13.97-2032.67-5732.05-229.55-712.83-1887.62-1106.49-904.94-726.14-4288.15-12.25-2638.89</f>
        <v>-37441.16</v>
      </c>
      <c r="N391" s="258"/>
      <c r="O391" s="259">
        <f t="shared" si="119"/>
        <v>64540.500000000015</v>
      </c>
      <c r="P391" s="93"/>
      <c r="Q391" s="52"/>
      <c r="S391" s="90"/>
    </row>
    <row r="392" spans="1:17" ht="12.75">
      <c r="A392" s="14" t="s">
        <v>90</v>
      </c>
      <c r="B392" s="69"/>
      <c r="C392" s="133">
        <f aca="true" t="shared" si="120" ref="C392:Q392">C393+C423</f>
        <v>251309.76</v>
      </c>
      <c r="D392" s="86">
        <f t="shared" si="120"/>
        <v>1127845.5800000003</v>
      </c>
      <c r="E392" s="86">
        <f t="shared" si="120"/>
        <v>0</v>
      </c>
      <c r="F392" s="94">
        <f t="shared" si="120"/>
        <v>1379155.34</v>
      </c>
      <c r="G392" s="168">
        <f t="shared" si="120"/>
        <v>66243.52</v>
      </c>
      <c r="H392" s="209">
        <f t="shared" si="120"/>
        <v>0</v>
      </c>
      <c r="I392" s="229">
        <f t="shared" si="120"/>
        <v>1445398.8600000003</v>
      </c>
      <c r="J392" s="168">
        <f t="shared" si="120"/>
        <v>61588.46000000001</v>
      </c>
      <c r="K392" s="246">
        <f t="shared" si="120"/>
        <v>0</v>
      </c>
      <c r="L392" s="247">
        <f t="shared" si="120"/>
        <v>1506987.3200000003</v>
      </c>
      <c r="M392" s="309">
        <f>M393+M423</f>
        <v>68878.40999999999</v>
      </c>
      <c r="N392" s="246">
        <f>N393+N423</f>
        <v>0</v>
      </c>
      <c r="O392" s="247">
        <f>O393+O423</f>
        <v>1575865.7300000002</v>
      </c>
      <c r="P392" s="86">
        <f t="shared" si="120"/>
        <v>0</v>
      </c>
      <c r="Q392" s="133">
        <f t="shared" si="120"/>
        <v>298449.43999999994</v>
      </c>
    </row>
    <row r="393" spans="1:17" ht="12.75">
      <c r="A393" s="23" t="s">
        <v>48</v>
      </c>
      <c r="B393" s="69"/>
      <c r="C393" s="137">
        <f aca="true" t="shared" si="121" ref="C393:Q393">SUM(C395:C422)</f>
        <v>251309.76</v>
      </c>
      <c r="D393" s="102">
        <f t="shared" si="121"/>
        <v>1127845.5800000003</v>
      </c>
      <c r="E393" s="102">
        <f t="shared" si="121"/>
        <v>0</v>
      </c>
      <c r="F393" s="120">
        <f t="shared" si="121"/>
        <v>1379155.34</v>
      </c>
      <c r="G393" s="171">
        <f t="shared" si="121"/>
        <v>66058.17</v>
      </c>
      <c r="H393" s="214">
        <f t="shared" si="121"/>
        <v>0</v>
      </c>
      <c r="I393" s="233">
        <f t="shared" si="121"/>
        <v>1445213.5100000002</v>
      </c>
      <c r="J393" s="171">
        <f t="shared" si="121"/>
        <v>59388.46000000001</v>
      </c>
      <c r="K393" s="254">
        <f t="shared" si="121"/>
        <v>0</v>
      </c>
      <c r="L393" s="255">
        <f t="shared" si="121"/>
        <v>1504601.9700000002</v>
      </c>
      <c r="M393" s="315">
        <f>SUM(M395:M422)</f>
        <v>68878.40999999999</v>
      </c>
      <c r="N393" s="254">
        <f>SUM(N395:N422)</f>
        <v>0</v>
      </c>
      <c r="O393" s="255">
        <f>SUM(O395:O422)</f>
        <v>1573480.3800000001</v>
      </c>
      <c r="P393" s="102">
        <f t="shared" si="121"/>
        <v>0</v>
      </c>
      <c r="Q393" s="137">
        <f t="shared" si="121"/>
        <v>296064.08999999997</v>
      </c>
    </row>
    <row r="394" spans="1:17" ht="12.75">
      <c r="A394" s="19" t="s">
        <v>26</v>
      </c>
      <c r="B394" s="65"/>
      <c r="C394" s="134"/>
      <c r="D394" s="99"/>
      <c r="E394" s="99"/>
      <c r="F394" s="89"/>
      <c r="G394" s="169"/>
      <c r="H394" s="210"/>
      <c r="I394" s="230"/>
      <c r="J394" s="169"/>
      <c r="K394" s="249"/>
      <c r="L394" s="248"/>
      <c r="M394" s="292"/>
      <c r="N394" s="249"/>
      <c r="O394" s="248"/>
      <c r="P394" s="93"/>
      <c r="Q394" s="52"/>
    </row>
    <row r="395" spans="1:17" ht="12.75">
      <c r="A395" s="167" t="s">
        <v>91</v>
      </c>
      <c r="B395" s="71"/>
      <c r="C395" s="134">
        <v>190000</v>
      </c>
      <c r="D395" s="99">
        <f>35000</f>
        <v>35000</v>
      </c>
      <c r="E395" s="99"/>
      <c r="F395" s="109">
        <f aca="true" t="shared" si="122" ref="F395:F422">C395+D395+E395</f>
        <v>225000</v>
      </c>
      <c r="G395" s="169">
        <f>15000</f>
        <v>15000</v>
      </c>
      <c r="H395" s="210"/>
      <c r="I395" s="230">
        <f>F395+G395+H395</f>
        <v>240000</v>
      </c>
      <c r="J395" s="169"/>
      <c r="K395" s="249">
        <f>7820</f>
        <v>7820</v>
      </c>
      <c r="L395" s="248">
        <f>I395+J395+K395</f>
        <v>247820</v>
      </c>
      <c r="M395" s="292"/>
      <c r="N395" s="249"/>
      <c r="O395" s="248">
        <f>L395+M395+N395</f>
        <v>247820</v>
      </c>
      <c r="P395" s="93"/>
      <c r="Q395" s="52">
        <f>O395+P395</f>
        <v>247820</v>
      </c>
    </row>
    <row r="396" spans="1:17" ht="12.75" hidden="1">
      <c r="A396" s="66" t="s">
        <v>205</v>
      </c>
      <c r="B396" s="71"/>
      <c r="C396" s="134"/>
      <c r="D396" s="99"/>
      <c r="E396" s="99"/>
      <c r="F396" s="89">
        <f t="shared" si="122"/>
        <v>0</v>
      </c>
      <c r="G396" s="169"/>
      <c r="H396" s="210"/>
      <c r="I396" s="230">
        <f aca="true" t="shared" si="123" ref="I396:I422">F396+G396+H396</f>
        <v>0</v>
      </c>
      <c r="J396" s="169"/>
      <c r="K396" s="249"/>
      <c r="L396" s="248">
        <f aca="true" t="shared" si="124" ref="L396:L421">I396+J396+K396</f>
        <v>0</v>
      </c>
      <c r="M396" s="292"/>
      <c r="N396" s="249"/>
      <c r="O396" s="248">
        <f aca="true" t="shared" si="125" ref="O396:O422">L396+M396+N396</f>
        <v>0</v>
      </c>
      <c r="P396" s="93"/>
      <c r="Q396" s="52"/>
    </row>
    <row r="397" spans="1:17" ht="12.75" hidden="1">
      <c r="A397" s="17" t="s">
        <v>143</v>
      </c>
      <c r="B397" s="65"/>
      <c r="C397" s="134"/>
      <c r="D397" s="99"/>
      <c r="E397" s="99"/>
      <c r="F397" s="89">
        <f t="shared" si="122"/>
        <v>0</v>
      </c>
      <c r="G397" s="169"/>
      <c r="H397" s="210"/>
      <c r="I397" s="230">
        <f t="shared" si="123"/>
        <v>0</v>
      </c>
      <c r="J397" s="169"/>
      <c r="K397" s="249"/>
      <c r="L397" s="248">
        <f t="shared" si="124"/>
        <v>0</v>
      </c>
      <c r="M397" s="292"/>
      <c r="N397" s="249"/>
      <c r="O397" s="248">
        <f t="shared" si="125"/>
        <v>0</v>
      </c>
      <c r="P397" s="93"/>
      <c r="Q397" s="52">
        <f>O397+P397</f>
        <v>0</v>
      </c>
    </row>
    <row r="398" spans="1:17" ht="12.75">
      <c r="A398" s="17" t="s">
        <v>160</v>
      </c>
      <c r="B398" s="65"/>
      <c r="C398" s="134">
        <v>50000</v>
      </c>
      <c r="D398" s="99">
        <f>5000+1847.46</f>
        <v>6847.46</v>
      </c>
      <c r="E398" s="99"/>
      <c r="F398" s="89">
        <f t="shared" si="122"/>
        <v>56847.46</v>
      </c>
      <c r="G398" s="169">
        <f>17.58+20000</f>
        <v>20017.58</v>
      </c>
      <c r="H398" s="210"/>
      <c r="I398" s="230">
        <f t="shared" si="123"/>
        <v>76865.04000000001</v>
      </c>
      <c r="J398" s="169"/>
      <c r="K398" s="249">
        <f>-7820</f>
        <v>-7820</v>
      </c>
      <c r="L398" s="248">
        <f t="shared" si="124"/>
        <v>69045.04000000001</v>
      </c>
      <c r="M398" s="292">
        <f>591.39</f>
        <v>591.39</v>
      </c>
      <c r="N398" s="249"/>
      <c r="O398" s="248">
        <f t="shared" si="125"/>
        <v>69636.43000000001</v>
      </c>
      <c r="P398" s="93"/>
      <c r="Q398" s="52"/>
    </row>
    <row r="399" spans="1:17" ht="12.75">
      <c r="A399" s="17" t="s">
        <v>50</v>
      </c>
      <c r="B399" s="65"/>
      <c r="C399" s="134">
        <v>10809.76</v>
      </c>
      <c r="D399" s="99">
        <f>47.41</f>
        <v>47.41</v>
      </c>
      <c r="E399" s="99"/>
      <c r="F399" s="89">
        <f t="shared" si="122"/>
        <v>10857.17</v>
      </c>
      <c r="G399" s="169">
        <f>23.66-185.35-25</f>
        <v>-186.69</v>
      </c>
      <c r="H399" s="210"/>
      <c r="I399" s="230">
        <f t="shared" si="123"/>
        <v>10670.48</v>
      </c>
      <c r="J399" s="169"/>
      <c r="K399" s="249"/>
      <c r="L399" s="248">
        <f t="shared" si="124"/>
        <v>10670.48</v>
      </c>
      <c r="M399" s="292"/>
      <c r="N399" s="249"/>
      <c r="O399" s="248">
        <f t="shared" si="125"/>
        <v>10670.48</v>
      </c>
      <c r="P399" s="93"/>
      <c r="Q399" s="52">
        <f>O399+P399</f>
        <v>10670.48</v>
      </c>
    </row>
    <row r="400" spans="1:17" ht="12.75" hidden="1">
      <c r="A400" s="17" t="s">
        <v>63</v>
      </c>
      <c r="B400" s="65"/>
      <c r="C400" s="134"/>
      <c r="D400" s="99"/>
      <c r="E400" s="99"/>
      <c r="F400" s="89">
        <f t="shared" si="122"/>
        <v>0</v>
      </c>
      <c r="G400" s="169"/>
      <c r="H400" s="210"/>
      <c r="I400" s="230">
        <f t="shared" si="123"/>
        <v>0</v>
      </c>
      <c r="J400" s="169"/>
      <c r="K400" s="249"/>
      <c r="L400" s="248">
        <f t="shared" si="124"/>
        <v>0</v>
      </c>
      <c r="M400" s="292"/>
      <c r="N400" s="249"/>
      <c r="O400" s="248">
        <f t="shared" si="125"/>
        <v>0</v>
      </c>
      <c r="P400" s="93"/>
      <c r="Q400" s="52">
        <f>O400+P400</f>
        <v>0</v>
      </c>
    </row>
    <row r="401" spans="1:17" ht="12.75">
      <c r="A401" s="17" t="s">
        <v>264</v>
      </c>
      <c r="B401" s="65">
        <v>13013</v>
      </c>
      <c r="C401" s="134"/>
      <c r="D401" s="99"/>
      <c r="E401" s="99"/>
      <c r="F401" s="89">
        <f t="shared" si="122"/>
        <v>0</v>
      </c>
      <c r="G401" s="169">
        <f>1664.94+1323.92</f>
        <v>2988.86</v>
      </c>
      <c r="H401" s="210"/>
      <c r="I401" s="230">
        <f t="shared" si="123"/>
        <v>2988.86</v>
      </c>
      <c r="J401" s="169"/>
      <c r="K401" s="249"/>
      <c r="L401" s="248">
        <f t="shared" si="124"/>
        <v>2988.86</v>
      </c>
      <c r="M401" s="292"/>
      <c r="N401" s="249"/>
      <c r="O401" s="248">
        <f t="shared" si="125"/>
        <v>2988.86</v>
      </c>
      <c r="P401" s="93"/>
      <c r="Q401" s="52"/>
    </row>
    <row r="402" spans="1:17" ht="12.75" hidden="1">
      <c r="A402" s="66" t="s">
        <v>303</v>
      </c>
      <c r="B402" s="65">
        <v>2043</v>
      </c>
      <c r="C402" s="134"/>
      <c r="D402" s="99"/>
      <c r="E402" s="99"/>
      <c r="F402" s="89">
        <f t="shared" si="122"/>
        <v>0</v>
      </c>
      <c r="G402" s="169"/>
      <c r="H402" s="210"/>
      <c r="I402" s="230">
        <f t="shared" si="123"/>
        <v>0</v>
      </c>
      <c r="J402" s="169"/>
      <c r="K402" s="249"/>
      <c r="L402" s="248">
        <f t="shared" si="124"/>
        <v>0</v>
      </c>
      <c r="M402" s="292"/>
      <c r="N402" s="249"/>
      <c r="O402" s="248">
        <f t="shared" si="125"/>
        <v>0</v>
      </c>
      <c r="P402" s="93"/>
      <c r="Q402" s="52"/>
    </row>
    <row r="403" spans="1:17" ht="12.75">
      <c r="A403" s="66" t="s">
        <v>317</v>
      </c>
      <c r="B403" s="65">
        <v>2177</v>
      </c>
      <c r="C403" s="134"/>
      <c r="D403" s="99">
        <f>1910.11</f>
        <v>1910.11</v>
      </c>
      <c r="E403" s="99"/>
      <c r="F403" s="89">
        <f t="shared" si="122"/>
        <v>1910.11</v>
      </c>
      <c r="G403" s="169"/>
      <c r="H403" s="210"/>
      <c r="I403" s="230">
        <f t="shared" si="123"/>
        <v>1910.11</v>
      </c>
      <c r="J403" s="169"/>
      <c r="K403" s="249"/>
      <c r="L403" s="248">
        <f t="shared" si="124"/>
        <v>1910.11</v>
      </c>
      <c r="M403" s="292"/>
      <c r="N403" s="249"/>
      <c r="O403" s="248">
        <f t="shared" si="125"/>
        <v>1910.11</v>
      </c>
      <c r="P403" s="93"/>
      <c r="Q403" s="52"/>
    </row>
    <row r="404" spans="1:17" ht="12.75">
      <c r="A404" s="66" t="s">
        <v>332</v>
      </c>
      <c r="B404" s="65">
        <v>2177</v>
      </c>
      <c r="C404" s="134"/>
      <c r="D404" s="99"/>
      <c r="E404" s="99"/>
      <c r="F404" s="89">
        <f t="shared" si="122"/>
        <v>0</v>
      </c>
      <c r="G404" s="169">
        <f>3267.11</f>
        <v>3267.11</v>
      </c>
      <c r="H404" s="210"/>
      <c r="I404" s="230">
        <f t="shared" si="123"/>
        <v>3267.11</v>
      </c>
      <c r="J404" s="169"/>
      <c r="K404" s="249"/>
      <c r="L404" s="248">
        <f t="shared" si="124"/>
        <v>3267.11</v>
      </c>
      <c r="M404" s="292">
        <f>1893.18</f>
        <v>1893.18</v>
      </c>
      <c r="N404" s="249"/>
      <c r="O404" s="248">
        <f t="shared" si="125"/>
        <v>5160.29</v>
      </c>
      <c r="P404" s="93"/>
      <c r="Q404" s="52"/>
    </row>
    <row r="405" spans="1:17" ht="12.75">
      <c r="A405" s="66" t="s">
        <v>361</v>
      </c>
      <c r="B405" s="65"/>
      <c r="C405" s="134"/>
      <c r="D405" s="99"/>
      <c r="E405" s="99"/>
      <c r="F405" s="89"/>
      <c r="G405" s="169"/>
      <c r="H405" s="210"/>
      <c r="I405" s="230">
        <f t="shared" si="123"/>
        <v>0</v>
      </c>
      <c r="J405" s="169">
        <f>2659.8</f>
        <v>2659.8</v>
      </c>
      <c r="K405" s="249"/>
      <c r="L405" s="248">
        <f t="shared" si="124"/>
        <v>2659.8</v>
      </c>
      <c r="M405" s="292"/>
      <c r="N405" s="249"/>
      <c r="O405" s="248">
        <f t="shared" si="125"/>
        <v>2659.8</v>
      </c>
      <c r="P405" s="93"/>
      <c r="Q405" s="52"/>
    </row>
    <row r="406" spans="1:17" ht="12.75">
      <c r="A406" s="17" t="s">
        <v>301</v>
      </c>
      <c r="B406" s="65">
        <v>2050</v>
      </c>
      <c r="C406" s="134"/>
      <c r="D406" s="99">
        <f>3899.66</f>
        <v>3899.66</v>
      </c>
      <c r="E406" s="99"/>
      <c r="F406" s="89">
        <f t="shared" si="122"/>
        <v>3899.66</v>
      </c>
      <c r="G406" s="169"/>
      <c r="H406" s="210"/>
      <c r="I406" s="230">
        <f t="shared" si="123"/>
        <v>3899.66</v>
      </c>
      <c r="J406" s="169"/>
      <c r="K406" s="249"/>
      <c r="L406" s="248">
        <f t="shared" si="124"/>
        <v>3899.66</v>
      </c>
      <c r="M406" s="292"/>
      <c r="N406" s="249"/>
      <c r="O406" s="248">
        <f t="shared" si="125"/>
        <v>3899.66</v>
      </c>
      <c r="P406" s="93"/>
      <c r="Q406" s="52"/>
    </row>
    <row r="407" spans="1:17" ht="12.75">
      <c r="A407" s="17" t="s">
        <v>237</v>
      </c>
      <c r="B407" s="65">
        <v>2050</v>
      </c>
      <c r="C407" s="134"/>
      <c r="D407" s="99"/>
      <c r="E407" s="99"/>
      <c r="F407" s="89">
        <f t="shared" si="122"/>
        <v>0</v>
      </c>
      <c r="G407" s="169">
        <f>9217.43</f>
        <v>9217.43</v>
      </c>
      <c r="H407" s="210"/>
      <c r="I407" s="230">
        <f t="shared" si="123"/>
        <v>9217.43</v>
      </c>
      <c r="J407" s="169"/>
      <c r="K407" s="249"/>
      <c r="L407" s="248">
        <f t="shared" si="124"/>
        <v>9217.43</v>
      </c>
      <c r="M407" s="292"/>
      <c r="N407" s="249"/>
      <c r="O407" s="248">
        <f t="shared" si="125"/>
        <v>9217.43</v>
      </c>
      <c r="P407" s="93"/>
      <c r="Q407" s="52"/>
    </row>
    <row r="408" spans="1:17" ht="12.75">
      <c r="A408" s="17" t="s">
        <v>302</v>
      </c>
      <c r="B408" s="65">
        <v>2073</v>
      </c>
      <c r="C408" s="134"/>
      <c r="D408" s="99">
        <f>13080.16</f>
        <v>13080.16</v>
      </c>
      <c r="E408" s="99"/>
      <c r="F408" s="89">
        <f t="shared" si="122"/>
        <v>13080.16</v>
      </c>
      <c r="G408" s="169"/>
      <c r="H408" s="210"/>
      <c r="I408" s="230">
        <f t="shared" si="123"/>
        <v>13080.16</v>
      </c>
      <c r="J408" s="169"/>
      <c r="K408" s="249"/>
      <c r="L408" s="248">
        <f>I408+J408+K408</f>
        <v>13080.16</v>
      </c>
      <c r="M408" s="292"/>
      <c r="N408" s="249"/>
      <c r="O408" s="248">
        <f t="shared" si="125"/>
        <v>13080.16</v>
      </c>
      <c r="P408" s="93"/>
      <c r="Q408" s="52"/>
    </row>
    <row r="409" spans="1:17" ht="12.75">
      <c r="A409" s="17" t="s">
        <v>367</v>
      </c>
      <c r="B409" s="65"/>
      <c r="C409" s="134"/>
      <c r="D409" s="99"/>
      <c r="E409" s="99"/>
      <c r="F409" s="89"/>
      <c r="G409" s="169"/>
      <c r="H409" s="210"/>
      <c r="I409" s="230"/>
      <c r="J409" s="169"/>
      <c r="K409" s="249"/>
      <c r="L409" s="248">
        <f>I409+J409+K409</f>
        <v>0</v>
      </c>
      <c r="M409" s="292">
        <f>17216.67</f>
        <v>17216.67</v>
      </c>
      <c r="N409" s="249"/>
      <c r="O409" s="248">
        <f t="shared" si="125"/>
        <v>17216.67</v>
      </c>
      <c r="P409" s="93"/>
      <c r="Q409" s="52"/>
    </row>
    <row r="410" spans="1:17" ht="12.75">
      <c r="A410" s="17" t="s">
        <v>319</v>
      </c>
      <c r="B410" s="65">
        <v>1230</v>
      </c>
      <c r="C410" s="134"/>
      <c r="D410" s="99">
        <f>76480</f>
        <v>76480</v>
      </c>
      <c r="E410" s="99"/>
      <c r="F410" s="89">
        <f t="shared" si="122"/>
        <v>76480</v>
      </c>
      <c r="G410" s="169"/>
      <c r="H410" s="210"/>
      <c r="I410" s="230">
        <f t="shared" si="123"/>
        <v>76480</v>
      </c>
      <c r="J410" s="169"/>
      <c r="K410" s="249"/>
      <c r="L410" s="248">
        <f t="shared" si="124"/>
        <v>76480</v>
      </c>
      <c r="M410" s="292"/>
      <c r="N410" s="249"/>
      <c r="O410" s="248">
        <f t="shared" si="125"/>
        <v>76480</v>
      </c>
      <c r="P410" s="93"/>
      <c r="Q410" s="52"/>
    </row>
    <row r="411" spans="1:17" ht="12.75">
      <c r="A411" s="26" t="s">
        <v>318</v>
      </c>
      <c r="B411" s="65">
        <v>2080</v>
      </c>
      <c r="C411" s="134"/>
      <c r="D411" s="99">
        <f>6437.87</f>
        <v>6437.87</v>
      </c>
      <c r="E411" s="99"/>
      <c r="F411" s="89">
        <f t="shared" si="122"/>
        <v>6437.87</v>
      </c>
      <c r="G411" s="169"/>
      <c r="H411" s="210"/>
      <c r="I411" s="230">
        <f t="shared" si="123"/>
        <v>6437.87</v>
      </c>
      <c r="J411" s="169"/>
      <c r="K411" s="249"/>
      <c r="L411" s="248">
        <f t="shared" si="124"/>
        <v>6437.87</v>
      </c>
      <c r="M411" s="292"/>
      <c r="N411" s="249"/>
      <c r="O411" s="248">
        <f t="shared" si="125"/>
        <v>6437.87</v>
      </c>
      <c r="P411" s="93"/>
      <c r="Q411" s="52"/>
    </row>
    <row r="412" spans="1:17" ht="12.75">
      <c r="A412" s="17" t="s">
        <v>374</v>
      </c>
      <c r="B412" s="65"/>
      <c r="C412" s="134"/>
      <c r="D412" s="99"/>
      <c r="E412" s="99"/>
      <c r="F412" s="89"/>
      <c r="G412" s="169"/>
      <c r="H412" s="210"/>
      <c r="I412" s="230"/>
      <c r="J412" s="169"/>
      <c r="K412" s="249"/>
      <c r="L412" s="248">
        <f t="shared" si="124"/>
        <v>0</v>
      </c>
      <c r="M412" s="292">
        <f>1202.64</f>
        <v>1202.64</v>
      </c>
      <c r="N412" s="249"/>
      <c r="O412" s="248">
        <f t="shared" si="125"/>
        <v>1202.64</v>
      </c>
      <c r="P412" s="93"/>
      <c r="Q412" s="52"/>
    </row>
    <row r="413" spans="1:17" ht="12.75">
      <c r="A413" s="26" t="s">
        <v>335</v>
      </c>
      <c r="B413" s="65">
        <v>1233</v>
      </c>
      <c r="C413" s="134"/>
      <c r="D413" s="99"/>
      <c r="E413" s="99"/>
      <c r="F413" s="89">
        <f t="shared" si="122"/>
        <v>0</v>
      </c>
      <c r="G413" s="169">
        <f>15728.88</f>
        <v>15728.88</v>
      </c>
      <c r="H413" s="210"/>
      <c r="I413" s="230">
        <f t="shared" si="123"/>
        <v>15728.88</v>
      </c>
      <c r="J413" s="169"/>
      <c r="K413" s="249"/>
      <c r="L413" s="248">
        <f t="shared" si="124"/>
        <v>15728.88</v>
      </c>
      <c r="M413" s="292"/>
      <c r="N413" s="249"/>
      <c r="O413" s="248">
        <f t="shared" si="125"/>
        <v>15728.88</v>
      </c>
      <c r="P413" s="93"/>
      <c r="Q413" s="52"/>
    </row>
    <row r="414" spans="1:17" ht="12.75">
      <c r="A414" s="26" t="s">
        <v>200</v>
      </c>
      <c r="B414" s="65">
        <v>13305</v>
      </c>
      <c r="C414" s="134"/>
      <c r="D414" s="99">
        <f>960818.68</f>
        <v>960818.68</v>
      </c>
      <c r="E414" s="99"/>
      <c r="F414" s="89">
        <f t="shared" si="122"/>
        <v>960818.68</v>
      </c>
      <c r="G414" s="169"/>
      <c r="H414" s="210"/>
      <c r="I414" s="230">
        <f t="shared" si="123"/>
        <v>960818.68</v>
      </c>
      <c r="J414" s="169"/>
      <c r="K414" s="249"/>
      <c r="L414" s="248">
        <f t="shared" si="124"/>
        <v>960818.68</v>
      </c>
      <c r="M414" s="292"/>
      <c r="N414" s="249"/>
      <c r="O414" s="248">
        <f t="shared" si="125"/>
        <v>960818.68</v>
      </c>
      <c r="P414" s="93"/>
      <c r="Q414" s="52"/>
    </row>
    <row r="415" spans="1:17" ht="12.75">
      <c r="A415" s="26" t="s">
        <v>349</v>
      </c>
      <c r="B415" s="65">
        <v>13351</v>
      </c>
      <c r="C415" s="134"/>
      <c r="D415" s="99"/>
      <c r="E415" s="99"/>
      <c r="F415" s="89"/>
      <c r="G415" s="169"/>
      <c r="H415" s="210"/>
      <c r="I415" s="230">
        <f t="shared" si="123"/>
        <v>0</v>
      </c>
      <c r="J415" s="169">
        <f>43228.66</f>
        <v>43228.66</v>
      </c>
      <c r="K415" s="249"/>
      <c r="L415" s="248">
        <f t="shared" si="124"/>
        <v>43228.66</v>
      </c>
      <c r="M415" s="292">
        <f>8535.92</f>
        <v>8535.92</v>
      </c>
      <c r="N415" s="249"/>
      <c r="O415" s="248">
        <f t="shared" si="125"/>
        <v>51764.58</v>
      </c>
      <c r="P415" s="93"/>
      <c r="Q415" s="52"/>
    </row>
    <row r="416" spans="1:17" ht="12.75">
      <c r="A416" s="26" t="s">
        <v>379</v>
      </c>
      <c r="B416" s="65">
        <v>13351</v>
      </c>
      <c r="C416" s="134"/>
      <c r="D416" s="99"/>
      <c r="E416" s="99"/>
      <c r="F416" s="89"/>
      <c r="G416" s="169"/>
      <c r="H416" s="210"/>
      <c r="I416" s="230"/>
      <c r="J416" s="169"/>
      <c r="K416" s="249"/>
      <c r="L416" s="248">
        <f t="shared" si="124"/>
        <v>0</v>
      </c>
      <c r="M416" s="292">
        <f>31074.05</f>
        <v>31074.05</v>
      </c>
      <c r="N416" s="249"/>
      <c r="O416" s="248">
        <f t="shared" si="125"/>
        <v>31074.05</v>
      </c>
      <c r="P416" s="93"/>
      <c r="Q416" s="52"/>
    </row>
    <row r="417" spans="1:17" ht="12.75">
      <c r="A417" s="17" t="s">
        <v>92</v>
      </c>
      <c r="B417" s="65">
        <v>13307</v>
      </c>
      <c r="C417" s="134"/>
      <c r="D417" s="99">
        <f>7000</f>
        <v>7000</v>
      </c>
      <c r="E417" s="99"/>
      <c r="F417" s="89">
        <f t="shared" si="122"/>
        <v>7000</v>
      </c>
      <c r="G417" s="169"/>
      <c r="H417" s="210"/>
      <c r="I417" s="230">
        <f t="shared" si="123"/>
        <v>7000</v>
      </c>
      <c r="J417" s="169"/>
      <c r="K417" s="249"/>
      <c r="L417" s="248">
        <f t="shared" si="124"/>
        <v>7000</v>
      </c>
      <c r="M417" s="292">
        <f>1300</f>
        <v>1300</v>
      </c>
      <c r="N417" s="249"/>
      <c r="O417" s="248">
        <f t="shared" si="125"/>
        <v>8300</v>
      </c>
      <c r="P417" s="93"/>
      <c r="Q417" s="52">
        <f>O417+P417</f>
        <v>8300</v>
      </c>
    </row>
    <row r="418" spans="1:17" ht="12.75">
      <c r="A418" s="26" t="s">
        <v>370</v>
      </c>
      <c r="B418" s="65">
        <v>35442</v>
      </c>
      <c r="C418" s="134"/>
      <c r="D418" s="99"/>
      <c r="E418" s="99"/>
      <c r="F418" s="89"/>
      <c r="G418" s="169"/>
      <c r="H418" s="210"/>
      <c r="I418" s="230"/>
      <c r="J418" s="169"/>
      <c r="K418" s="249"/>
      <c r="L418" s="248">
        <f t="shared" si="124"/>
        <v>0</v>
      </c>
      <c r="M418" s="292">
        <f>7655.95</f>
        <v>7655.95</v>
      </c>
      <c r="N418" s="249"/>
      <c r="O418" s="248">
        <f t="shared" si="125"/>
        <v>7655.95</v>
      </c>
      <c r="P418" s="93"/>
      <c r="Q418" s="52"/>
    </row>
    <row r="419" spans="1:17" ht="12.75" hidden="1">
      <c r="A419" s="17" t="s">
        <v>142</v>
      </c>
      <c r="B419" s="65">
        <v>14032</v>
      </c>
      <c r="C419" s="134"/>
      <c r="D419" s="99"/>
      <c r="E419" s="99"/>
      <c r="F419" s="89">
        <f t="shared" si="122"/>
        <v>0</v>
      </c>
      <c r="G419" s="169"/>
      <c r="H419" s="210"/>
      <c r="I419" s="230">
        <f t="shared" si="123"/>
        <v>0</v>
      </c>
      <c r="J419" s="169"/>
      <c r="K419" s="249"/>
      <c r="L419" s="248">
        <f t="shared" si="124"/>
        <v>0</v>
      </c>
      <c r="M419" s="292"/>
      <c r="N419" s="249"/>
      <c r="O419" s="248">
        <f t="shared" si="125"/>
        <v>0</v>
      </c>
      <c r="P419" s="93"/>
      <c r="Q419" s="52">
        <f>O419+P419</f>
        <v>0</v>
      </c>
    </row>
    <row r="420" spans="1:17" ht="12.75" hidden="1">
      <c r="A420" s="26" t="s">
        <v>149</v>
      </c>
      <c r="B420" s="65">
        <v>4359</v>
      </c>
      <c r="C420" s="134"/>
      <c r="D420" s="99"/>
      <c r="E420" s="99"/>
      <c r="F420" s="89">
        <f t="shared" si="122"/>
        <v>0</v>
      </c>
      <c r="G420" s="169"/>
      <c r="H420" s="210"/>
      <c r="I420" s="230">
        <f t="shared" si="123"/>
        <v>0</v>
      </c>
      <c r="J420" s="169"/>
      <c r="K420" s="249"/>
      <c r="L420" s="248">
        <f t="shared" si="124"/>
        <v>0</v>
      </c>
      <c r="M420" s="292"/>
      <c r="N420" s="249"/>
      <c r="O420" s="248">
        <f t="shared" si="125"/>
        <v>0</v>
      </c>
      <c r="P420" s="93"/>
      <c r="Q420" s="52">
        <f>O420+P420</f>
        <v>0</v>
      </c>
    </row>
    <row r="421" spans="1:17" ht="12.75">
      <c r="A421" s="66" t="s">
        <v>355</v>
      </c>
      <c r="B421" s="65"/>
      <c r="C421" s="134"/>
      <c r="D421" s="99">
        <f>1075.62</f>
        <v>1075.62</v>
      </c>
      <c r="E421" s="99"/>
      <c r="F421" s="89">
        <f t="shared" si="122"/>
        <v>1075.62</v>
      </c>
      <c r="G421" s="169"/>
      <c r="H421" s="210"/>
      <c r="I421" s="230">
        <f t="shared" si="123"/>
        <v>1075.62</v>
      </c>
      <c r="J421" s="169"/>
      <c r="K421" s="249"/>
      <c r="L421" s="248">
        <f t="shared" si="124"/>
        <v>1075.62</v>
      </c>
      <c r="M421" s="292">
        <f>-591.39</f>
        <v>-591.39</v>
      </c>
      <c r="N421" s="249"/>
      <c r="O421" s="248">
        <f t="shared" si="125"/>
        <v>484.2299999999999</v>
      </c>
      <c r="P421" s="93"/>
      <c r="Q421" s="52"/>
    </row>
    <row r="422" spans="1:17" ht="12.75">
      <c r="A422" s="17" t="s">
        <v>75</v>
      </c>
      <c r="B422" s="65"/>
      <c r="C422" s="134">
        <v>500</v>
      </c>
      <c r="D422" s="99">
        <f>6743.14+1048.53+269.31+1018.04+3110.79+1558.8+1500</f>
        <v>15248.61</v>
      </c>
      <c r="E422" s="99"/>
      <c r="F422" s="89">
        <f t="shared" si="122"/>
        <v>15748.61</v>
      </c>
      <c r="G422" s="169">
        <f>25</f>
        <v>25</v>
      </c>
      <c r="H422" s="210"/>
      <c r="I422" s="230">
        <f t="shared" si="123"/>
        <v>15773.61</v>
      </c>
      <c r="J422" s="169">
        <f>5500+8000</f>
        <v>13500</v>
      </c>
      <c r="K422" s="249"/>
      <c r="L422" s="248">
        <f>I422+J422+K422</f>
        <v>29273.61</v>
      </c>
      <c r="M422" s="292"/>
      <c r="N422" s="249"/>
      <c r="O422" s="248">
        <f t="shared" si="125"/>
        <v>29273.61</v>
      </c>
      <c r="P422" s="93"/>
      <c r="Q422" s="52">
        <f>O422+P422</f>
        <v>29273.61</v>
      </c>
    </row>
    <row r="423" spans="1:17" ht="12.75">
      <c r="A423" s="23" t="s">
        <v>52</v>
      </c>
      <c r="B423" s="69"/>
      <c r="C423" s="137">
        <f>SUM(C425:C427)</f>
        <v>0</v>
      </c>
      <c r="D423" s="102">
        <f aca="true" t="shared" si="126" ref="D423:Q423">SUM(D425:D427)</f>
        <v>0</v>
      </c>
      <c r="E423" s="102">
        <f t="shared" si="126"/>
        <v>0</v>
      </c>
      <c r="F423" s="120">
        <f t="shared" si="126"/>
        <v>0</v>
      </c>
      <c r="G423" s="171">
        <f t="shared" si="126"/>
        <v>185.35</v>
      </c>
      <c r="H423" s="214">
        <f t="shared" si="126"/>
        <v>0</v>
      </c>
      <c r="I423" s="233">
        <f t="shared" si="126"/>
        <v>185.35</v>
      </c>
      <c r="J423" s="171">
        <f t="shared" si="126"/>
        <v>2200</v>
      </c>
      <c r="K423" s="254">
        <f t="shared" si="126"/>
        <v>0</v>
      </c>
      <c r="L423" s="255">
        <f t="shared" si="126"/>
        <v>2385.35</v>
      </c>
      <c r="M423" s="315">
        <f t="shared" si="126"/>
        <v>0</v>
      </c>
      <c r="N423" s="254">
        <f t="shared" si="126"/>
        <v>0</v>
      </c>
      <c r="O423" s="255">
        <f t="shared" si="126"/>
        <v>2385.35</v>
      </c>
      <c r="P423" s="102">
        <f t="shared" si="126"/>
        <v>0</v>
      </c>
      <c r="Q423" s="137">
        <f t="shared" si="126"/>
        <v>2385.35</v>
      </c>
    </row>
    <row r="424" spans="1:17" ht="12.75">
      <c r="A424" s="19" t="s">
        <v>26</v>
      </c>
      <c r="B424" s="65"/>
      <c r="C424" s="134"/>
      <c r="D424" s="99"/>
      <c r="E424" s="99"/>
      <c r="F424" s="89"/>
      <c r="G424" s="169"/>
      <c r="H424" s="210"/>
      <c r="I424" s="230"/>
      <c r="J424" s="169"/>
      <c r="K424" s="249"/>
      <c r="L424" s="248"/>
      <c r="M424" s="292"/>
      <c r="N424" s="249"/>
      <c r="O424" s="248"/>
      <c r="P424" s="93"/>
      <c r="Q424" s="52"/>
    </row>
    <row r="425" spans="1:17" ht="12.75" hidden="1">
      <c r="A425" s="17" t="s">
        <v>83</v>
      </c>
      <c r="B425" s="65"/>
      <c r="C425" s="134"/>
      <c r="D425" s="99"/>
      <c r="E425" s="99"/>
      <c r="F425" s="89">
        <f>C425+D425+E425</f>
        <v>0</v>
      </c>
      <c r="G425" s="169"/>
      <c r="H425" s="210"/>
      <c r="I425" s="230">
        <f>F425+G425+H425</f>
        <v>0</v>
      </c>
      <c r="J425" s="169"/>
      <c r="K425" s="249"/>
      <c r="L425" s="248">
        <f>I425+J425+K425</f>
        <v>0</v>
      </c>
      <c r="M425" s="292"/>
      <c r="N425" s="249"/>
      <c r="O425" s="248">
        <f>L425+M425+N425</f>
        <v>0</v>
      </c>
      <c r="P425" s="93"/>
      <c r="Q425" s="52">
        <f>O425+P425</f>
        <v>0</v>
      </c>
    </row>
    <row r="426" spans="1:17" ht="12.75">
      <c r="A426" s="20" t="s">
        <v>53</v>
      </c>
      <c r="B426" s="68"/>
      <c r="C426" s="195"/>
      <c r="D426" s="148"/>
      <c r="E426" s="148"/>
      <c r="F426" s="159">
        <f>C426+D426+E426</f>
        <v>0</v>
      </c>
      <c r="G426" s="174">
        <f>185.35</f>
        <v>185.35</v>
      </c>
      <c r="H426" s="216"/>
      <c r="I426" s="235">
        <f>F426+G426+H426</f>
        <v>185.35</v>
      </c>
      <c r="J426" s="174">
        <f>2200</f>
        <v>2200</v>
      </c>
      <c r="K426" s="258"/>
      <c r="L426" s="259">
        <f>I426+J426+K426</f>
        <v>2385.35</v>
      </c>
      <c r="M426" s="302"/>
      <c r="N426" s="258"/>
      <c r="O426" s="259">
        <f>L426+M426+N426</f>
        <v>2385.35</v>
      </c>
      <c r="P426" s="93"/>
      <c r="Q426" s="52">
        <f>O426+P426</f>
        <v>2385.35</v>
      </c>
    </row>
    <row r="427" spans="1:17" ht="12.75" hidden="1">
      <c r="A427" s="20" t="s">
        <v>75</v>
      </c>
      <c r="B427" s="68"/>
      <c r="C427" s="195"/>
      <c r="D427" s="148"/>
      <c r="E427" s="148"/>
      <c r="F427" s="159">
        <f>C427+D427+E427</f>
        <v>0</v>
      </c>
      <c r="G427" s="174"/>
      <c r="H427" s="216"/>
      <c r="I427" s="235">
        <f>F427+G427+H427</f>
        <v>0</v>
      </c>
      <c r="J427" s="169"/>
      <c r="K427" s="249"/>
      <c r="L427" s="248">
        <f>I427+J427+K427</f>
        <v>0</v>
      </c>
      <c r="M427" s="292"/>
      <c r="N427" s="249"/>
      <c r="O427" s="248">
        <f>L427+M427+N427</f>
        <v>0</v>
      </c>
      <c r="P427" s="93"/>
      <c r="Q427" s="52">
        <f>O427+P427</f>
        <v>0</v>
      </c>
    </row>
    <row r="428" spans="1:17" ht="12.75">
      <c r="A428" s="18" t="s">
        <v>178</v>
      </c>
      <c r="B428" s="69"/>
      <c r="C428" s="133">
        <f>C429+C444</f>
        <v>10486.07</v>
      </c>
      <c r="D428" s="86">
        <f aca="true" t="shared" si="127" ref="D428:Q428">D429+D444</f>
        <v>18845.8</v>
      </c>
      <c r="E428" s="86">
        <f t="shared" si="127"/>
        <v>0</v>
      </c>
      <c r="F428" s="94">
        <f t="shared" si="127"/>
        <v>29331.87</v>
      </c>
      <c r="G428" s="168">
        <f t="shared" si="127"/>
        <v>4007.84</v>
      </c>
      <c r="H428" s="209">
        <f t="shared" si="127"/>
        <v>-2709.58</v>
      </c>
      <c r="I428" s="229">
        <f t="shared" si="127"/>
        <v>30630.13</v>
      </c>
      <c r="J428" s="168">
        <f t="shared" si="127"/>
        <v>953.5</v>
      </c>
      <c r="K428" s="246">
        <f t="shared" si="127"/>
        <v>830.52</v>
      </c>
      <c r="L428" s="247">
        <f t="shared" si="127"/>
        <v>32414.15</v>
      </c>
      <c r="M428" s="309">
        <f>M429+M444</f>
        <v>7.099999999999909</v>
      </c>
      <c r="N428" s="246">
        <f>N429+N444</f>
        <v>0</v>
      </c>
      <c r="O428" s="247">
        <f>O429+O444</f>
        <v>32421.25</v>
      </c>
      <c r="P428" s="86">
        <f t="shared" si="127"/>
        <v>0</v>
      </c>
      <c r="Q428" s="133">
        <f t="shared" si="127"/>
        <v>25036</v>
      </c>
    </row>
    <row r="429" spans="1:17" ht="12.75">
      <c r="A429" s="23" t="s">
        <v>48</v>
      </c>
      <c r="B429" s="69"/>
      <c r="C429" s="137">
        <f>SUM(C431:C443)</f>
        <v>8486.07</v>
      </c>
      <c r="D429" s="102">
        <f aca="true" t="shared" si="128" ref="D429:Q429">SUM(D431:D443)</f>
        <v>18845.8</v>
      </c>
      <c r="E429" s="102">
        <f t="shared" si="128"/>
        <v>0</v>
      </c>
      <c r="F429" s="120">
        <f t="shared" si="128"/>
        <v>27331.87</v>
      </c>
      <c r="G429" s="171">
        <f t="shared" si="128"/>
        <v>4007.84</v>
      </c>
      <c r="H429" s="214">
        <f t="shared" si="128"/>
        <v>-709.58</v>
      </c>
      <c r="I429" s="233">
        <f t="shared" si="128"/>
        <v>30630.13</v>
      </c>
      <c r="J429" s="171">
        <f t="shared" si="128"/>
        <v>953.5</v>
      </c>
      <c r="K429" s="254">
        <f t="shared" si="128"/>
        <v>0</v>
      </c>
      <c r="L429" s="255">
        <f t="shared" si="128"/>
        <v>31583.63</v>
      </c>
      <c r="M429" s="315">
        <f>SUM(M431:M443)</f>
        <v>7.099999999999909</v>
      </c>
      <c r="N429" s="254">
        <f>SUM(N431:N443)</f>
        <v>0</v>
      </c>
      <c r="O429" s="255">
        <f>SUM(O431:O443)</f>
        <v>31590.73</v>
      </c>
      <c r="P429" s="102">
        <f t="shared" si="128"/>
        <v>0</v>
      </c>
      <c r="Q429" s="137">
        <f t="shared" si="128"/>
        <v>25036</v>
      </c>
    </row>
    <row r="430" spans="1:17" ht="12.75">
      <c r="A430" s="19" t="s">
        <v>26</v>
      </c>
      <c r="B430" s="65"/>
      <c r="C430" s="134"/>
      <c r="D430" s="99"/>
      <c r="E430" s="99"/>
      <c r="F430" s="94"/>
      <c r="G430" s="169"/>
      <c r="H430" s="210"/>
      <c r="I430" s="229"/>
      <c r="J430" s="169"/>
      <c r="K430" s="249"/>
      <c r="L430" s="247"/>
      <c r="M430" s="292"/>
      <c r="N430" s="249"/>
      <c r="O430" s="247"/>
      <c r="P430" s="93"/>
      <c r="Q430" s="52"/>
    </row>
    <row r="431" spans="1:17" ht="12.75">
      <c r="A431" s="17" t="s">
        <v>50</v>
      </c>
      <c r="B431" s="65"/>
      <c r="C431" s="134">
        <v>8486.07</v>
      </c>
      <c r="D431" s="99">
        <f>3643+9200</f>
        <v>12843</v>
      </c>
      <c r="E431" s="99"/>
      <c r="F431" s="89">
        <f aca="true" t="shared" si="129" ref="F431:F443">C431+D431+E431</f>
        <v>21329.07</v>
      </c>
      <c r="G431" s="169">
        <f>241.62+484.9+819.31</f>
        <v>1545.83</v>
      </c>
      <c r="H431" s="210">
        <f>-1250</f>
        <v>-1250</v>
      </c>
      <c r="I431" s="230">
        <f>F431+G431+H431</f>
        <v>21624.9</v>
      </c>
      <c r="J431" s="169">
        <f>200+53.5</f>
        <v>253.5</v>
      </c>
      <c r="K431" s="249"/>
      <c r="L431" s="248">
        <f>I431+J431+K431</f>
        <v>21878.4</v>
      </c>
      <c r="M431" s="292">
        <f>76-1000</f>
        <v>-924</v>
      </c>
      <c r="N431" s="249"/>
      <c r="O431" s="248">
        <f>L431+M431+N431</f>
        <v>20954.4</v>
      </c>
      <c r="P431" s="93"/>
      <c r="Q431" s="52">
        <f>O431+P431</f>
        <v>20954.4</v>
      </c>
    </row>
    <row r="432" spans="1:17" ht="12.75" hidden="1">
      <c r="A432" s="21" t="s">
        <v>202</v>
      </c>
      <c r="B432" s="65"/>
      <c r="C432" s="134"/>
      <c r="D432" s="99"/>
      <c r="E432" s="99"/>
      <c r="F432" s="89">
        <f t="shared" si="129"/>
        <v>0</v>
      </c>
      <c r="G432" s="169"/>
      <c r="H432" s="210"/>
      <c r="I432" s="230">
        <f aca="true" t="shared" si="130" ref="I432:I443">F432+G432+H432</f>
        <v>0</v>
      </c>
      <c r="J432" s="169"/>
      <c r="K432" s="249"/>
      <c r="L432" s="248">
        <f aca="true" t="shared" si="131" ref="L432:L443">I432+J432+K432</f>
        <v>0</v>
      </c>
      <c r="M432" s="292"/>
      <c r="N432" s="249"/>
      <c r="O432" s="248">
        <f aca="true" t="shared" si="132" ref="O432:O443">L432+M432+N432</f>
        <v>0</v>
      </c>
      <c r="P432" s="93"/>
      <c r="Q432" s="52">
        <f>O432+P432</f>
        <v>0</v>
      </c>
    </row>
    <row r="433" spans="1:17" ht="12.75" hidden="1">
      <c r="A433" s="21" t="s">
        <v>203</v>
      </c>
      <c r="B433" s="65"/>
      <c r="C433" s="134"/>
      <c r="D433" s="99"/>
      <c r="E433" s="99"/>
      <c r="F433" s="89">
        <f t="shared" si="129"/>
        <v>0</v>
      </c>
      <c r="G433" s="169"/>
      <c r="H433" s="210"/>
      <c r="I433" s="230">
        <f t="shared" si="130"/>
        <v>0</v>
      </c>
      <c r="J433" s="169"/>
      <c r="K433" s="249"/>
      <c r="L433" s="248">
        <f t="shared" si="131"/>
        <v>0</v>
      </c>
      <c r="M433" s="292"/>
      <c r="N433" s="249"/>
      <c r="O433" s="248">
        <f t="shared" si="132"/>
        <v>0</v>
      </c>
      <c r="P433" s="93"/>
      <c r="Q433" s="52"/>
    </row>
    <row r="434" spans="1:17" ht="12.75" hidden="1">
      <c r="A434" s="21" t="s">
        <v>206</v>
      </c>
      <c r="B434" s="65">
        <v>1400</v>
      </c>
      <c r="C434" s="134"/>
      <c r="D434" s="150"/>
      <c r="E434" s="99"/>
      <c r="F434" s="89">
        <f t="shared" si="129"/>
        <v>0</v>
      </c>
      <c r="G434" s="169"/>
      <c r="H434" s="210"/>
      <c r="I434" s="230">
        <f t="shared" si="130"/>
        <v>0</v>
      </c>
      <c r="J434" s="169"/>
      <c r="K434" s="249"/>
      <c r="L434" s="248">
        <f t="shared" si="131"/>
        <v>0</v>
      </c>
      <c r="M434" s="292"/>
      <c r="N434" s="249"/>
      <c r="O434" s="248">
        <f t="shared" si="132"/>
        <v>0</v>
      </c>
      <c r="P434" s="93"/>
      <c r="Q434" s="52"/>
    </row>
    <row r="435" spans="1:17" ht="12.75">
      <c r="A435" s="17" t="s">
        <v>75</v>
      </c>
      <c r="B435" s="65"/>
      <c r="C435" s="134"/>
      <c r="D435" s="151">
        <f>400+2441.18+241.62</f>
        <v>3082.7999999999997</v>
      </c>
      <c r="E435" s="99"/>
      <c r="F435" s="89">
        <f t="shared" si="129"/>
        <v>3082.7999999999997</v>
      </c>
      <c r="G435" s="169">
        <f>-241.62</f>
        <v>-241.62</v>
      </c>
      <c r="H435" s="210">
        <f>540.42</f>
        <v>540.42</v>
      </c>
      <c r="I435" s="230">
        <f t="shared" si="130"/>
        <v>3381.6</v>
      </c>
      <c r="J435" s="169">
        <f>700</f>
        <v>700</v>
      </c>
      <c r="K435" s="249"/>
      <c r="L435" s="248">
        <f t="shared" si="131"/>
        <v>4081.6</v>
      </c>
      <c r="M435" s="292"/>
      <c r="N435" s="249"/>
      <c r="O435" s="248">
        <f t="shared" si="132"/>
        <v>4081.6</v>
      </c>
      <c r="P435" s="93"/>
      <c r="Q435" s="52">
        <f>O435+P435</f>
        <v>4081.6</v>
      </c>
    </row>
    <row r="436" spans="1:17" ht="12.75" hidden="1">
      <c r="A436" s="17" t="s">
        <v>63</v>
      </c>
      <c r="B436" s="65"/>
      <c r="C436" s="134"/>
      <c r="D436" s="99"/>
      <c r="E436" s="99"/>
      <c r="F436" s="89">
        <f t="shared" si="129"/>
        <v>0</v>
      </c>
      <c r="G436" s="169"/>
      <c r="H436" s="210"/>
      <c r="I436" s="230">
        <f t="shared" si="130"/>
        <v>0</v>
      </c>
      <c r="J436" s="175"/>
      <c r="K436" s="249"/>
      <c r="L436" s="248">
        <f t="shared" si="131"/>
        <v>0</v>
      </c>
      <c r="M436" s="292"/>
      <c r="N436" s="249"/>
      <c r="O436" s="248">
        <f t="shared" si="132"/>
        <v>0</v>
      </c>
      <c r="P436" s="93"/>
      <c r="Q436" s="52">
        <f>O436+P436</f>
        <v>0</v>
      </c>
    </row>
    <row r="437" spans="1:17" ht="12.75" hidden="1">
      <c r="A437" s="17" t="s">
        <v>156</v>
      </c>
      <c r="B437" s="65"/>
      <c r="C437" s="134"/>
      <c r="D437" s="99"/>
      <c r="E437" s="99"/>
      <c r="F437" s="89">
        <f t="shared" si="129"/>
        <v>0</v>
      </c>
      <c r="G437" s="169"/>
      <c r="H437" s="210"/>
      <c r="I437" s="230">
        <f t="shared" si="130"/>
        <v>0</v>
      </c>
      <c r="J437" s="175"/>
      <c r="K437" s="249"/>
      <c r="L437" s="248">
        <f t="shared" si="131"/>
        <v>0</v>
      </c>
      <c r="M437" s="292"/>
      <c r="N437" s="249"/>
      <c r="O437" s="248">
        <f t="shared" si="132"/>
        <v>0</v>
      </c>
      <c r="P437" s="93"/>
      <c r="Q437" s="52">
        <f>O437+P437</f>
        <v>0</v>
      </c>
    </row>
    <row r="438" spans="1:17" ht="12.75">
      <c r="A438" s="26" t="s">
        <v>341</v>
      </c>
      <c r="B438" s="65">
        <v>27009</v>
      </c>
      <c r="C438" s="134"/>
      <c r="D438" s="99"/>
      <c r="E438" s="99"/>
      <c r="F438" s="89">
        <f t="shared" si="129"/>
        <v>0</v>
      </c>
      <c r="G438" s="169">
        <f>1560</f>
        <v>1560</v>
      </c>
      <c r="H438" s="210"/>
      <c r="I438" s="230">
        <f t="shared" si="130"/>
        <v>1560</v>
      </c>
      <c r="J438" s="175"/>
      <c r="K438" s="249"/>
      <c r="L438" s="248">
        <f t="shared" si="131"/>
        <v>1560</v>
      </c>
      <c r="M438" s="292">
        <f>-40.7</f>
        <v>-40.7</v>
      </c>
      <c r="N438" s="249"/>
      <c r="O438" s="248">
        <f t="shared" si="132"/>
        <v>1519.3</v>
      </c>
      <c r="P438" s="93"/>
      <c r="Q438" s="52"/>
    </row>
    <row r="439" spans="1:17" ht="12.75">
      <c r="A439" s="17" t="s">
        <v>308</v>
      </c>
      <c r="B439" s="65">
        <v>14034</v>
      </c>
      <c r="C439" s="134"/>
      <c r="D439" s="99">
        <f>1645+1275</f>
        <v>2920</v>
      </c>
      <c r="E439" s="99"/>
      <c r="F439" s="89">
        <f t="shared" si="129"/>
        <v>2920</v>
      </c>
      <c r="G439" s="169"/>
      <c r="H439" s="210"/>
      <c r="I439" s="230">
        <f t="shared" si="130"/>
        <v>2920</v>
      </c>
      <c r="J439" s="175"/>
      <c r="K439" s="249"/>
      <c r="L439" s="248">
        <f t="shared" si="131"/>
        <v>2920</v>
      </c>
      <c r="M439" s="292"/>
      <c r="N439" s="249"/>
      <c r="O439" s="248">
        <f t="shared" si="132"/>
        <v>2920</v>
      </c>
      <c r="P439" s="93"/>
      <c r="Q439" s="52"/>
    </row>
    <row r="440" spans="1:17" ht="12.75">
      <c r="A440" s="17" t="s">
        <v>254</v>
      </c>
      <c r="B440" s="65">
        <v>98035</v>
      </c>
      <c r="C440" s="134"/>
      <c r="D440" s="99"/>
      <c r="E440" s="99"/>
      <c r="F440" s="89">
        <f t="shared" si="129"/>
        <v>0</v>
      </c>
      <c r="G440" s="169">
        <f>150</f>
        <v>150</v>
      </c>
      <c r="H440" s="210"/>
      <c r="I440" s="230">
        <f t="shared" si="130"/>
        <v>150</v>
      </c>
      <c r="J440" s="175"/>
      <c r="K440" s="249"/>
      <c r="L440" s="248">
        <f t="shared" si="131"/>
        <v>150</v>
      </c>
      <c r="M440" s="292"/>
      <c r="N440" s="249"/>
      <c r="O440" s="248">
        <f t="shared" si="132"/>
        <v>150</v>
      </c>
      <c r="P440" s="93"/>
      <c r="Q440" s="52"/>
    </row>
    <row r="441" spans="1:17" ht="12.75">
      <c r="A441" s="17" t="s">
        <v>337</v>
      </c>
      <c r="B441" s="98" t="s">
        <v>232</v>
      </c>
      <c r="C441" s="134"/>
      <c r="D441" s="99"/>
      <c r="E441" s="99"/>
      <c r="F441" s="89">
        <f t="shared" si="129"/>
        <v>0</v>
      </c>
      <c r="G441" s="169">
        <f>993.63</f>
        <v>993.63</v>
      </c>
      <c r="H441" s="210"/>
      <c r="I441" s="230">
        <f t="shared" si="130"/>
        <v>993.63</v>
      </c>
      <c r="J441" s="175"/>
      <c r="K441" s="249"/>
      <c r="L441" s="248">
        <f t="shared" si="131"/>
        <v>993.63</v>
      </c>
      <c r="M441" s="292"/>
      <c r="N441" s="249"/>
      <c r="O441" s="248">
        <f t="shared" si="132"/>
        <v>993.63</v>
      </c>
      <c r="P441" s="93"/>
      <c r="Q441" s="52"/>
    </row>
    <row r="442" spans="1:17" ht="12.75">
      <c r="A442" s="17" t="s">
        <v>378</v>
      </c>
      <c r="B442" s="98"/>
      <c r="C442" s="134"/>
      <c r="D442" s="99"/>
      <c r="E442" s="99"/>
      <c r="F442" s="89"/>
      <c r="G442" s="169"/>
      <c r="H442" s="210"/>
      <c r="I442" s="230"/>
      <c r="J442" s="175"/>
      <c r="K442" s="249"/>
      <c r="L442" s="248">
        <f t="shared" si="131"/>
        <v>0</v>
      </c>
      <c r="M442" s="292">
        <f>971.8</f>
        <v>971.8</v>
      </c>
      <c r="N442" s="249"/>
      <c r="O442" s="248">
        <f t="shared" si="132"/>
        <v>971.8</v>
      </c>
      <c r="P442" s="93"/>
      <c r="Q442" s="52"/>
    </row>
    <row r="443" spans="1:17" ht="12.75" hidden="1">
      <c r="A443" s="17" t="s">
        <v>231</v>
      </c>
      <c r="B443" s="65">
        <v>33064</v>
      </c>
      <c r="C443" s="134"/>
      <c r="D443" s="99"/>
      <c r="E443" s="99"/>
      <c r="F443" s="89">
        <f t="shared" si="129"/>
        <v>0</v>
      </c>
      <c r="G443" s="169"/>
      <c r="H443" s="210"/>
      <c r="I443" s="230">
        <f t="shared" si="130"/>
        <v>0</v>
      </c>
      <c r="J443" s="175"/>
      <c r="K443" s="249"/>
      <c r="L443" s="248">
        <f t="shared" si="131"/>
        <v>0</v>
      </c>
      <c r="M443" s="292"/>
      <c r="N443" s="249"/>
      <c r="O443" s="248">
        <f t="shared" si="132"/>
        <v>0</v>
      </c>
      <c r="P443" s="93"/>
      <c r="Q443" s="52"/>
    </row>
    <row r="444" spans="1:17" ht="12.75">
      <c r="A444" s="23" t="s">
        <v>52</v>
      </c>
      <c r="B444" s="69"/>
      <c r="C444" s="137">
        <f>SUM(C446:C452)</f>
        <v>2000</v>
      </c>
      <c r="D444" s="102">
        <f aca="true" t="shared" si="133" ref="D444:Q444">SUM(D446:D452)</f>
        <v>0</v>
      </c>
      <c r="E444" s="102">
        <f t="shared" si="133"/>
        <v>0</v>
      </c>
      <c r="F444" s="120">
        <f t="shared" si="133"/>
        <v>2000</v>
      </c>
      <c r="G444" s="171">
        <f t="shared" si="133"/>
        <v>0</v>
      </c>
      <c r="H444" s="214">
        <f t="shared" si="133"/>
        <v>-2000</v>
      </c>
      <c r="I444" s="233">
        <f t="shared" si="133"/>
        <v>0</v>
      </c>
      <c r="J444" s="171">
        <f t="shared" si="133"/>
        <v>0</v>
      </c>
      <c r="K444" s="254">
        <f t="shared" si="133"/>
        <v>830.52</v>
      </c>
      <c r="L444" s="255">
        <f t="shared" si="133"/>
        <v>830.52</v>
      </c>
      <c r="M444" s="315">
        <f t="shared" si="133"/>
        <v>0</v>
      </c>
      <c r="N444" s="254">
        <f t="shared" si="133"/>
        <v>0</v>
      </c>
      <c r="O444" s="255">
        <f t="shared" si="133"/>
        <v>830.52</v>
      </c>
      <c r="P444" s="102">
        <f t="shared" si="133"/>
        <v>0</v>
      </c>
      <c r="Q444" s="137">
        <f t="shared" si="133"/>
        <v>0</v>
      </c>
    </row>
    <row r="445" spans="1:17" ht="12.75">
      <c r="A445" s="19" t="s">
        <v>26</v>
      </c>
      <c r="B445" s="65"/>
      <c r="C445" s="134"/>
      <c r="D445" s="99"/>
      <c r="E445" s="99"/>
      <c r="F445" s="89"/>
      <c r="G445" s="169"/>
      <c r="H445" s="210"/>
      <c r="I445" s="230"/>
      <c r="J445" s="169"/>
      <c r="K445" s="249"/>
      <c r="L445" s="248"/>
      <c r="M445" s="292"/>
      <c r="N445" s="249"/>
      <c r="O445" s="248"/>
      <c r="P445" s="93"/>
      <c r="Q445" s="52"/>
    </row>
    <row r="446" spans="1:17" ht="12.75" hidden="1">
      <c r="A446" s="21" t="s">
        <v>67</v>
      </c>
      <c r="B446" s="65"/>
      <c r="C446" s="134"/>
      <c r="D446" s="99">
        <f>2000</f>
        <v>2000</v>
      </c>
      <c r="E446" s="99"/>
      <c r="F446" s="89">
        <f aca="true" t="shared" si="134" ref="F446:F452">C446+D446+E446</f>
        <v>2000</v>
      </c>
      <c r="G446" s="169"/>
      <c r="H446" s="210">
        <f>-2000</f>
        <v>-2000</v>
      </c>
      <c r="I446" s="230">
        <f>F446+G446+H446</f>
        <v>0</v>
      </c>
      <c r="J446" s="169"/>
      <c r="K446" s="249"/>
      <c r="L446" s="248">
        <f aca="true" t="shared" si="135" ref="L446:L452">I446+J446+K446</f>
        <v>0</v>
      </c>
      <c r="M446" s="292"/>
      <c r="N446" s="249"/>
      <c r="O446" s="248">
        <f>L446+M446+N446</f>
        <v>0</v>
      </c>
      <c r="P446" s="93"/>
      <c r="Q446" s="52">
        <f>O446+P446</f>
        <v>0</v>
      </c>
    </row>
    <row r="447" spans="1:17" ht="12.75" hidden="1">
      <c r="A447" s="21" t="s">
        <v>188</v>
      </c>
      <c r="B447" s="65"/>
      <c r="C447" s="134"/>
      <c r="D447" s="99"/>
      <c r="E447" s="99"/>
      <c r="F447" s="89">
        <f t="shared" si="134"/>
        <v>0</v>
      </c>
      <c r="G447" s="169"/>
      <c r="H447" s="210"/>
      <c r="I447" s="230"/>
      <c r="J447" s="169"/>
      <c r="K447" s="249"/>
      <c r="L447" s="248">
        <f t="shared" si="135"/>
        <v>0</v>
      </c>
      <c r="M447" s="292"/>
      <c r="N447" s="249"/>
      <c r="O447" s="248"/>
      <c r="P447" s="93"/>
      <c r="Q447" s="52"/>
    </row>
    <row r="448" spans="1:17" ht="12.75" hidden="1">
      <c r="A448" s="21" t="s">
        <v>189</v>
      </c>
      <c r="B448" s="65"/>
      <c r="C448" s="134"/>
      <c r="D448" s="99"/>
      <c r="E448" s="99"/>
      <c r="F448" s="89">
        <f t="shared" si="134"/>
        <v>0</v>
      </c>
      <c r="G448" s="169"/>
      <c r="H448" s="210"/>
      <c r="I448" s="230"/>
      <c r="J448" s="169"/>
      <c r="K448" s="249"/>
      <c r="L448" s="248">
        <f t="shared" si="135"/>
        <v>0</v>
      </c>
      <c r="M448" s="292"/>
      <c r="N448" s="249"/>
      <c r="O448" s="248"/>
      <c r="P448" s="93"/>
      <c r="Q448" s="52"/>
    </row>
    <row r="449" spans="1:17" ht="12.75">
      <c r="A449" s="17" t="s">
        <v>75</v>
      </c>
      <c r="B449" s="65"/>
      <c r="C449" s="134"/>
      <c r="D449" s="99"/>
      <c r="E449" s="99"/>
      <c r="F449" s="89">
        <f t="shared" si="134"/>
        <v>0</v>
      </c>
      <c r="G449" s="169"/>
      <c r="H449" s="210"/>
      <c r="I449" s="230"/>
      <c r="J449" s="169"/>
      <c r="K449" s="249">
        <f>830.52</f>
        <v>830.52</v>
      </c>
      <c r="L449" s="248">
        <f t="shared" si="135"/>
        <v>830.52</v>
      </c>
      <c r="M449" s="292"/>
      <c r="N449" s="249"/>
      <c r="O449" s="248">
        <f>L449+M449+N449</f>
        <v>830.52</v>
      </c>
      <c r="P449" s="93"/>
      <c r="Q449" s="52"/>
    </row>
    <row r="450" spans="1:17" ht="12.75">
      <c r="A450" s="20" t="s">
        <v>53</v>
      </c>
      <c r="B450" s="68"/>
      <c r="C450" s="195">
        <v>2000</v>
      </c>
      <c r="D450" s="148">
        <f>-2000</f>
        <v>-2000</v>
      </c>
      <c r="E450" s="148"/>
      <c r="F450" s="159">
        <f t="shared" si="134"/>
        <v>0</v>
      </c>
      <c r="G450" s="174"/>
      <c r="H450" s="216"/>
      <c r="I450" s="235">
        <f>F450+G450+H450</f>
        <v>0</v>
      </c>
      <c r="J450" s="174"/>
      <c r="K450" s="258"/>
      <c r="L450" s="259">
        <f t="shared" si="135"/>
        <v>0</v>
      </c>
      <c r="M450" s="302"/>
      <c r="N450" s="258"/>
      <c r="O450" s="259">
        <f>L450+M450+N450</f>
        <v>0</v>
      </c>
      <c r="P450" s="93"/>
      <c r="Q450" s="52">
        <f>O450+P450</f>
        <v>0</v>
      </c>
    </row>
    <row r="451" spans="1:17" ht="12.75" hidden="1">
      <c r="A451" s="20" t="s">
        <v>75</v>
      </c>
      <c r="B451" s="68"/>
      <c r="C451" s="195"/>
      <c r="D451" s="148"/>
      <c r="E451" s="148"/>
      <c r="F451" s="159">
        <f t="shared" si="134"/>
        <v>0</v>
      </c>
      <c r="G451" s="169"/>
      <c r="H451" s="210"/>
      <c r="I451" s="230">
        <f>F451+G451+H451</f>
        <v>0</v>
      </c>
      <c r="J451" s="169"/>
      <c r="K451" s="249"/>
      <c r="L451" s="248">
        <f t="shared" si="135"/>
        <v>0</v>
      </c>
      <c r="M451" s="292"/>
      <c r="N451" s="249"/>
      <c r="O451" s="248">
        <f>L451+M451+N451</f>
        <v>0</v>
      </c>
      <c r="P451" s="93"/>
      <c r="Q451" s="52">
        <f>O451+P451</f>
        <v>0</v>
      </c>
    </row>
    <row r="452" spans="1:17" ht="12.75" hidden="1">
      <c r="A452" s="27" t="s">
        <v>179</v>
      </c>
      <c r="B452" s="68"/>
      <c r="C452" s="195"/>
      <c r="D452" s="148"/>
      <c r="E452" s="148"/>
      <c r="F452" s="159">
        <f t="shared" si="134"/>
        <v>0</v>
      </c>
      <c r="G452" s="174"/>
      <c r="H452" s="216"/>
      <c r="I452" s="235">
        <f>F452+G452+H452</f>
        <v>0</v>
      </c>
      <c r="J452" s="174"/>
      <c r="K452" s="258"/>
      <c r="L452" s="259">
        <f t="shared" si="135"/>
        <v>0</v>
      </c>
      <c r="M452" s="302"/>
      <c r="N452" s="258"/>
      <c r="O452" s="259">
        <f>L452+M452+N452</f>
        <v>0</v>
      </c>
      <c r="P452" s="295"/>
      <c r="Q452" s="54">
        <f>O452+P452</f>
        <v>0</v>
      </c>
    </row>
    <row r="453" spans="1:17" ht="12.75">
      <c r="A453" s="14" t="s">
        <v>93</v>
      </c>
      <c r="B453" s="69"/>
      <c r="C453" s="133">
        <f>C454+C457</f>
        <v>3304.9</v>
      </c>
      <c r="D453" s="86">
        <f aca="true" t="shared" si="136" ref="D453:Q453">D454+D457</f>
        <v>0</v>
      </c>
      <c r="E453" s="86">
        <f t="shared" si="136"/>
        <v>0</v>
      </c>
      <c r="F453" s="94">
        <f t="shared" si="136"/>
        <v>3304.9</v>
      </c>
      <c r="G453" s="168">
        <f t="shared" si="136"/>
        <v>0</v>
      </c>
      <c r="H453" s="209">
        <f t="shared" si="136"/>
        <v>0</v>
      </c>
      <c r="I453" s="229">
        <f t="shared" si="136"/>
        <v>3304.9</v>
      </c>
      <c r="J453" s="168">
        <f t="shared" si="136"/>
        <v>0</v>
      </c>
      <c r="K453" s="246">
        <f t="shared" si="136"/>
        <v>0</v>
      </c>
      <c r="L453" s="247">
        <f t="shared" si="136"/>
        <v>3304.9</v>
      </c>
      <c r="M453" s="309">
        <f>M454+M457</f>
        <v>0</v>
      </c>
      <c r="N453" s="246">
        <f>N454+N457</f>
        <v>0</v>
      </c>
      <c r="O453" s="247">
        <f>O454+O457</f>
        <v>3304.9</v>
      </c>
      <c r="P453" s="86">
        <f t="shared" si="136"/>
        <v>0</v>
      </c>
      <c r="Q453" s="133">
        <f t="shared" si="136"/>
        <v>3304.9</v>
      </c>
    </row>
    <row r="454" spans="1:17" ht="12.75">
      <c r="A454" s="23" t="s">
        <v>48</v>
      </c>
      <c r="B454" s="69"/>
      <c r="C454" s="137">
        <f>SUM(C456:C456)</f>
        <v>3304.9</v>
      </c>
      <c r="D454" s="102">
        <f aca="true" t="shared" si="137" ref="D454:Q454">SUM(D456:D456)</f>
        <v>0</v>
      </c>
      <c r="E454" s="102">
        <f t="shared" si="137"/>
        <v>0</v>
      </c>
      <c r="F454" s="120">
        <f t="shared" si="137"/>
        <v>3304.9</v>
      </c>
      <c r="G454" s="171">
        <f t="shared" si="137"/>
        <v>0</v>
      </c>
      <c r="H454" s="214">
        <f t="shared" si="137"/>
        <v>0</v>
      </c>
      <c r="I454" s="233">
        <f t="shared" si="137"/>
        <v>3304.9</v>
      </c>
      <c r="J454" s="171">
        <f t="shared" si="137"/>
        <v>0</v>
      </c>
      <c r="K454" s="254">
        <f t="shared" si="137"/>
        <v>0</v>
      </c>
      <c r="L454" s="255">
        <f t="shared" si="137"/>
        <v>3304.9</v>
      </c>
      <c r="M454" s="315">
        <f>SUM(M456:M456)</f>
        <v>0</v>
      </c>
      <c r="N454" s="254">
        <f>SUM(N456:N456)</f>
        <v>0</v>
      </c>
      <c r="O454" s="255">
        <f>SUM(O456:O456)</f>
        <v>3304.9</v>
      </c>
      <c r="P454" s="102">
        <f t="shared" si="137"/>
        <v>0</v>
      </c>
      <c r="Q454" s="137">
        <f t="shared" si="137"/>
        <v>3304.9</v>
      </c>
    </row>
    <row r="455" spans="1:17" ht="12.75">
      <c r="A455" s="19" t="s">
        <v>26</v>
      </c>
      <c r="B455" s="65"/>
      <c r="C455" s="134"/>
      <c r="D455" s="99"/>
      <c r="E455" s="99"/>
      <c r="F455" s="94"/>
      <c r="G455" s="169"/>
      <c r="H455" s="210"/>
      <c r="I455" s="229"/>
      <c r="J455" s="169"/>
      <c r="K455" s="249"/>
      <c r="L455" s="247"/>
      <c r="M455" s="292"/>
      <c r="N455" s="249"/>
      <c r="O455" s="247"/>
      <c r="P455" s="93"/>
      <c r="Q455" s="52"/>
    </row>
    <row r="456" spans="1:17" ht="12.75">
      <c r="A456" s="20" t="s">
        <v>50</v>
      </c>
      <c r="B456" s="68"/>
      <c r="C456" s="196">
        <v>3304.9</v>
      </c>
      <c r="D456" s="148"/>
      <c r="E456" s="148"/>
      <c r="F456" s="159">
        <f>C456+D456+E456</f>
        <v>3304.9</v>
      </c>
      <c r="G456" s="174"/>
      <c r="H456" s="216"/>
      <c r="I456" s="235">
        <f>F456+G456+H456</f>
        <v>3304.9</v>
      </c>
      <c r="J456" s="174"/>
      <c r="K456" s="258"/>
      <c r="L456" s="259">
        <f>I456+J456+K456</f>
        <v>3304.9</v>
      </c>
      <c r="M456" s="302"/>
      <c r="N456" s="258"/>
      <c r="O456" s="259">
        <f>L456+M456+N456</f>
        <v>3304.9</v>
      </c>
      <c r="P456" s="93"/>
      <c r="Q456" s="52">
        <f>O456+P456</f>
        <v>3304.9</v>
      </c>
    </row>
    <row r="457" spans="1:17" ht="12.75" hidden="1">
      <c r="A457" s="23" t="s">
        <v>52</v>
      </c>
      <c r="B457" s="69"/>
      <c r="C457" s="137">
        <f aca="true" t="shared" si="138" ref="C457:Q457">SUM(C459:C459)</f>
        <v>0</v>
      </c>
      <c r="D457" s="102">
        <f t="shared" si="138"/>
        <v>0</v>
      </c>
      <c r="E457" s="102">
        <f t="shared" si="138"/>
        <v>0</v>
      </c>
      <c r="F457" s="120">
        <f t="shared" si="138"/>
        <v>0</v>
      </c>
      <c r="G457" s="171">
        <f t="shared" si="138"/>
        <v>0</v>
      </c>
      <c r="H457" s="214">
        <f t="shared" si="138"/>
        <v>0</v>
      </c>
      <c r="I457" s="233">
        <f t="shared" si="138"/>
        <v>0</v>
      </c>
      <c r="J457" s="171">
        <f t="shared" si="138"/>
        <v>0</v>
      </c>
      <c r="K457" s="254">
        <f t="shared" si="138"/>
        <v>0</v>
      </c>
      <c r="L457" s="255">
        <f t="shared" si="138"/>
        <v>0</v>
      </c>
      <c r="M457" s="315">
        <f t="shared" si="138"/>
        <v>0</v>
      </c>
      <c r="N457" s="254">
        <f t="shared" si="138"/>
        <v>0</v>
      </c>
      <c r="O457" s="255">
        <f t="shared" si="138"/>
        <v>0</v>
      </c>
      <c r="P457" s="102">
        <f t="shared" si="138"/>
        <v>0</v>
      </c>
      <c r="Q457" s="137">
        <f t="shared" si="138"/>
        <v>0</v>
      </c>
    </row>
    <row r="458" spans="1:17" ht="12.75" hidden="1">
      <c r="A458" s="19" t="s">
        <v>26</v>
      </c>
      <c r="B458" s="65"/>
      <c r="C458" s="134"/>
      <c r="D458" s="99"/>
      <c r="E458" s="99"/>
      <c r="F458" s="89"/>
      <c r="G458" s="169"/>
      <c r="H458" s="210"/>
      <c r="I458" s="230"/>
      <c r="J458" s="169"/>
      <c r="K458" s="249"/>
      <c r="L458" s="248"/>
      <c r="M458" s="292"/>
      <c r="N458" s="249"/>
      <c r="O458" s="248"/>
      <c r="P458" s="93"/>
      <c r="Q458" s="52"/>
    </row>
    <row r="459" spans="1:17" ht="12.75" hidden="1">
      <c r="A459" s="20" t="s">
        <v>53</v>
      </c>
      <c r="B459" s="68"/>
      <c r="C459" s="195"/>
      <c r="D459" s="148"/>
      <c r="E459" s="148"/>
      <c r="F459" s="159">
        <f>C459+D459+E459</f>
        <v>0</v>
      </c>
      <c r="G459" s="174"/>
      <c r="H459" s="216"/>
      <c r="I459" s="235">
        <f>F459+G459+H459</f>
        <v>0</v>
      </c>
      <c r="J459" s="174"/>
      <c r="K459" s="258"/>
      <c r="L459" s="259">
        <f>I459+J459+K459</f>
        <v>0</v>
      </c>
      <c r="M459" s="302"/>
      <c r="N459" s="258"/>
      <c r="O459" s="259">
        <f>L459+M459+N459</f>
        <v>0</v>
      </c>
      <c r="P459" s="295"/>
      <c r="Q459" s="54">
        <f>O459+P459</f>
        <v>0</v>
      </c>
    </row>
    <row r="460" spans="1:17" ht="12.75">
      <c r="A460" s="14" t="s">
        <v>94</v>
      </c>
      <c r="B460" s="69"/>
      <c r="C460" s="133">
        <f aca="true" t="shared" si="139" ref="C460:Q460">C461</f>
        <v>55500</v>
      </c>
      <c r="D460" s="86">
        <f t="shared" si="139"/>
        <v>110819.67000000001</v>
      </c>
      <c r="E460" s="86">
        <f t="shared" si="139"/>
        <v>-10000</v>
      </c>
      <c r="F460" s="94">
        <f t="shared" si="139"/>
        <v>156319.67</v>
      </c>
      <c r="G460" s="168">
        <f t="shared" si="139"/>
        <v>2406.179999999993</v>
      </c>
      <c r="H460" s="209">
        <f t="shared" si="139"/>
        <v>233702.34</v>
      </c>
      <c r="I460" s="229">
        <f t="shared" si="139"/>
        <v>392428.19</v>
      </c>
      <c r="J460" s="168">
        <f t="shared" si="139"/>
        <v>-178672.63</v>
      </c>
      <c r="K460" s="246">
        <f t="shared" si="139"/>
        <v>-646.8</v>
      </c>
      <c r="L460" s="247">
        <f t="shared" si="139"/>
        <v>213108.76</v>
      </c>
      <c r="M460" s="309">
        <f t="shared" si="139"/>
        <v>-8985.29</v>
      </c>
      <c r="N460" s="246">
        <f t="shared" si="139"/>
        <v>0</v>
      </c>
      <c r="O460" s="247">
        <f t="shared" si="139"/>
        <v>204123.47000000003</v>
      </c>
      <c r="P460" s="86">
        <f t="shared" si="139"/>
        <v>0</v>
      </c>
      <c r="Q460" s="133">
        <f t="shared" si="139"/>
        <v>204123.47000000003</v>
      </c>
    </row>
    <row r="461" spans="1:17" ht="12.75">
      <c r="A461" s="23" t="s">
        <v>48</v>
      </c>
      <c r="B461" s="69"/>
      <c r="C461" s="137">
        <f>SUM(C463:C466)</f>
        <v>55500</v>
      </c>
      <c r="D461" s="102">
        <f aca="true" t="shared" si="140" ref="D461:Q461">SUM(D463:D466)</f>
        <v>110819.67000000001</v>
      </c>
      <c r="E461" s="102">
        <f t="shared" si="140"/>
        <v>-10000</v>
      </c>
      <c r="F461" s="120">
        <f t="shared" si="140"/>
        <v>156319.67</v>
      </c>
      <c r="G461" s="171">
        <f t="shared" si="140"/>
        <v>2406.179999999993</v>
      </c>
      <c r="H461" s="214">
        <f t="shared" si="140"/>
        <v>233702.34</v>
      </c>
      <c r="I461" s="233">
        <f t="shared" si="140"/>
        <v>392428.19</v>
      </c>
      <c r="J461" s="171">
        <f t="shared" si="140"/>
        <v>-178672.63</v>
      </c>
      <c r="K461" s="254">
        <f t="shared" si="140"/>
        <v>-646.8</v>
      </c>
      <c r="L461" s="255">
        <f t="shared" si="140"/>
        <v>213108.76</v>
      </c>
      <c r="M461" s="315">
        <f>SUM(M463:M466)</f>
        <v>-8985.29</v>
      </c>
      <c r="N461" s="254">
        <f>SUM(N463:N466)</f>
        <v>0</v>
      </c>
      <c r="O461" s="255">
        <f>SUM(O463:O466)</f>
        <v>204123.47000000003</v>
      </c>
      <c r="P461" s="102">
        <f t="shared" si="140"/>
        <v>0</v>
      </c>
      <c r="Q461" s="137">
        <f t="shared" si="140"/>
        <v>204123.47000000003</v>
      </c>
    </row>
    <row r="462" spans="1:17" ht="12.75">
      <c r="A462" s="19" t="s">
        <v>26</v>
      </c>
      <c r="B462" s="65"/>
      <c r="C462" s="133"/>
      <c r="D462" s="86"/>
      <c r="E462" s="86"/>
      <c r="F462" s="94"/>
      <c r="G462" s="168"/>
      <c r="H462" s="209"/>
      <c r="I462" s="229"/>
      <c r="J462" s="168"/>
      <c r="K462" s="246"/>
      <c r="L462" s="247"/>
      <c r="M462" s="309"/>
      <c r="N462" s="246"/>
      <c r="O462" s="247"/>
      <c r="P462" s="93"/>
      <c r="Q462" s="52"/>
    </row>
    <row r="463" spans="1:17" ht="12.75">
      <c r="A463" s="66" t="s">
        <v>190</v>
      </c>
      <c r="B463" s="65"/>
      <c r="C463" s="134">
        <v>15000</v>
      </c>
      <c r="D463" s="99">
        <v>67000</v>
      </c>
      <c r="E463" s="99">
        <v>-10000</v>
      </c>
      <c r="F463" s="89">
        <f>C463+D463+E463</f>
        <v>72000</v>
      </c>
      <c r="G463" s="169">
        <f>140000-137593.82</f>
        <v>2406.179999999993</v>
      </c>
      <c r="H463" s="210">
        <f>14871.71+222830.63-4000</f>
        <v>233702.34</v>
      </c>
      <c r="I463" s="230">
        <f>F463+G463+H463</f>
        <v>308108.52</v>
      </c>
      <c r="J463" s="175">
        <f>-200+16.43-270-120-3500-5000-856.8-7500-335+1545.43+15.32+85.99-25854-150000-6000-3000+22300</f>
        <v>-178672.63</v>
      </c>
      <c r="K463" s="249">
        <f>-500-146.8</f>
        <v>-646.8</v>
      </c>
      <c r="L463" s="248">
        <f>I463+J463+K463</f>
        <v>128789.09000000001</v>
      </c>
      <c r="M463" s="292">
        <f>-600-1500-347.99-537.3-6000</f>
        <v>-8985.29</v>
      </c>
      <c r="N463" s="249"/>
      <c r="O463" s="248">
        <f>L463+M463+N463</f>
        <v>119803.80000000002</v>
      </c>
      <c r="P463" s="93"/>
      <c r="Q463" s="52">
        <f>O463+P463</f>
        <v>119803.80000000002</v>
      </c>
    </row>
    <row r="464" spans="1:17" ht="12.75">
      <c r="A464" s="66" t="s">
        <v>95</v>
      </c>
      <c r="B464" s="65"/>
      <c r="C464" s="134"/>
      <c r="D464" s="150">
        <f>26787.85</f>
        <v>26787.85</v>
      </c>
      <c r="E464" s="99"/>
      <c r="F464" s="89">
        <f>C464+D464+E464</f>
        <v>26787.85</v>
      </c>
      <c r="G464" s="169"/>
      <c r="H464" s="210"/>
      <c r="I464" s="230">
        <f>F464+G464+H464</f>
        <v>26787.85</v>
      </c>
      <c r="J464" s="169"/>
      <c r="K464" s="249"/>
      <c r="L464" s="248">
        <f>I464+J464+K464</f>
        <v>26787.85</v>
      </c>
      <c r="M464" s="292"/>
      <c r="N464" s="249"/>
      <c r="O464" s="248">
        <f>L464+M464+N464</f>
        <v>26787.85</v>
      </c>
      <c r="P464" s="93"/>
      <c r="Q464" s="52">
        <f>O464+P464</f>
        <v>26787.85</v>
      </c>
    </row>
    <row r="465" spans="1:17" ht="12.75">
      <c r="A465" s="66" t="s">
        <v>96</v>
      </c>
      <c r="B465" s="65"/>
      <c r="C465" s="134"/>
      <c r="D465" s="99">
        <f>17031.82</f>
        <v>17031.82</v>
      </c>
      <c r="E465" s="99"/>
      <c r="F465" s="89">
        <f>C465+D465+E465</f>
        <v>17031.82</v>
      </c>
      <c r="G465" s="169"/>
      <c r="H465" s="210"/>
      <c r="I465" s="230">
        <f>F465+G465+H465</f>
        <v>17031.82</v>
      </c>
      <c r="J465" s="169"/>
      <c r="K465" s="249"/>
      <c r="L465" s="248">
        <f>I465+J465+K465</f>
        <v>17031.82</v>
      </c>
      <c r="M465" s="292"/>
      <c r="N465" s="249"/>
      <c r="O465" s="248">
        <f>L465+M465+N465</f>
        <v>17031.82</v>
      </c>
      <c r="P465" s="93"/>
      <c r="Q465" s="52">
        <f>O465+P465</f>
        <v>17031.82</v>
      </c>
    </row>
    <row r="466" spans="1:17" ht="12.75">
      <c r="A466" s="20" t="s">
        <v>50</v>
      </c>
      <c r="B466" s="68"/>
      <c r="C466" s="195">
        <v>40500</v>
      </c>
      <c r="D466" s="148"/>
      <c r="E466" s="148"/>
      <c r="F466" s="159">
        <f>C466+D466+E466</f>
        <v>40500</v>
      </c>
      <c r="G466" s="174"/>
      <c r="H466" s="216"/>
      <c r="I466" s="235">
        <f>F466+G466+H466</f>
        <v>40500</v>
      </c>
      <c r="J466" s="174"/>
      <c r="K466" s="258"/>
      <c r="L466" s="259">
        <f>I466+J466+K466</f>
        <v>40500</v>
      </c>
      <c r="M466" s="302"/>
      <c r="N466" s="258"/>
      <c r="O466" s="259">
        <f>L466+M466+N466</f>
        <v>40500</v>
      </c>
      <c r="P466" s="295"/>
      <c r="Q466" s="54">
        <f>O466+P466</f>
        <v>40500</v>
      </c>
    </row>
    <row r="467" spans="1:17" ht="12.75">
      <c r="A467" s="14" t="s">
        <v>164</v>
      </c>
      <c r="B467" s="69"/>
      <c r="C467" s="133">
        <f aca="true" t="shared" si="141" ref="C467:Q467">C468+C482</f>
        <v>185407.7</v>
      </c>
      <c r="D467" s="86">
        <f t="shared" si="141"/>
        <v>44177.64</v>
      </c>
      <c r="E467" s="86">
        <f t="shared" si="141"/>
        <v>1900</v>
      </c>
      <c r="F467" s="94">
        <f t="shared" si="141"/>
        <v>231485.34</v>
      </c>
      <c r="G467" s="168">
        <f t="shared" si="141"/>
        <v>0</v>
      </c>
      <c r="H467" s="209">
        <f t="shared" si="141"/>
        <v>81273.29</v>
      </c>
      <c r="I467" s="229">
        <f t="shared" si="141"/>
        <v>312758.63</v>
      </c>
      <c r="J467" s="168">
        <f t="shared" si="141"/>
        <v>12090.980000000001</v>
      </c>
      <c r="K467" s="246">
        <f t="shared" si="141"/>
        <v>7242.8</v>
      </c>
      <c r="L467" s="247">
        <f t="shared" si="141"/>
        <v>332092.41000000003</v>
      </c>
      <c r="M467" s="309">
        <f>M468+M482</f>
        <v>-4018.3100000000004</v>
      </c>
      <c r="N467" s="246">
        <f>N468+N482</f>
        <v>0</v>
      </c>
      <c r="O467" s="247">
        <f>O468+O482</f>
        <v>328074.10000000003</v>
      </c>
      <c r="P467" s="86">
        <f t="shared" si="141"/>
        <v>0</v>
      </c>
      <c r="Q467" s="133">
        <f t="shared" si="141"/>
        <v>0</v>
      </c>
    </row>
    <row r="468" spans="1:17" ht="12.75">
      <c r="A468" s="23" t="s">
        <v>48</v>
      </c>
      <c r="B468" s="69"/>
      <c r="C468" s="137">
        <f>SUM(C470:C481)</f>
        <v>130807.7</v>
      </c>
      <c r="D468" s="102">
        <f>SUM(D470:D481)</f>
        <v>10517.640000000001</v>
      </c>
      <c r="E468" s="102">
        <f>SUM(E469:E481)</f>
        <v>-23.4</v>
      </c>
      <c r="F468" s="120">
        <f>SUM(F470:F481)</f>
        <v>141301.94</v>
      </c>
      <c r="G468" s="171">
        <f aca="true" t="shared" si="142" ref="G468:Q468">SUM(G469:G481)</f>
        <v>-26064</v>
      </c>
      <c r="H468" s="214">
        <f t="shared" si="142"/>
        <v>14233</v>
      </c>
      <c r="I468" s="233">
        <f t="shared" si="142"/>
        <v>129470.94000000002</v>
      </c>
      <c r="J468" s="171">
        <f t="shared" si="142"/>
        <v>7432.55</v>
      </c>
      <c r="K468" s="254">
        <f t="shared" si="142"/>
        <v>90.46999999999997</v>
      </c>
      <c r="L468" s="255">
        <f t="shared" si="142"/>
        <v>136993.96</v>
      </c>
      <c r="M468" s="315">
        <f>SUM(M469:M481)</f>
        <v>-7080.31</v>
      </c>
      <c r="N468" s="254">
        <f>SUM(N469:N481)</f>
        <v>470</v>
      </c>
      <c r="O468" s="255">
        <f>SUM(O469:O481)</f>
        <v>130383.65000000001</v>
      </c>
      <c r="P468" s="102">
        <f t="shared" si="142"/>
        <v>0</v>
      </c>
      <c r="Q468" s="137">
        <f t="shared" si="142"/>
        <v>0</v>
      </c>
    </row>
    <row r="469" spans="1:17" ht="12.75">
      <c r="A469" s="19" t="s">
        <v>26</v>
      </c>
      <c r="B469" s="65"/>
      <c r="C469" s="134"/>
      <c r="D469" s="99"/>
      <c r="E469" s="99"/>
      <c r="F469" s="89"/>
      <c r="G469" s="169"/>
      <c r="H469" s="210"/>
      <c r="I469" s="230"/>
      <c r="J469" s="169"/>
      <c r="K469" s="249"/>
      <c r="L469" s="248"/>
      <c r="M469" s="292"/>
      <c r="N469" s="249"/>
      <c r="O469" s="248"/>
      <c r="P469" s="93"/>
      <c r="Q469" s="52"/>
    </row>
    <row r="470" spans="1:17" ht="12.75">
      <c r="A470" s="17" t="s">
        <v>250</v>
      </c>
      <c r="B470" s="65">
        <v>1202</v>
      </c>
      <c r="C470" s="134">
        <v>15900</v>
      </c>
      <c r="D470" s="99">
        <f>6660.58-4000</f>
        <v>2660.58</v>
      </c>
      <c r="E470" s="99"/>
      <c r="F470" s="89">
        <f aca="true" t="shared" si="143" ref="F470:F481">C470+D470+E470</f>
        <v>18560.58</v>
      </c>
      <c r="G470" s="169">
        <f>-607</f>
        <v>-607</v>
      </c>
      <c r="H470" s="210">
        <f>-5335</f>
        <v>-5335</v>
      </c>
      <c r="I470" s="230">
        <f>F470+G470+H470</f>
        <v>12618.580000000002</v>
      </c>
      <c r="J470" s="169">
        <f>335</f>
        <v>335</v>
      </c>
      <c r="K470" s="249"/>
      <c r="L470" s="248">
        <f>I470+J470+K470</f>
        <v>12953.580000000002</v>
      </c>
      <c r="M470" s="292"/>
      <c r="N470" s="249"/>
      <c r="O470" s="248">
        <f>L470+M470+N470</f>
        <v>12953.580000000002</v>
      </c>
      <c r="P470" s="93"/>
      <c r="Q470" s="52"/>
    </row>
    <row r="471" spans="1:17" ht="12.75">
      <c r="A471" s="17" t="s">
        <v>182</v>
      </c>
      <c r="B471" s="65">
        <v>1208</v>
      </c>
      <c r="C471" s="134">
        <v>4500</v>
      </c>
      <c r="D471" s="99">
        <f>20.18</f>
        <v>20.18</v>
      </c>
      <c r="E471" s="99"/>
      <c r="F471" s="89">
        <f t="shared" si="143"/>
        <v>4520.18</v>
      </c>
      <c r="G471" s="169"/>
      <c r="H471" s="210"/>
      <c r="I471" s="230">
        <f aca="true" t="shared" si="144" ref="I471:I481">F471+G471+H471</f>
        <v>4520.18</v>
      </c>
      <c r="J471" s="169"/>
      <c r="K471" s="249"/>
      <c r="L471" s="248">
        <f aca="true" t="shared" si="145" ref="L471:L481">I471+J471+K471</f>
        <v>4520.18</v>
      </c>
      <c r="M471" s="292"/>
      <c r="N471" s="249"/>
      <c r="O471" s="248">
        <f aca="true" t="shared" si="146" ref="O471:O481">L471+M471+N471</f>
        <v>4520.18</v>
      </c>
      <c r="P471" s="93"/>
      <c r="Q471" s="52"/>
    </row>
    <row r="472" spans="1:17" ht="12.75">
      <c r="A472" s="17" t="s">
        <v>183</v>
      </c>
      <c r="B472" s="65">
        <v>1207</v>
      </c>
      <c r="C472" s="134">
        <v>10600</v>
      </c>
      <c r="D472" s="99">
        <f>114.87+1430</f>
        <v>1544.87</v>
      </c>
      <c r="E472" s="99"/>
      <c r="F472" s="89">
        <f t="shared" si="143"/>
        <v>12144.869999999999</v>
      </c>
      <c r="G472" s="169"/>
      <c r="H472" s="210"/>
      <c r="I472" s="230">
        <f t="shared" si="144"/>
        <v>12144.869999999999</v>
      </c>
      <c r="J472" s="169"/>
      <c r="K472" s="249"/>
      <c r="L472" s="248">
        <f t="shared" si="145"/>
        <v>12144.869999999999</v>
      </c>
      <c r="M472" s="292"/>
      <c r="N472" s="249"/>
      <c r="O472" s="248">
        <f t="shared" si="146"/>
        <v>12144.869999999999</v>
      </c>
      <c r="P472" s="93"/>
      <c r="Q472" s="52"/>
    </row>
    <row r="473" spans="1:17" ht="12.75">
      <c r="A473" s="21" t="s">
        <v>270</v>
      </c>
      <c r="B473" s="65">
        <v>1209</v>
      </c>
      <c r="C473" s="134">
        <v>2860</v>
      </c>
      <c r="D473" s="99">
        <f>781+88.6+11.32</f>
        <v>880.9200000000001</v>
      </c>
      <c r="E473" s="99"/>
      <c r="F473" s="89">
        <f t="shared" si="143"/>
        <v>3740.92</v>
      </c>
      <c r="G473" s="169"/>
      <c r="H473" s="210"/>
      <c r="I473" s="230">
        <f t="shared" si="144"/>
        <v>3740.92</v>
      </c>
      <c r="J473" s="169">
        <f>24</f>
        <v>24</v>
      </c>
      <c r="K473" s="249"/>
      <c r="L473" s="248">
        <f t="shared" si="145"/>
        <v>3764.92</v>
      </c>
      <c r="M473" s="292">
        <f>-24</f>
        <v>-24</v>
      </c>
      <c r="N473" s="249"/>
      <c r="O473" s="248">
        <f t="shared" si="146"/>
        <v>3740.92</v>
      </c>
      <c r="P473" s="93"/>
      <c r="Q473" s="52"/>
    </row>
    <row r="474" spans="1:17" ht="12.75">
      <c r="A474" s="17" t="s">
        <v>184</v>
      </c>
      <c r="B474" s="65">
        <v>1211</v>
      </c>
      <c r="C474" s="134">
        <v>3900</v>
      </c>
      <c r="D474" s="150">
        <f>125.1</f>
        <v>125.1</v>
      </c>
      <c r="E474" s="150"/>
      <c r="F474" s="89">
        <f t="shared" si="143"/>
        <v>4025.1</v>
      </c>
      <c r="G474" s="169"/>
      <c r="H474" s="210"/>
      <c r="I474" s="230">
        <f t="shared" si="144"/>
        <v>4025.1</v>
      </c>
      <c r="J474" s="169">
        <f>493.92</f>
        <v>493.92</v>
      </c>
      <c r="K474" s="249"/>
      <c r="L474" s="248">
        <f t="shared" si="145"/>
        <v>4519.0199999999995</v>
      </c>
      <c r="M474" s="292">
        <f>35.12</f>
        <v>35.12</v>
      </c>
      <c r="N474" s="249"/>
      <c r="O474" s="248">
        <f t="shared" si="146"/>
        <v>4554.139999999999</v>
      </c>
      <c r="P474" s="93"/>
      <c r="Q474" s="52"/>
    </row>
    <row r="475" spans="1:17" ht="12.75">
      <c r="A475" s="17" t="s">
        <v>235</v>
      </c>
      <c r="B475" s="65">
        <v>1214</v>
      </c>
      <c r="C475" s="134">
        <v>2800</v>
      </c>
      <c r="D475" s="150">
        <f>70.05</f>
        <v>70.05</v>
      </c>
      <c r="E475" s="99"/>
      <c r="F475" s="89">
        <f t="shared" si="143"/>
        <v>2870.05</v>
      </c>
      <c r="G475" s="169"/>
      <c r="H475" s="210"/>
      <c r="I475" s="230">
        <f t="shared" si="144"/>
        <v>2870.05</v>
      </c>
      <c r="J475" s="169"/>
      <c r="K475" s="249"/>
      <c r="L475" s="248">
        <f t="shared" si="145"/>
        <v>2870.05</v>
      </c>
      <c r="M475" s="292">
        <f>10.32</f>
        <v>10.32</v>
      </c>
      <c r="N475" s="249"/>
      <c r="O475" s="248">
        <f t="shared" si="146"/>
        <v>2880.3700000000003</v>
      </c>
      <c r="P475" s="93"/>
      <c r="Q475" s="52"/>
    </row>
    <row r="476" spans="1:17" ht="12.75">
      <c r="A476" s="17" t="s">
        <v>236</v>
      </c>
      <c r="B476" s="65">
        <v>1213</v>
      </c>
      <c r="C476" s="134">
        <v>1500</v>
      </c>
      <c r="D476" s="150">
        <f>53.5</f>
        <v>53.5</v>
      </c>
      <c r="E476" s="99"/>
      <c r="F476" s="89">
        <f t="shared" si="143"/>
        <v>1553.5</v>
      </c>
      <c r="G476" s="169"/>
      <c r="H476" s="210"/>
      <c r="I476" s="230">
        <f t="shared" si="144"/>
        <v>1553.5</v>
      </c>
      <c r="J476" s="169"/>
      <c r="K476" s="249"/>
      <c r="L476" s="248">
        <f t="shared" si="145"/>
        <v>1553.5</v>
      </c>
      <c r="M476" s="292"/>
      <c r="N476" s="249"/>
      <c r="O476" s="248">
        <f t="shared" si="146"/>
        <v>1553.5</v>
      </c>
      <c r="P476" s="93"/>
      <c r="Q476" s="52"/>
    </row>
    <row r="477" spans="1:17" ht="12.75">
      <c r="A477" s="17" t="s">
        <v>269</v>
      </c>
      <c r="B477" s="65">
        <v>1216</v>
      </c>
      <c r="C477" s="134">
        <v>22000</v>
      </c>
      <c r="D477" s="99">
        <f>2369.13-221</f>
        <v>2148.13</v>
      </c>
      <c r="E477" s="99"/>
      <c r="F477" s="89">
        <f t="shared" si="143"/>
        <v>24148.13</v>
      </c>
      <c r="G477" s="169"/>
      <c r="H477" s="210"/>
      <c r="I477" s="230">
        <f t="shared" si="144"/>
        <v>24148.13</v>
      </c>
      <c r="J477" s="169">
        <f>86</f>
        <v>86</v>
      </c>
      <c r="K477" s="249">
        <f>101</f>
        <v>101</v>
      </c>
      <c r="L477" s="248">
        <f t="shared" si="145"/>
        <v>24335.13</v>
      </c>
      <c r="M477" s="292">
        <f>-86</f>
        <v>-86</v>
      </c>
      <c r="N477" s="249">
        <f>70</f>
        <v>70</v>
      </c>
      <c r="O477" s="248">
        <f t="shared" si="146"/>
        <v>24319.13</v>
      </c>
      <c r="P477" s="93"/>
      <c r="Q477" s="52"/>
    </row>
    <row r="478" spans="1:17" ht="12.75">
      <c r="A478" s="17" t="s">
        <v>185</v>
      </c>
      <c r="B478" s="65">
        <v>1239</v>
      </c>
      <c r="C478" s="134">
        <v>21900</v>
      </c>
      <c r="D478" s="99">
        <f>2000-15000+1000+500+500+8323.45</f>
        <v>-2676.5499999999993</v>
      </c>
      <c r="E478" s="99"/>
      <c r="F478" s="89">
        <f t="shared" si="143"/>
        <v>19223.45</v>
      </c>
      <c r="G478" s="169">
        <f>-489-9150</f>
        <v>-9639</v>
      </c>
      <c r="H478" s="210"/>
      <c r="I478" s="230">
        <f t="shared" si="144"/>
        <v>9584.45</v>
      </c>
      <c r="J478" s="169">
        <f>6100+6.63</f>
        <v>6106.63</v>
      </c>
      <c r="K478" s="249"/>
      <c r="L478" s="248">
        <f t="shared" si="145"/>
        <v>15691.080000000002</v>
      </c>
      <c r="M478" s="292"/>
      <c r="N478" s="249"/>
      <c r="O478" s="248">
        <f t="shared" si="146"/>
        <v>15691.080000000002</v>
      </c>
      <c r="P478" s="93"/>
      <c r="Q478" s="52"/>
    </row>
    <row r="479" spans="1:17" ht="12.75">
      <c r="A479" s="17" t="s">
        <v>207</v>
      </c>
      <c r="B479" s="65">
        <v>1300</v>
      </c>
      <c r="C479" s="134">
        <v>29845.7</v>
      </c>
      <c r="D479" s="99">
        <f>-1050-9000+8724.02</f>
        <v>-1325.9799999999996</v>
      </c>
      <c r="E479" s="99">
        <v>-23.4</v>
      </c>
      <c r="F479" s="89">
        <f t="shared" si="143"/>
        <v>28496.32</v>
      </c>
      <c r="G479" s="169"/>
      <c r="H479" s="210">
        <f>-2000+800+20768</f>
        <v>19568</v>
      </c>
      <c r="I479" s="230">
        <f t="shared" si="144"/>
        <v>48064.32</v>
      </c>
      <c r="J479" s="169"/>
      <c r="K479" s="249">
        <f>493.28-4.36-140-379.08+19.63</f>
        <v>-10.530000000000026</v>
      </c>
      <c r="L479" s="248">
        <f t="shared" si="145"/>
        <v>48053.79</v>
      </c>
      <c r="M479" s="292">
        <f>-1050-6000</f>
        <v>-7050</v>
      </c>
      <c r="N479" s="249">
        <f>400</f>
        <v>400</v>
      </c>
      <c r="O479" s="248">
        <f t="shared" si="146"/>
        <v>41403.79</v>
      </c>
      <c r="P479" s="93"/>
      <c r="Q479" s="52"/>
    </row>
    <row r="480" spans="1:17" ht="12.75">
      <c r="A480" s="17" t="s">
        <v>186</v>
      </c>
      <c r="B480" s="65">
        <v>1110</v>
      </c>
      <c r="C480" s="134">
        <v>15000</v>
      </c>
      <c r="D480" s="99">
        <f>5000+928.52</f>
        <v>5928.52</v>
      </c>
      <c r="E480" s="99"/>
      <c r="F480" s="89">
        <f t="shared" si="143"/>
        <v>20928.52</v>
      </c>
      <c r="G480" s="169">
        <f>-15818</f>
        <v>-15818</v>
      </c>
      <c r="H480" s="210"/>
      <c r="I480" s="230">
        <f t="shared" si="144"/>
        <v>5110.52</v>
      </c>
      <c r="J480" s="169">
        <f>387</f>
        <v>387</v>
      </c>
      <c r="K480" s="249"/>
      <c r="L480" s="248">
        <f t="shared" si="145"/>
        <v>5497.52</v>
      </c>
      <c r="M480" s="292">
        <f>24.25+10</f>
        <v>34.25</v>
      </c>
      <c r="N480" s="249"/>
      <c r="O480" s="248">
        <f t="shared" si="146"/>
        <v>5531.77</v>
      </c>
      <c r="P480" s="93"/>
      <c r="Q480" s="52"/>
    </row>
    <row r="481" spans="1:17" ht="13.5" thickBot="1">
      <c r="A481" s="342" t="s">
        <v>249</v>
      </c>
      <c r="B481" s="330"/>
      <c r="C481" s="331">
        <v>2</v>
      </c>
      <c r="D481" s="332">
        <f>1088.32</f>
        <v>1088.32</v>
      </c>
      <c r="E481" s="332"/>
      <c r="F481" s="333">
        <f t="shared" si="143"/>
        <v>1090.32</v>
      </c>
      <c r="G481" s="334"/>
      <c r="H481" s="335"/>
      <c r="I481" s="336">
        <f t="shared" si="144"/>
        <v>1090.32</v>
      </c>
      <c r="J481" s="334"/>
      <c r="K481" s="337"/>
      <c r="L481" s="338">
        <f t="shared" si="145"/>
        <v>1090.32</v>
      </c>
      <c r="M481" s="341"/>
      <c r="N481" s="337"/>
      <c r="O481" s="338">
        <f t="shared" si="146"/>
        <v>1090.32</v>
      </c>
      <c r="P481" s="93"/>
      <c r="Q481" s="52"/>
    </row>
    <row r="482" spans="1:17" ht="12.75">
      <c r="A482" s="23" t="s">
        <v>52</v>
      </c>
      <c r="B482" s="69"/>
      <c r="C482" s="137">
        <f>SUM(C484:C491)</f>
        <v>54600</v>
      </c>
      <c r="D482" s="102">
        <f aca="true" t="shared" si="147" ref="D482:Q482">SUM(D484:D491)</f>
        <v>33660</v>
      </c>
      <c r="E482" s="102">
        <f t="shared" si="147"/>
        <v>1923.4</v>
      </c>
      <c r="F482" s="120">
        <f t="shared" si="147"/>
        <v>90183.4</v>
      </c>
      <c r="G482" s="171">
        <f t="shared" si="147"/>
        <v>26064</v>
      </c>
      <c r="H482" s="214">
        <f t="shared" si="147"/>
        <v>67040.29</v>
      </c>
      <c r="I482" s="233">
        <f t="shared" si="147"/>
        <v>183287.69</v>
      </c>
      <c r="J482" s="171">
        <f t="shared" si="147"/>
        <v>4658.430000000001</v>
      </c>
      <c r="K482" s="254">
        <f t="shared" si="147"/>
        <v>7152.33</v>
      </c>
      <c r="L482" s="255">
        <f t="shared" si="147"/>
        <v>195098.45</v>
      </c>
      <c r="M482" s="315">
        <f t="shared" si="147"/>
        <v>3062</v>
      </c>
      <c r="N482" s="254">
        <f t="shared" si="147"/>
        <v>-470</v>
      </c>
      <c r="O482" s="255">
        <f t="shared" si="147"/>
        <v>197690.45</v>
      </c>
      <c r="P482" s="102">
        <f t="shared" si="147"/>
        <v>0</v>
      </c>
      <c r="Q482" s="137">
        <f t="shared" si="147"/>
        <v>0</v>
      </c>
    </row>
    <row r="483" spans="1:17" ht="12.75">
      <c r="A483" s="19" t="s">
        <v>26</v>
      </c>
      <c r="B483" s="65"/>
      <c r="C483" s="134"/>
      <c r="D483" s="99"/>
      <c r="E483" s="99"/>
      <c r="F483" s="89"/>
      <c r="G483" s="169"/>
      <c r="H483" s="210"/>
      <c r="I483" s="230"/>
      <c r="J483" s="169"/>
      <c r="K483" s="249"/>
      <c r="L483" s="248"/>
      <c r="M483" s="292"/>
      <c r="N483" s="249"/>
      <c r="O483" s="248"/>
      <c r="P483" s="93"/>
      <c r="Q483" s="52"/>
    </row>
    <row r="484" spans="1:17" ht="12.75">
      <c r="A484" s="21" t="s">
        <v>283</v>
      </c>
      <c r="B484" s="65">
        <v>1239</v>
      </c>
      <c r="C484" s="134">
        <v>8000</v>
      </c>
      <c r="D484" s="99">
        <f>270</f>
        <v>270</v>
      </c>
      <c r="E484" s="99"/>
      <c r="F484" s="89">
        <f aca="true" t="shared" si="148" ref="F484:F491">C484+D484+E484</f>
        <v>8270</v>
      </c>
      <c r="G484" s="169"/>
      <c r="H484" s="210"/>
      <c r="I484" s="230">
        <f aca="true" t="shared" si="149" ref="I484:I491">F484+G484+H484</f>
        <v>8270</v>
      </c>
      <c r="J484" s="169"/>
      <c r="K484" s="249"/>
      <c r="L484" s="248">
        <f aca="true" t="shared" si="150" ref="L484:L491">I484+J484+K484</f>
        <v>8270</v>
      </c>
      <c r="M484" s="292"/>
      <c r="N484" s="249"/>
      <c r="O484" s="248">
        <f aca="true" t="shared" si="151" ref="O484:O491">L484+M484+N484</f>
        <v>8270</v>
      </c>
      <c r="P484" s="93"/>
      <c r="Q484" s="52"/>
    </row>
    <row r="485" spans="1:17" ht="12.75" hidden="1">
      <c r="A485" s="21" t="s">
        <v>320</v>
      </c>
      <c r="B485" s="65">
        <v>1214</v>
      </c>
      <c r="C485" s="134"/>
      <c r="D485" s="99"/>
      <c r="E485" s="99"/>
      <c r="F485" s="89">
        <f t="shared" si="148"/>
        <v>0</v>
      </c>
      <c r="G485" s="169"/>
      <c r="H485" s="210"/>
      <c r="I485" s="230">
        <f t="shared" si="149"/>
        <v>0</v>
      </c>
      <c r="J485" s="169"/>
      <c r="K485" s="249"/>
      <c r="L485" s="248">
        <f t="shared" si="150"/>
        <v>0</v>
      </c>
      <c r="M485" s="292"/>
      <c r="N485" s="249"/>
      <c r="O485" s="248">
        <f t="shared" si="151"/>
        <v>0</v>
      </c>
      <c r="P485" s="93"/>
      <c r="Q485" s="52"/>
    </row>
    <row r="486" spans="1:17" ht="12.75">
      <c r="A486" s="21" t="s">
        <v>284</v>
      </c>
      <c r="B486" s="65">
        <v>1209</v>
      </c>
      <c r="C486" s="134">
        <v>600</v>
      </c>
      <c r="D486" s="99">
        <f>219</f>
        <v>219</v>
      </c>
      <c r="E486" s="99"/>
      <c r="F486" s="89">
        <f t="shared" si="148"/>
        <v>819</v>
      </c>
      <c r="G486" s="169"/>
      <c r="H486" s="210"/>
      <c r="I486" s="230">
        <f t="shared" si="149"/>
        <v>819</v>
      </c>
      <c r="J486" s="169"/>
      <c r="K486" s="249"/>
      <c r="L486" s="248">
        <f t="shared" si="150"/>
        <v>819</v>
      </c>
      <c r="M486" s="292"/>
      <c r="N486" s="249"/>
      <c r="O486" s="248">
        <f t="shared" si="151"/>
        <v>819</v>
      </c>
      <c r="P486" s="93"/>
      <c r="Q486" s="52"/>
    </row>
    <row r="487" spans="1:17" ht="12.75">
      <c r="A487" s="17" t="s">
        <v>285</v>
      </c>
      <c r="B487" s="65">
        <v>1202</v>
      </c>
      <c r="C487" s="134"/>
      <c r="D487" s="99"/>
      <c r="E487" s="99"/>
      <c r="F487" s="89">
        <f t="shared" si="148"/>
        <v>0</v>
      </c>
      <c r="G487" s="169">
        <f>607</f>
        <v>607</v>
      </c>
      <c r="H487" s="210"/>
      <c r="I487" s="230">
        <f t="shared" si="149"/>
        <v>607</v>
      </c>
      <c r="J487" s="169"/>
      <c r="K487" s="249"/>
      <c r="L487" s="248">
        <f t="shared" si="150"/>
        <v>607</v>
      </c>
      <c r="M487" s="292"/>
      <c r="N487" s="249"/>
      <c r="O487" s="248">
        <f t="shared" si="151"/>
        <v>607</v>
      </c>
      <c r="P487" s="93"/>
      <c r="Q487" s="52"/>
    </row>
    <row r="488" spans="1:17" ht="12.75">
      <c r="A488" s="17" t="s">
        <v>322</v>
      </c>
      <c r="B488" s="65">
        <v>1216</v>
      </c>
      <c r="C488" s="134"/>
      <c r="D488" s="99">
        <f>221</f>
        <v>221</v>
      </c>
      <c r="E488" s="99"/>
      <c r="F488" s="89">
        <f t="shared" si="148"/>
        <v>221</v>
      </c>
      <c r="G488" s="169"/>
      <c r="H488" s="210"/>
      <c r="I488" s="230">
        <f t="shared" si="149"/>
        <v>221</v>
      </c>
      <c r="J488" s="169"/>
      <c r="K488" s="249">
        <f>-101</f>
        <v>-101</v>
      </c>
      <c r="L488" s="248">
        <f t="shared" si="150"/>
        <v>120</v>
      </c>
      <c r="M488" s="292"/>
      <c r="N488" s="249">
        <f>-70</f>
        <v>-70</v>
      </c>
      <c r="O488" s="248">
        <f t="shared" si="151"/>
        <v>50</v>
      </c>
      <c r="P488" s="93"/>
      <c r="Q488" s="52"/>
    </row>
    <row r="489" spans="1:17" ht="12.75">
      <c r="A489" s="17" t="s">
        <v>327</v>
      </c>
      <c r="B489" s="65">
        <v>1239</v>
      </c>
      <c r="C489" s="134"/>
      <c r="D489" s="99">
        <f>10000+2000+13500+2500+3000</f>
        <v>31000</v>
      </c>
      <c r="E489" s="99"/>
      <c r="F489" s="89">
        <f t="shared" si="148"/>
        <v>31000</v>
      </c>
      <c r="G489" s="169">
        <f>489+9150</f>
        <v>9639</v>
      </c>
      <c r="H489" s="210"/>
      <c r="I489" s="230">
        <f t="shared" si="149"/>
        <v>40639</v>
      </c>
      <c r="J489" s="169">
        <f>-6100</f>
        <v>-6100</v>
      </c>
      <c r="K489" s="249"/>
      <c r="L489" s="248">
        <f t="shared" si="150"/>
        <v>34539</v>
      </c>
      <c r="M489" s="292">
        <f>10.35</f>
        <v>10.35</v>
      </c>
      <c r="N489" s="249"/>
      <c r="O489" s="248">
        <f t="shared" si="151"/>
        <v>34549.35</v>
      </c>
      <c r="P489" s="93"/>
      <c r="Q489" s="52"/>
    </row>
    <row r="490" spans="1:17" ht="12.75">
      <c r="A490" s="21" t="s">
        <v>286</v>
      </c>
      <c r="B490" s="65">
        <v>1300</v>
      </c>
      <c r="C490" s="134">
        <v>16000</v>
      </c>
      <c r="D490" s="99">
        <f>1050+900</f>
        <v>1950</v>
      </c>
      <c r="E490" s="99">
        <f>23.4+1900</f>
        <v>1923.4</v>
      </c>
      <c r="F490" s="89">
        <f t="shared" si="148"/>
        <v>19873.4</v>
      </c>
      <c r="G490" s="169"/>
      <c r="H490" s="210">
        <f>67040.29</f>
        <v>67040.29</v>
      </c>
      <c r="I490" s="230">
        <f t="shared" si="149"/>
        <v>86913.69</v>
      </c>
      <c r="J490" s="169">
        <f>5500+5048.54</f>
        <v>10548.54</v>
      </c>
      <c r="K490" s="249">
        <f>4978.08+1624.64+4.36+140+379.08+127.17</f>
        <v>7253.33</v>
      </c>
      <c r="L490" s="248">
        <f t="shared" si="150"/>
        <v>104715.56000000001</v>
      </c>
      <c r="M490" s="292">
        <f>-3000+6000</f>
        <v>3000</v>
      </c>
      <c r="N490" s="249">
        <f>-400</f>
        <v>-400</v>
      </c>
      <c r="O490" s="248">
        <f t="shared" si="151"/>
        <v>107315.56000000001</v>
      </c>
      <c r="P490" s="93"/>
      <c r="Q490" s="52"/>
    </row>
    <row r="491" spans="1:17" ht="12.75">
      <c r="A491" s="20" t="s">
        <v>321</v>
      </c>
      <c r="B491" s="68">
        <v>1110</v>
      </c>
      <c r="C491" s="293">
        <v>30000</v>
      </c>
      <c r="D491" s="148"/>
      <c r="E491" s="148"/>
      <c r="F491" s="159">
        <f t="shared" si="148"/>
        <v>30000</v>
      </c>
      <c r="G491" s="174">
        <f>15818</f>
        <v>15818</v>
      </c>
      <c r="H491" s="216"/>
      <c r="I491" s="235">
        <f t="shared" si="149"/>
        <v>45818</v>
      </c>
      <c r="J491" s="174">
        <f>209.89</f>
        <v>209.89</v>
      </c>
      <c r="K491" s="258"/>
      <c r="L491" s="259">
        <f t="shared" si="150"/>
        <v>46027.89</v>
      </c>
      <c r="M491" s="302">
        <f>61.65-10</f>
        <v>51.65</v>
      </c>
      <c r="N491" s="258"/>
      <c r="O491" s="259">
        <f t="shared" si="151"/>
        <v>46079.54</v>
      </c>
      <c r="P491" s="93"/>
      <c r="Q491" s="52"/>
    </row>
    <row r="492" spans="1:17" ht="12.75">
      <c r="A492" s="14" t="s">
        <v>139</v>
      </c>
      <c r="B492" s="69"/>
      <c r="C492" s="133">
        <f aca="true" t="shared" si="152" ref="C492:Q492">C493</f>
        <v>1</v>
      </c>
      <c r="D492" s="86">
        <f t="shared" si="152"/>
        <v>2347.5</v>
      </c>
      <c r="E492" s="86">
        <f t="shared" si="152"/>
        <v>0</v>
      </c>
      <c r="F492" s="94">
        <f t="shared" si="152"/>
        <v>2348.5</v>
      </c>
      <c r="G492" s="168">
        <f t="shared" si="152"/>
        <v>0</v>
      </c>
      <c r="H492" s="209">
        <f t="shared" si="152"/>
        <v>0</v>
      </c>
      <c r="I492" s="229">
        <f t="shared" si="152"/>
        <v>2348.5</v>
      </c>
      <c r="J492" s="168">
        <f t="shared" si="152"/>
        <v>0</v>
      </c>
      <c r="K492" s="246">
        <f t="shared" si="152"/>
        <v>0</v>
      </c>
      <c r="L492" s="247">
        <f t="shared" si="152"/>
        <v>2348.5</v>
      </c>
      <c r="M492" s="309">
        <f t="shared" si="152"/>
        <v>0</v>
      </c>
      <c r="N492" s="246">
        <f t="shared" si="152"/>
        <v>0</v>
      </c>
      <c r="O492" s="247">
        <f t="shared" si="152"/>
        <v>2348.5</v>
      </c>
      <c r="P492" s="86">
        <f t="shared" si="152"/>
        <v>0</v>
      </c>
      <c r="Q492" s="133">
        <f t="shared" si="152"/>
        <v>2348.5</v>
      </c>
    </row>
    <row r="493" spans="1:17" ht="12.75">
      <c r="A493" s="23" t="s">
        <v>48</v>
      </c>
      <c r="B493" s="69"/>
      <c r="C493" s="137">
        <f>C495</f>
        <v>1</v>
      </c>
      <c r="D493" s="102">
        <f aca="true" t="shared" si="153" ref="D493:Q493">D495</f>
        <v>2347.5</v>
      </c>
      <c r="E493" s="102">
        <f t="shared" si="153"/>
        <v>0</v>
      </c>
      <c r="F493" s="120">
        <f t="shared" si="153"/>
        <v>2348.5</v>
      </c>
      <c r="G493" s="171">
        <f t="shared" si="153"/>
        <v>0</v>
      </c>
      <c r="H493" s="214">
        <f t="shared" si="153"/>
        <v>0</v>
      </c>
      <c r="I493" s="233">
        <f t="shared" si="153"/>
        <v>2348.5</v>
      </c>
      <c r="J493" s="171">
        <f t="shared" si="153"/>
        <v>0</v>
      </c>
      <c r="K493" s="254">
        <f t="shared" si="153"/>
        <v>0</v>
      </c>
      <c r="L493" s="255">
        <f t="shared" si="153"/>
        <v>2348.5</v>
      </c>
      <c r="M493" s="315">
        <f>M495</f>
        <v>0</v>
      </c>
      <c r="N493" s="254">
        <f>N495</f>
        <v>0</v>
      </c>
      <c r="O493" s="255">
        <f>O495</f>
        <v>2348.5</v>
      </c>
      <c r="P493" s="102">
        <f t="shared" si="153"/>
        <v>0</v>
      </c>
      <c r="Q493" s="137">
        <f t="shared" si="153"/>
        <v>2348.5</v>
      </c>
    </row>
    <row r="494" spans="1:17" ht="12.75">
      <c r="A494" s="19" t="s">
        <v>26</v>
      </c>
      <c r="B494" s="65"/>
      <c r="C494" s="134"/>
      <c r="D494" s="99"/>
      <c r="E494" s="99"/>
      <c r="F494" s="89"/>
      <c r="G494" s="169"/>
      <c r="H494" s="210"/>
      <c r="I494" s="230"/>
      <c r="J494" s="169"/>
      <c r="K494" s="249"/>
      <c r="L494" s="248"/>
      <c r="M494" s="292"/>
      <c r="N494" s="249"/>
      <c r="O494" s="248"/>
      <c r="P494" s="93"/>
      <c r="Q494" s="52"/>
    </row>
    <row r="495" spans="1:17" ht="12.75">
      <c r="A495" s="155" t="s">
        <v>50</v>
      </c>
      <c r="B495" s="156"/>
      <c r="C495" s="195">
        <v>1</v>
      </c>
      <c r="D495" s="148">
        <f>5347.5-3000</f>
        <v>2347.5</v>
      </c>
      <c r="E495" s="157"/>
      <c r="F495" s="161">
        <f>C495+D495+E495</f>
        <v>2348.5</v>
      </c>
      <c r="G495" s="174"/>
      <c r="H495" s="216"/>
      <c r="I495" s="235">
        <f>F495+G495+H495</f>
        <v>2348.5</v>
      </c>
      <c r="J495" s="174"/>
      <c r="K495" s="258"/>
      <c r="L495" s="259">
        <f>I495+J495+K495</f>
        <v>2348.5</v>
      </c>
      <c r="M495" s="302"/>
      <c r="N495" s="258"/>
      <c r="O495" s="259">
        <f>L495+M495+N495</f>
        <v>2348.5</v>
      </c>
      <c r="P495" s="295"/>
      <c r="Q495" s="54">
        <f>O495+P495</f>
        <v>2348.5</v>
      </c>
    </row>
    <row r="496" spans="1:17" ht="12.75">
      <c r="A496" s="14" t="s">
        <v>97</v>
      </c>
      <c r="B496" s="69"/>
      <c r="C496" s="133">
        <f>C498+C499</f>
        <v>671652</v>
      </c>
      <c r="D496" s="86">
        <f aca="true" t="shared" si="154" ref="D496:Q496">D498+D499</f>
        <v>572038.9000000001</v>
      </c>
      <c r="E496" s="86">
        <f t="shared" si="154"/>
        <v>0</v>
      </c>
      <c r="F496" s="94">
        <f t="shared" si="154"/>
        <v>1243690.9000000001</v>
      </c>
      <c r="G496" s="168">
        <f t="shared" si="154"/>
        <v>21127.149999999998</v>
      </c>
      <c r="H496" s="209">
        <f t="shared" si="154"/>
        <v>-159470.13</v>
      </c>
      <c r="I496" s="229">
        <f t="shared" si="154"/>
        <v>1105347.9200000002</v>
      </c>
      <c r="J496" s="283">
        <f t="shared" si="154"/>
        <v>-168118.7</v>
      </c>
      <c r="K496" s="209">
        <f t="shared" si="154"/>
        <v>-5000</v>
      </c>
      <c r="L496" s="284">
        <f t="shared" si="154"/>
        <v>932229.2200000002</v>
      </c>
      <c r="M496" s="317">
        <f>M498+M499</f>
        <v>2882.99</v>
      </c>
      <c r="N496" s="291">
        <f>N498+N499</f>
        <v>-6655</v>
      </c>
      <c r="O496" s="284">
        <f>O498+O499</f>
        <v>928457.2100000002</v>
      </c>
      <c r="P496" s="86">
        <f t="shared" si="154"/>
        <v>0</v>
      </c>
      <c r="Q496" s="133">
        <f t="shared" si="154"/>
        <v>889568.8600000001</v>
      </c>
    </row>
    <row r="497" spans="1:17" ht="12.75">
      <c r="A497" s="16" t="s">
        <v>26</v>
      </c>
      <c r="B497" s="65"/>
      <c r="C497" s="133"/>
      <c r="D497" s="86"/>
      <c r="E497" s="86"/>
      <c r="F497" s="94"/>
      <c r="G497" s="168"/>
      <c r="H497" s="209"/>
      <c r="I497" s="229"/>
      <c r="J497" s="168"/>
      <c r="K497" s="209"/>
      <c r="L497" s="247"/>
      <c r="M497" s="309"/>
      <c r="N497" s="246"/>
      <c r="O497" s="247"/>
      <c r="P497" s="86"/>
      <c r="Q497" s="133"/>
    </row>
    <row r="498" spans="1:17" ht="12.75">
      <c r="A498" s="14" t="s">
        <v>48</v>
      </c>
      <c r="B498" s="69"/>
      <c r="C498" s="231">
        <f>C505+C507+C519+C521+C526+C538+C522+C512+C540+C514+C544+C528</f>
        <v>42850.65</v>
      </c>
      <c r="D498" s="100">
        <f>D505+D507+D519+D521+D526+D538+D522+D512+D540+D514+D544</f>
        <v>10290.630000000001</v>
      </c>
      <c r="E498" s="100">
        <f>E505+E507+E519+E521+E526+E538+E522+E512+E540+E514+E544</f>
        <v>0</v>
      </c>
      <c r="F498" s="162">
        <f>F505+F507+F519+F521+F526+F538+F522+F512+F540+F514+F544</f>
        <v>53141.28</v>
      </c>
      <c r="G498" s="173">
        <f aca="true" t="shared" si="155" ref="G498:Q498">G505+G507+G519+G521+G526+G538+G522+G512+G540+G514+G544</f>
        <v>4810.8</v>
      </c>
      <c r="H498" s="212">
        <f t="shared" si="155"/>
        <v>-500</v>
      </c>
      <c r="I498" s="173">
        <f>I505+I507+I519+I521+I526+I538+I522+I512+I540+I514+I544+I528</f>
        <v>57452.08</v>
      </c>
      <c r="J498" s="173">
        <f>J505+J507+J519+J521+J526+J538+J522+J512+J540+J514+J544+J528</f>
        <v>-129.94999999999982</v>
      </c>
      <c r="K498" s="212">
        <f t="shared" si="155"/>
        <v>0</v>
      </c>
      <c r="L498" s="158">
        <f>L505+L507+L519+L521+L526+L538+L522+L512+L540+L514+L544+L528</f>
        <v>57322.130000000005</v>
      </c>
      <c r="M498" s="312">
        <f>M505+M507+M519+M521+M526+M538+M522+M512+M540+M514+M544+M528</f>
        <v>0</v>
      </c>
      <c r="N498" s="251">
        <f>N505+N507+N519+N521+N526+N538+N522+N512+N540+N514+N544+N528</f>
        <v>0</v>
      </c>
      <c r="O498" s="158">
        <f>O505+O507+O519+O521+O526+O538+O522+O512+O540+O514+O544+O528</f>
        <v>57322.130000000005</v>
      </c>
      <c r="P498" s="110">
        <f t="shared" si="155"/>
        <v>0</v>
      </c>
      <c r="Q498" s="130">
        <f t="shared" si="155"/>
        <v>52302.130000000005</v>
      </c>
    </row>
    <row r="499" spans="1:17" ht="12.75">
      <c r="A499" s="14" t="s">
        <v>52</v>
      </c>
      <c r="B499" s="69"/>
      <c r="C499" s="231">
        <f>+C502+C503+C504+C508+C509+C511+C513+C515+C517+C518+C520+C523+C525+C527+C529+C531+C532+C534+C535+C537+C539+C541+C543</f>
        <v>628801.35</v>
      </c>
      <c r="D499" s="100">
        <f>+D502+D503+D504+D508+D509+D511+D513+D515+D517+D518+D520+D523+D525+D527+D529+D531+D532+D534+D535+D537+D539+D541+D543</f>
        <v>561748.2700000001</v>
      </c>
      <c r="E499" s="100">
        <f>+E502+E503+E504+E508+E509+E511+E513+E515+E517+E518+E520+E523+E525+E527+E529+E531+E532+E534+E535+E537+E539+E541+E543</f>
        <v>0</v>
      </c>
      <c r="F499" s="162">
        <f>+F502+F503+F504+F508+F509+F511+F513+F515+F517+F518+F520+F523+F525+F527+F529+F531+F532+F534+F535+F537+F539+F541+F543</f>
        <v>1190549.62</v>
      </c>
      <c r="G499" s="173">
        <f aca="true" t="shared" si="156" ref="G499:Q499">+G502+G503+G504+G508+G509+G511+G513+G515+G517+G518+G520+G523+G525+G527+G529+G531+G532+G534+G535+G537+G539+G541+G543</f>
        <v>16316.349999999999</v>
      </c>
      <c r="H499" s="212">
        <f t="shared" si="156"/>
        <v>-158970.13</v>
      </c>
      <c r="I499" s="173">
        <f>+I502+I503+I504+I508+I509+I511+I513+I515+I517+I518+I520+I523+I525+I527+I529+I531+I532+I534+I535+I537+I539+I541+I543</f>
        <v>1047895.8400000002</v>
      </c>
      <c r="J499" s="173">
        <f>+J502+J503+J504+J508+J509+J511+J513+J515+J517+J518+J520+J523+J525+J527+J529+J531+J532+J534+J535+J537+J539+J541+J543</f>
        <v>-167988.75</v>
      </c>
      <c r="K499" s="212">
        <f t="shared" si="156"/>
        <v>-5000</v>
      </c>
      <c r="L499" s="158">
        <f>+L502+L503+L504+L508+L509+L511+L513+L515+L517+L518+L520+L523+L525+L527+L529+L531+L532+L534+L535+L537+L539+L541+L543</f>
        <v>874907.0900000002</v>
      </c>
      <c r="M499" s="312">
        <f>+M502+M503+M504+M508+M509+M511+M513+M515+M517+M518+M520+M523+M525+M527+M529+M531+M532+M534+M535+M537+M539+M541+M543</f>
        <v>2882.99</v>
      </c>
      <c r="N499" s="251">
        <f>+N502+N503+N504+N508+N509+N511+N513+N515+N517+N518+N520+N523+N525+N527+N529+N531+N532+N534+N535+N537+N539+N541+N543</f>
        <v>-6655</v>
      </c>
      <c r="O499" s="158">
        <f>+O502+O503+O504+O508+O509+O511+O513+O515+O517+O518+O520+O523+O525+O527+O529+O531+O532+O534+O535+O537+O539+O541+O543</f>
        <v>871135.0800000002</v>
      </c>
      <c r="P499" s="110">
        <f t="shared" si="156"/>
        <v>0</v>
      </c>
      <c r="Q499" s="130">
        <f t="shared" si="156"/>
        <v>837266.7300000001</v>
      </c>
    </row>
    <row r="500" spans="1:17" ht="12.75">
      <c r="A500" s="15" t="s">
        <v>98</v>
      </c>
      <c r="B500" s="65"/>
      <c r="C500" s="133"/>
      <c r="D500" s="86"/>
      <c r="E500" s="86"/>
      <c r="F500" s="94"/>
      <c r="G500" s="168"/>
      <c r="H500" s="209"/>
      <c r="I500" s="229"/>
      <c r="J500" s="168"/>
      <c r="K500" s="209"/>
      <c r="L500" s="247"/>
      <c r="M500" s="309"/>
      <c r="N500" s="246"/>
      <c r="O500" s="247"/>
      <c r="P500" s="93"/>
      <c r="Q500" s="52"/>
    </row>
    <row r="501" spans="1:17" ht="12.75">
      <c r="A501" s="16" t="s">
        <v>102</v>
      </c>
      <c r="B501" s="65">
        <v>10</v>
      </c>
      <c r="C501" s="134">
        <f>SUM(C502:C505)</f>
        <v>155000</v>
      </c>
      <c r="D501" s="99">
        <f aca="true" t="shared" si="157" ref="D501:Q501">SUM(D502:D505)</f>
        <v>67670.95999999999</v>
      </c>
      <c r="E501" s="99">
        <f t="shared" si="157"/>
        <v>0</v>
      </c>
      <c r="F501" s="89">
        <f t="shared" si="157"/>
        <v>222670.96000000002</v>
      </c>
      <c r="G501" s="169">
        <f t="shared" si="157"/>
        <v>16146.619999999999</v>
      </c>
      <c r="H501" s="210">
        <f t="shared" si="157"/>
        <v>0</v>
      </c>
      <c r="I501" s="230">
        <f t="shared" si="157"/>
        <v>238817.58000000002</v>
      </c>
      <c r="J501" s="169">
        <f t="shared" si="157"/>
        <v>-57500</v>
      </c>
      <c r="K501" s="210">
        <f t="shared" si="157"/>
        <v>0</v>
      </c>
      <c r="L501" s="248">
        <f t="shared" si="157"/>
        <v>181317.58000000002</v>
      </c>
      <c r="M501" s="292">
        <f t="shared" si="157"/>
        <v>0</v>
      </c>
      <c r="N501" s="249">
        <f t="shared" si="157"/>
        <v>0</v>
      </c>
      <c r="O501" s="248">
        <f t="shared" si="157"/>
        <v>181317.58000000002</v>
      </c>
      <c r="P501" s="109">
        <f t="shared" si="157"/>
        <v>0</v>
      </c>
      <c r="Q501" s="109">
        <f t="shared" si="157"/>
        <v>181317.58000000002</v>
      </c>
    </row>
    <row r="502" spans="1:17" ht="12.75" hidden="1">
      <c r="A502" s="16" t="s">
        <v>103</v>
      </c>
      <c r="B502" s="65"/>
      <c r="C502" s="134"/>
      <c r="D502" s="99"/>
      <c r="E502" s="99"/>
      <c r="F502" s="89">
        <f aca="true" t="shared" si="158" ref="F502:F547">C502+D502+E502</f>
        <v>0</v>
      </c>
      <c r="G502" s="169"/>
      <c r="H502" s="210"/>
      <c r="I502" s="230">
        <f>F502+G502+H502</f>
        <v>0</v>
      </c>
      <c r="J502" s="169"/>
      <c r="K502" s="210"/>
      <c r="L502" s="248">
        <f>I502+J502+K502</f>
        <v>0</v>
      </c>
      <c r="M502" s="292"/>
      <c r="N502" s="249"/>
      <c r="O502" s="248">
        <f>L502+M502+N502</f>
        <v>0</v>
      </c>
      <c r="P502" s="93"/>
      <c r="Q502" s="52">
        <f>O502+P502</f>
        <v>0</v>
      </c>
    </row>
    <row r="503" spans="1:17" ht="12.75">
      <c r="A503" s="66" t="s">
        <v>100</v>
      </c>
      <c r="B503" s="65"/>
      <c r="C503" s="134">
        <v>140000</v>
      </c>
      <c r="D503" s="150">
        <f>24156.01+55000</f>
        <v>79156.01</v>
      </c>
      <c r="E503" s="150"/>
      <c r="F503" s="89">
        <f t="shared" si="158"/>
        <v>219156.01</v>
      </c>
      <c r="G503" s="169">
        <f>14000</f>
        <v>14000</v>
      </c>
      <c r="H503" s="210"/>
      <c r="I503" s="230">
        <f>F503+G503+H503</f>
        <v>233156.01</v>
      </c>
      <c r="J503" s="169">
        <f>-2500-55000</f>
        <v>-57500</v>
      </c>
      <c r="K503" s="210"/>
      <c r="L503" s="248">
        <f>I503+J503+K503</f>
        <v>175656.01</v>
      </c>
      <c r="M503" s="292"/>
      <c r="N503" s="249"/>
      <c r="O503" s="248">
        <f>L503+M503+N503</f>
        <v>175656.01</v>
      </c>
      <c r="P503" s="93"/>
      <c r="Q503" s="52">
        <f>O503+P503</f>
        <v>175656.01</v>
      </c>
    </row>
    <row r="504" spans="1:17" ht="12.75">
      <c r="A504" s="16" t="s">
        <v>101</v>
      </c>
      <c r="B504" s="65"/>
      <c r="C504" s="134"/>
      <c r="D504" s="99">
        <f>1000</f>
        <v>1000</v>
      </c>
      <c r="E504" s="99"/>
      <c r="F504" s="89">
        <f t="shared" si="158"/>
        <v>1000</v>
      </c>
      <c r="G504" s="169">
        <f>1146.62</f>
        <v>1146.62</v>
      </c>
      <c r="H504" s="210"/>
      <c r="I504" s="230">
        <f>F504+G504+H504</f>
        <v>2146.62</v>
      </c>
      <c r="J504" s="169"/>
      <c r="K504" s="249"/>
      <c r="L504" s="248">
        <f>I504+J504+K504</f>
        <v>2146.62</v>
      </c>
      <c r="M504" s="292"/>
      <c r="N504" s="249"/>
      <c r="O504" s="248">
        <f>L504+M504+N504</f>
        <v>2146.62</v>
      </c>
      <c r="P504" s="93"/>
      <c r="Q504" s="52">
        <f>O504+P504</f>
        <v>2146.62</v>
      </c>
    </row>
    <row r="505" spans="1:17" ht="12.75">
      <c r="A505" s="17" t="s">
        <v>130</v>
      </c>
      <c r="B505" s="65"/>
      <c r="C505" s="134">
        <v>15000</v>
      </c>
      <c r="D505" s="186">
        <f>-12485.05</f>
        <v>-12485.05</v>
      </c>
      <c r="E505" s="99"/>
      <c r="F505" s="89">
        <f t="shared" si="158"/>
        <v>2514.9500000000007</v>
      </c>
      <c r="G505" s="169">
        <f>1000</f>
        <v>1000</v>
      </c>
      <c r="H505" s="210"/>
      <c r="I505" s="230">
        <f>F505+G505+H505</f>
        <v>3514.9500000000007</v>
      </c>
      <c r="J505" s="169"/>
      <c r="K505" s="249"/>
      <c r="L505" s="248">
        <f>I505+J505+K505</f>
        <v>3514.9500000000007</v>
      </c>
      <c r="M505" s="292"/>
      <c r="N505" s="249"/>
      <c r="O505" s="248">
        <f>L505+M505+N505</f>
        <v>3514.9500000000007</v>
      </c>
      <c r="P505" s="93"/>
      <c r="Q505" s="52">
        <f>O505+P505</f>
        <v>3514.9500000000007</v>
      </c>
    </row>
    <row r="506" spans="1:17" ht="12.75">
      <c r="A506" s="16" t="s">
        <v>105</v>
      </c>
      <c r="B506" s="65">
        <v>12</v>
      </c>
      <c r="C506" s="134">
        <f aca="true" t="shared" si="159" ref="C506:Q506">C507+C508+C509</f>
        <v>46500</v>
      </c>
      <c r="D506" s="99">
        <f t="shared" si="159"/>
        <v>103625.43000000001</v>
      </c>
      <c r="E506" s="99">
        <f t="shared" si="159"/>
        <v>0</v>
      </c>
      <c r="F506" s="89">
        <f t="shared" si="159"/>
        <v>150125.43000000002</v>
      </c>
      <c r="G506" s="169">
        <f t="shared" si="159"/>
        <v>-20000</v>
      </c>
      <c r="H506" s="210">
        <f t="shared" si="159"/>
        <v>-90500</v>
      </c>
      <c r="I506" s="230">
        <f t="shared" si="159"/>
        <v>39625.43</v>
      </c>
      <c r="J506" s="169">
        <f t="shared" si="159"/>
        <v>-28350.000000000004</v>
      </c>
      <c r="K506" s="249">
        <f t="shared" si="159"/>
        <v>0</v>
      </c>
      <c r="L506" s="248">
        <f t="shared" si="159"/>
        <v>11275.43</v>
      </c>
      <c r="M506" s="292">
        <f t="shared" si="159"/>
        <v>0</v>
      </c>
      <c r="N506" s="249">
        <f t="shared" si="159"/>
        <v>0</v>
      </c>
      <c r="O506" s="248">
        <f t="shared" si="159"/>
        <v>11275.43</v>
      </c>
      <c r="P506" s="109">
        <f t="shared" si="159"/>
        <v>0</v>
      </c>
      <c r="Q506" s="109">
        <f t="shared" si="159"/>
        <v>11275.43</v>
      </c>
    </row>
    <row r="507" spans="1:17" ht="12.75">
      <c r="A507" s="16" t="s">
        <v>106</v>
      </c>
      <c r="B507" s="65"/>
      <c r="C507" s="134">
        <v>3249.65</v>
      </c>
      <c r="D507" s="99">
        <f>1639.99</f>
        <v>1639.99</v>
      </c>
      <c r="E507" s="99"/>
      <c r="F507" s="89">
        <f t="shared" si="158"/>
        <v>4889.64</v>
      </c>
      <c r="G507" s="169"/>
      <c r="H507" s="210"/>
      <c r="I507" s="230">
        <f>F507+G507+H507</f>
        <v>4889.64</v>
      </c>
      <c r="J507" s="169">
        <f>-1375.06-25</f>
        <v>-1400.06</v>
      </c>
      <c r="K507" s="249"/>
      <c r="L507" s="248">
        <f>I507+J507+K507</f>
        <v>3489.5800000000004</v>
      </c>
      <c r="M507" s="292"/>
      <c r="N507" s="249"/>
      <c r="O507" s="248">
        <f>L507+M507+N507</f>
        <v>3489.5800000000004</v>
      </c>
      <c r="P507" s="93"/>
      <c r="Q507" s="52">
        <f>O507+P507</f>
        <v>3489.5800000000004</v>
      </c>
    </row>
    <row r="508" spans="1:17" ht="12.75">
      <c r="A508" s="16" t="s">
        <v>104</v>
      </c>
      <c r="B508" s="65"/>
      <c r="C508" s="134">
        <v>41500</v>
      </c>
      <c r="D508" s="99">
        <f>102295.44</f>
        <v>102295.44</v>
      </c>
      <c r="E508" s="99"/>
      <c r="F508" s="89">
        <f t="shared" si="158"/>
        <v>143795.44</v>
      </c>
      <c r="G508" s="169">
        <f>-20000</f>
        <v>-20000</v>
      </c>
      <c r="H508" s="210">
        <f>-90500</f>
        <v>-90500</v>
      </c>
      <c r="I508" s="230">
        <f>F508+G508+H508</f>
        <v>33295.44</v>
      </c>
      <c r="J508" s="169">
        <f>1674.71-28325</f>
        <v>-26650.29</v>
      </c>
      <c r="K508" s="249"/>
      <c r="L508" s="248">
        <f>I508+J508+K508</f>
        <v>6645.1500000000015</v>
      </c>
      <c r="M508" s="292"/>
      <c r="N508" s="249"/>
      <c r="O508" s="248">
        <f>L508+M508+N508</f>
        <v>6645.1500000000015</v>
      </c>
      <c r="P508" s="93"/>
      <c r="Q508" s="52">
        <f>O508+P508</f>
        <v>6645.1500000000015</v>
      </c>
    </row>
    <row r="509" spans="1:17" ht="12.75" customHeight="1">
      <c r="A509" s="16" t="s">
        <v>101</v>
      </c>
      <c r="B509" s="65"/>
      <c r="C509" s="134">
        <v>1750.35</v>
      </c>
      <c r="D509" s="99">
        <f>-310</f>
        <v>-310</v>
      </c>
      <c r="E509" s="99"/>
      <c r="F509" s="89">
        <f t="shared" si="158"/>
        <v>1440.35</v>
      </c>
      <c r="G509" s="169">
        <f>1251.29-1251.29</f>
        <v>0</v>
      </c>
      <c r="H509" s="210"/>
      <c r="I509" s="230">
        <f>F509+G509+H509</f>
        <v>1440.35</v>
      </c>
      <c r="J509" s="169">
        <f>-299.65</f>
        <v>-299.65</v>
      </c>
      <c r="K509" s="249"/>
      <c r="L509" s="248">
        <f>I509+J509+K509</f>
        <v>1140.6999999999998</v>
      </c>
      <c r="M509" s="292"/>
      <c r="N509" s="249"/>
      <c r="O509" s="248">
        <f>L509+M509+N509</f>
        <v>1140.6999999999998</v>
      </c>
      <c r="P509" s="93"/>
      <c r="Q509" s="52">
        <f>O509+P509</f>
        <v>1140.6999999999998</v>
      </c>
    </row>
    <row r="510" spans="1:17" ht="12.75">
      <c r="A510" s="16" t="s">
        <v>107</v>
      </c>
      <c r="B510" s="65">
        <v>14</v>
      </c>
      <c r="C510" s="134">
        <f>SUM(C511:C515)</f>
        <v>100000</v>
      </c>
      <c r="D510" s="99">
        <f aca="true" t="shared" si="160" ref="D510:Q510">SUM(D511:D515)</f>
        <v>89233.02</v>
      </c>
      <c r="E510" s="99">
        <f t="shared" si="160"/>
        <v>0</v>
      </c>
      <c r="F510" s="89">
        <f t="shared" si="160"/>
        <v>189233.02</v>
      </c>
      <c r="G510" s="169">
        <f t="shared" si="160"/>
        <v>24980.53</v>
      </c>
      <c r="H510" s="210">
        <f t="shared" si="160"/>
        <v>0</v>
      </c>
      <c r="I510" s="230">
        <f t="shared" si="160"/>
        <v>214213.55</v>
      </c>
      <c r="J510" s="169">
        <f t="shared" si="160"/>
        <v>3074.5</v>
      </c>
      <c r="K510" s="249">
        <f t="shared" si="160"/>
        <v>0</v>
      </c>
      <c r="L510" s="248">
        <f t="shared" si="160"/>
        <v>217288.05</v>
      </c>
      <c r="M510" s="292">
        <f t="shared" si="160"/>
        <v>1846</v>
      </c>
      <c r="N510" s="249">
        <f t="shared" si="160"/>
        <v>0</v>
      </c>
      <c r="O510" s="248">
        <f t="shared" si="160"/>
        <v>219134.05</v>
      </c>
      <c r="P510" s="109">
        <f t="shared" si="160"/>
        <v>0</v>
      </c>
      <c r="Q510" s="109">
        <f t="shared" si="160"/>
        <v>219134.05</v>
      </c>
    </row>
    <row r="511" spans="1:17" ht="12.75">
      <c r="A511" s="16" t="s">
        <v>108</v>
      </c>
      <c r="B511" s="65"/>
      <c r="C511" s="134">
        <v>64700</v>
      </c>
      <c r="D511" s="150">
        <f>45466.63-500+500</f>
        <v>45466.63</v>
      </c>
      <c r="E511" s="150"/>
      <c r="F511" s="89">
        <f t="shared" si="158"/>
        <v>110166.63</v>
      </c>
      <c r="G511" s="169">
        <f>560+56.73+2258+7350</f>
        <v>10224.73</v>
      </c>
      <c r="H511" s="210"/>
      <c r="I511" s="230">
        <f>F511+G511+H511</f>
        <v>120391.36</v>
      </c>
      <c r="J511" s="169">
        <f>3420</f>
        <v>3420</v>
      </c>
      <c r="K511" s="249"/>
      <c r="L511" s="248">
        <f>I511+J511+K511</f>
        <v>123811.36</v>
      </c>
      <c r="M511" s="292">
        <f>1665+103+500+800+110</f>
        <v>3178</v>
      </c>
      <c r="N511" s="249"/>
      <c r="O511" s="248">
        <f>L511+M511+N511</f>
        <v>126989.36</v>
      </c>
      <c r="P511" s="93"/>
      <c r="Q511" s="52">
        <f aca="true" t="shared" si="161" ref="Q511:Q558">O511+P511</f>
        <v>126989.36</v>
      </c>
    </row>
    <row r="512" spans="1:17" ht="12.75">
      <c r="A512" s="16" t="s">
        <v>109</v>
      </c>
      <c r="B512" s="65"/>
      <c r="C512" s="134">
        <v>15300</v>
      </c>
      <c r="D512" s="99">
        <f>7126.46</f>
        <v>7126.46</v>
      </c>
      <c r="E512" s="99"/>
      <c r="F512" s="89">
        <f t="shared" si="158"/>
        <v>22426.46</v>
      </c>
      <c r="G512" s="169">
        <f>-60+40.8-2000+1150</f>
        <v>-869.2</v>
      </c>
      <c r="H512" s="210"/>
      <c r="I512" s="230">
        <f>F512+G512+H512</f>
        <v>21557.26</v>
      </c>
      <c r="J512" s="169">
        <f>1580</f>
        <v>1580</v>
      </c>
      <c r="K512" s="249"/>
      <c r="L512" s="248">
        <f>I512+J512+K512</f>
        <v>23137.26</v>
      </c>
      <c r="M512" s="292">
        <f>605-376-500+436+500</f>
        <v>665</v>
      </c>
      <c r="N512" s="249"/>
      <c r="O512" s="248">
        <f>L512+M512+N512</f>
        <v>23802.26</v>
      </c>
      <c r="P512" s="93"/>
      <c r="Q512" s="52">
        <f t="shared" si="161"/>
        <v>23802.26</v>
      </c>
    </row>
    <row r="513" spans="1:17" ht="13.5" customHeight="1">
      <c r="A513" s="16" t="s">
        <v>110</v>
      </c>
      <c r="B513" s="65"/>
      <c r="C513" s="134">
        <v>11000</v>
      </c>
      <c r="D513" s="99">
        <f>30396.63+500+4500</f>
        <v>35396.630000000005</v>
      </c>
      <c r="E513" s="99"/>
      <c r="F513" s="89">
        <f t="shared" si="158"/>
        <v>46396.630000000005</v>
      </c>
      <c r="G513" s="169">
        <f>-500+3-873.75+16500-120</f>
        <v>15009.25</v>
      </c>
      <c r="H513" s="210"/>
      <c r="I513" s="230">
        <f>F513+G513+H513</f>
        <v>61405.880000000005</v>
      </c>
      <c r="J513" s="169">
        <f>3500-500</f>
        <v>3000</v>
      </c>
      <c r="K513" s="249"/>
      <c r="L513" s="248">
        <f>I513+J513+K513</f>
        <v>64405.880000000005</v>
      </c>
      <c r="M513" s="292">
        <f>-2820-177</f>
        <v>-2997</v>
      </c>
      <c r="N513" s="249"/>
      <c r="O513" s="248">
        <f>L513+M513+N513</f>
        <v>61408.880000000005</v>
      </c>
      <c r="P513" s="93"/>
      <c r="Q513" s="52">
        <f t="shared" si="161"/>
        <v>61408.880000000005</v>
      </c>
    </row>
    <row r="514" spans="1:17" ht="13.5" customHeight="1">
      <c r="A514" s="17" t="s">
        <v>130</v>
      </c>
      <c r="B514" s="65"/>
      <c r="C514" s="134">
        <v>9000</v>
      </c>
      <c r="D514" s="99">
        <f>1179.05</f>
        <v>1179.05</v>
      </c>
      <c r="E514" s="99"/>
      <c r="F514" s="89">
        <f t="shared" si="158"/>
        <v>10179.05</v>
      </c>
      <c r="G514" s="169">
        <f>680</f>
        <v>680</v>
      </c>
      <c r="H514" s="210"/>
      <c r="I514" s="230">
        <f>F514+G514+H514</f>
        <v>10859.05</v>
      </c>
      <c r="J514" s="169">
        <f>-5000+74.5</f>
        <v>-4925.5</v>
      </c>
      <c r="K514" s="249"/>
      <c r="L514" s="248">
        <f>I514+J514+K514</f>
        <v>5933.549999999999</v>
      </c>
      <c r="M514" s="292">
        <f>550+450</f>
        <v>1000</v>
      </c>
      <c r="N514" s="249"/>
      <c r="O514" s="248">
        <f>L514+M514+N514</f>
        <v>6933.549999999999</v>
      </c>
      <c r="P514" s="93"/>
      <c r="Q514" s="52">
        <f t="shared" si="161"/>
        <v>6933.549999999999</v>
      </c>
    </row>
    <row r="515" spans="1:17" ht="12.75" hidden="1">
      <c r="A515" s="16" t="s">
        <v>111</v>
      </c>
      <c r="B515" s="65"/>
      <c r="C515" s="134">
        <v>0</v>
      </c>
      <c r="D515" s="99">
        <f>64.25</f>
        <v>64.25</v>
      </c>
      <c r="E515" s="99"/>
      <c r="F515" s="89">
        <f t="shared" si="158"/>
        <v>64.25</v>
      </c>
      <c r="G515" s="169">
        <f>-64.25</f>
        <v>-64.25</v>
      </c>
      <c r="H515" s="210"/>
      <c r="I515" s="230">
        <f>F515+G515+H515</f>
        <v>0</v>
      </c>
      <c r="J515" s="169"/>
      <c r="K515" s="249"/>
      <c r="L515" s="248">
        <f>I515+J515+K515</f>
        <v>0</v>
      </c>
      <c r="M515" s="292"/>
      <c r="N515" s="249"/>
      <c r="O515" s="248">
        <f>L515+M515+N515</f>
        <v>0</v>
      </c>
      <c r="P515" s="93"/>
      <c r="Q515" s="52">
        <f t="shared" si="161"/>
        <v>0</v>
      </c>
    </row>
    <row r="516" spans="1:17" ht="12.75">
      <c r="A516" s="16" t="s">
        <v>112</v>
      </c>
      <c r="B516" s="65">
        <v>15</v>
      </c>
      <c r="C516" s="134">
        <f>SUM(C517:C523)</f>
        <v>250000</v>
      </c>
      <c r="D516" s="99">
        <f aca="true" t="shared" si="162" ref="D516:Q516">SUM(D517:D523)</f>
        <v>167727.81000000003</v>
      </c>
      <c r="E516" s="99">
        <f t="shared" si="162"/>
        <v>0</v>
      </c>
      <c r="F516" s="89">
        <f t="shared" si="162"/>
        <v>417727.81000000006</v>
      </c>
      <c r="G516" s="169">
        <f t="shared" si="162"/>
        <v>0</v>
      </c>
      <c r="H516" s="210">
        <f t="shared" si="162"/>
        <v>-25970.13</v>
      </c>
      <c r="I516" s="230">
        <f t="shared" si="162"/>
        <v>391757.68000000005</v>
      </c>
      <c r="J516" s="169">
        <f t="shared" si="162"/>
        <v>-6899.999999999999</v>
      </c>
      <c r="K516" s="249">
        <f t="shared" si="162"/>
        <v>0</v>
      </c>
      <c r="L516" s="248">
        <f t="shared" si="162"/>
        <v>384857.68</v>
      </c>
      <c r="M516" s="292">
        <f t="shared" si="162"/>
        <v>1036.9899999999998</v>
      </c>
      <c r="N516" s="249">
        <f t="shared" si="162"/>
        <v>-6655</v>
      </c>
      <c r="O516" s="248">
        <f t="shared" si="162"/>
        <v>379239.67</v>
      </c>
      <c r="P516" s="99">
        <f t="shared" si="162"/>
        <v>0</v>
      </c>
      <c r="Q516" s="134">
        <f t="shared" si="162"/>
        <v>379239.67</v>
      </c>
    </row>
    <row r="517" spans="1:17" ht="12.75">
      <c r="A517" s="16" t="s">
        <v>113</v>
      </c>
      <c r="B517" s="65"/>
      <c r="C517" s="134">
        <v>218384.89</v>
      </c>
      <c r="D517" s="99">
        <f>335900.53-200000</f>
        <v>135900.53000000003</v>
      </c>
      <c r="E517" s="99"/>
      <c r="F517" s="89">
        <f t="shared" si="158"/>
        <v>354285.42000000004</v>
      </c>
      <c r="G517" s="169">
        <f>1300</f>
        <v>1300</v>
      </c>
      <c r="H517" s="210">
        <f>-22820.74</f>
        <v>-22820.74</v>
      </c>
      <c r="I517" s="230">
        <f aca="true" t="shared" si="163" ref="I517:I523">F517+G517+H517</f>
        <v>332764.68000000005</v>
      </c>
      <c r="J517" s="169">
        <f>164.49-1519.14-4900</f>
        <v>-6254.65</v>
      </c>
      <c r="K517" s="249"/>
      <c r="L517" s="248">
        <f aca="true" t="shared" si="164" ref="L517:L523">I517+J517+K517</f>
        <v>326510.03</v>
      </c>
      <c r="M517" s="292">
        <f>1000+210+1000+36.99</f>
        <v>2246.99</v>
      </c>
      <c r="N517" s="249">
        <f>-6655</f>
        <v>-6655</v>
      </c>
      <c r="O517" s="248">
        <f aca="true" t="shared" si="165" ref="O517:O523">L517+M517+N517</f>
        <v>322102.02</v>
      </c>
      <c r="P517" s="93"/>
      <c r="Q517" s="52">
        <f t="shared" si="161"/>
        <v>322102.02</v>
      </c>
    </row>
    <row r="518" spans="1:17" ht="12.75" hidden="1">
      <c r="A518" s="16" t="s">
        <v>114</v>
      </c>
      <c r="B518" s="65"/>
      <c r="C518" s="134"/>
      <c r="D518" s="99"/>
      <c r="E518" s="99"/>
      <c r="F518" s="89">
        <f t="shared" si="158"/>
        <v>0</v>
      </c>
      <c r="G518" s="169"/>
      <c r="H518" s="210"/>
      <c r="I518" s="230">
        <f t="shared" si="163"/>
        <v>0</v>
      </c>
      <c r="J518" s="169"/>
      <c r="K518" s="249"/>
      <c r="L518" s="248">
        <f t="shared" si="164"/>
        <v>0</v>
      </c>
      <c r="M518" s="292"/>
      <c r="N518" s="249"/>
      <c r="O518" s="248">
        <f t="shared" si="165"/>
        <v>0</v>
      </c>
      <c r="P518" s="93"/>
      <c r="Q518" s="52">
        <f t="shared" si="161"/>
        <v>0</v>
      </c>
    </row>
    <row r="519" spans="1:17" ht="12.75" hidden="1">
      <c r="A519" s="16" t="s">
        <v>115</v>
      </c>
      <c r="B519" s="65"/>
      <c r="C519" s="134"/>
      <c r="D519" s="150"/>
      <c r="E519" s="150"/>
      <c r="F519" s="89">
        <f t="shared" si="158"/>
        <v>0</v>
      </c>
      <c r="G519" s="169"/>
      <c r="H519" s="210"/>
      <c r="I519" s="230">
        <f t="shared" si="163"/>
        <v>0</v>
      </c>
      <c r="J519" s="169"/>
      <c r="K519" s="249"/>
      <c r="L519" s="248">
        <f t="shared" si="164"/>
        <v>0</v>
      </c>
      <c r="M519" s="292"/>
      <c r="N519" s="249"/>
      <c r="O519" s="248">
        <f t="shared" si="165"/>
        <v>0</v>
      </c>
      <c r="P519" s="93"/>
      <c r="Q519" s="52">
        <f t="shared" si="161"/>
        <v>0</v>
      </c>
    </row>
    <row r="520" spans="1:17" ht="12.75">
      <c r="A520" s="16" t="s">
        <v>116</v>
      </c>
      <c r="B520" s="65"/>
      <c r="C520" s="134">
        <v>28865.11</v>
      </c>
      <c r="D520" s="99">
        <f>8982.01+600</f>
        <v>9582.01</v>
      </c>
      <c r="E520" s="99"/>
      <c r="F520" s="89">
        <f t="shared" si="158"/>
        <v>38447.12</v>
      </c>
      <c r="G520" s="169"/>
      <c r="H520" s="210">
        <f>-1006</f>
        <v>-1006</v>
      </c>
      <c r="I520" s="230">
        <f t="shared" si="163"/>
        <v>37441.12</v>
      </c>
      <c r="J520" s="169">
        <f>-2000</f>
        <v>-2000</v>
      </c>
      <c r="K520" s="249"/>
      <c r="L520" s="248">
        <f t="shared" si="164"/>
        <v>35441.12</v>
      </c>
      <c r="M520" s="292"/>
      <c r="N520" s="249"/>
      <c r="O520" s="248">
        <f t="shared" si="165"/>
        <v>35441.12</v>
      </c>
      <c r="P520" s="93"/>
      <c r="Q520" s="52">
        <f t="shared" si="161"/>
        <v>35441.12</v>
      </c>
    </row>
    <row r="521" spans="1:17" ht="12.75">
      <c r="A521" s="16" t="s">
        <v>117</v>
      </c>
      <c r="B521" s="65"/>
      <c r="C521" s="134">
        <v>200</v>
      </c>
      <c r="D521" s="99">
        <f>745.74</f>
        <v>745.74</v>
      </c>
      <c r="E521" s="99"/>
      <c r="F521" s="89">
        <f t="shared" si="158"/>
        <v>945.74</v>
      </c>
      <c r="G521" s="169"/>
      <c r="H521" s="210"/>
      <c r="I521" s="230">
        <f t="shared" si="163"/>
        <v>945.74</v>
      </c>
      <c r="J521" s="175"/>
      <c r="K521" s="249"/>
      <c r="L521" s="248">
        <f t="shared" si="164"/>
        <v>945.74</v>
      </c>
      <c r="M521" s="292"/>
      <c r="N521" s="249"/>
      <c r="O521" s="248">
        <f t="shared" si="165"/>
        <v>945.74</v>
      </c>
      <c r="P521" s="93"/>
      <c r="Q521" s="52">
        <f t="shared" si="161"/>
        <v>945.74</v>
      </c>
    </row>
    <row r="522" spans="1:17" ht="12.75">
      <c r="A522" s="16" t="s">
        <v>118</v>
      </c>
      <c r="B522" s="65"/>
      <c r="C522" s="134">
        <v>0</v>
      </c>
      <c r="D522" s="99">
        <f>6940.44</f>
        <v>6940.44</v>
      </c>
      <c r="E522" s="99"/>
      <c r="F522" s="89">
        <f t="shared" si="158"/>
        <v>6940.44</v>
      </c>
      <c r="G522" s="169">
        <f>4000</f>
        <v>4000</v>
      </c>
      <c r="H522" s="210">
        <f>-500</f>
        <v>-500</v>
      </c>
      <c r="I522" s="230">
        <f t="shared" si="163"/>
        <v>10440.439999999999</v>
      </c>
      <c r="J522" s="169">
        <f>-36.39+2700</f>
        <v>2663.61</v>
      </c>
      <c r="K522" s="249"/>
      <c r="L522" s="248">
        <f t="shared" si="164"/>
        <v>13104.05</v>
      </c>
      <c r="M522" s="292">
        <f>-1000</f>
        <v>-1000</v>
      </c>
      <c r="N522" s="249"/>
      <c r="O522" s="248">
        <f t="shared" si="165"/>
        <v>12104.05</v>
      </c>
      <c r="P522" s="93"/>
      <c r="Q522" s="52">
        <f t="shared" si="161"/>
        <v>12104.05</v>
      </c>
    </row>
    <row r="523" spans="1:17" ht="12.75">
      <c r="A523" s="16" t="s">
        <v>111</v>
      </c>
      <c r="B523" s="65"/>
      <c r="C523" s="134">
        <v>2550</v>
      </c>
      <c r="D523" s="99">
        <f>14559.09</f>
        <v>14559.09</v>
      </c>
      <c r="E523" s="99"/>
      <c r="F523" s="89">
        <f t="shared" si="158"/>
        <v>17109.09</v>
      </c>
      <c r="G523" s="169">
        <f>-5300</f>
        <v>-5300</v>
      </c>
      <c r="H523" s="210">
        <f>-1643.39</f>
        <v>-1643.39</v>
      </c>
      <c r="I523" s="230">
        <f t="shared" si="163"/>
        <v>10165.7</v>
      </c>
      <c r="J523" s="169">
        <f>-128.1-1180.86</f>
        <v>-1308.9599999999998</v>
      </c>
      <c r="K523" s="249"/>
      <c r="L523" s="248">
        <f t="shared" si="164"/>
        <v>8856.740000000002</v>
      </c>
      <c r="M523" s="292">
        <f>-210</f>
        <v>-210</v>
      </c>
      <c r="N523" s="249"/>
      <c r="O523" s="248">
        <f t="shared" si="165"/>
        <v>8646.740000000002</v>
      </c>
      <c r="P523" s="93"/>
      <c r="Q523" s="52">
        <f t="shared" si="161"/>
        <v>8646.740000000002</v>
      </c>
    </row>
    <row r="524" spans="1:17" ht="12.75">
      <c r="A524" s="16" t="s">
        <v>119</v>
      </c>
      <c r="B524" s="65">
        <v>16</v>
      </c>
      <c r="C524" s="134">
        <f>SUM(C525:C529)</f>
        <v>5000</v>
      </c>
      <c r="D524" s="99">
        <f aca="true" t="shared" si="166" ref="D524:Q524">SUM(D525:D529)</f>
        <v>36342.310000000005</v>
      </c>
      <c r="E524" s="99">
        <f t="shared" si="166"/>
        <v>0</v>
      </c>
      <c r="F524" s="89">
        <f t="shared" si="166"/>
        <v>41342.310000000005</v>
      </c>
      <c r="G524" s="169">
        <f t="shared" si="166"/>
        <v>0</v>
      </c>
      <c r="H524" s="210">
        <f t="shared" si="166"/>
        <v>-10000</v>
      </c>
      <c r="I524" s="230">
        <f t="shared" si="166"/>
        <v>31342.310000000005</v>
      </c>
      <c r="J524" s="169">
        <f t="shared" si="166"/>
        <v>6350</v>
      </c>
      <c r="K524" s="249">
        <f t="shared" si="166"/>
        <v>0</v>
      </c>
      <c r="L524" s="248">
        <f t="shared" si="166"/>
        <v>37692.310000000005</v>
      </c>
      <c r="M524" s="292">
        <f t="shared" si="166"/>
        <v>0</v>
      </c>
      <c r="N524" s="249">
        <f t="shared" si="166"/>
        <v>0</v>
      </c>
      <c r="O524" s="248">
        <f t="shared" si="166"/>
        <v>37692.310000000005</v>
      </c>
      <c r="P524" s="99">
        <f t="shared" si="166"/>
        <v>0</v>
      </c>
      <c r="Q524" s="134">
        <f t="shared" si="166"/>
        <v>37692.310000000005</v>
      </c>
    </row>
    <row r="525" spans="1:17" ht="12.75">
      <c r="A525" s="16" t="s">
        <v>108</v>
      </c>
      <c r="B525" s="65"/>
      <c r="C525" s="134">
        <v>3201</v>
      </c>
      <c r="D525" s="99">
        <f>1700</f>
        <v>1700</v>
      </c>
      <c r="E525" s="99"/>
      <c r="F525" s="89">
        <f t="shared" si="158"/>
        <v>4901</v>
      </c>
      <c r="G525" s="169"/>
      <c r="H525" s="210"/>
      <c r="I525" s="230">
        <f>F525+G525+H525</f>
        <v>4901</v>
      </c>
      <c r="J525" s="169">
        <f>103</f>
        <v>103</v>
      </c>
      <c r="K525" s="249"/>
      <c r="L525" s="248">
        <f>I525+J525+K525</f>
        <v>5004</v>
      </c>
      <c r="M525" s="292">
        <f>665</f>
        <v>665</v>
      </c>
      <c r="N525" s="249"/>
      <c r="O525" s="248">
        <f>L525+M525+N525</f>
        <v>5669</v>
      </c>
      <c r="P525" s="93"/>
      <c r="Q525" s="52">
        <f t="shared" si="161"/>
        <v>5669</v>
      </c>
    </row>
    <row r="526" spans="1:17" ht="12.75">
      <c r="A526" s="16" t="s">
        <v>109</v>
      </c>
      <c r="B526" s="65"/>
      <c r="C526" s="134">
        <v>99</v>
      </c>
      <c r="D526" s="99"/>
      <c r="E526" s="99"/>
      <c r="F526" s="89">
        <f t="shared" si="158"/>
        <v>99</v>
      </c>
      <c r="G526" s="169"/>
      <c r="H526" s="210"/>
      <c r="I526" s="230">
        <f>F526+G526+H526</f>
        <v>99</v>
      </c>
      <c r="J526" s="169">
        <f>197</f>
        <v>197</v>
      </c>
      <c r="K526" s="249"/>
      <c r="L526" s="248">
        <f>I526+J526+K526</f>
        <v>296</v>
      </c>
      <c r="M526" s="292">
        <f>1080</f>
        <v>1080</v>
      </c>
      <c r="N526" s="249"/>
      <c r="O526" s="248">
        <f>L526+M526+N526</f>
        <v>1376</v>
      </c>
      <c r="P526" s="93"/>
      <c r="Q526" s="52">
        <f t="shared" si="161"/>
        <v>1376</v>
      </c>
    </row>
    <row r="527" spans="1:17" ht="12.75">
      <c r="A527" s="16" t="s">
        <v>110</v>
      </c>
      <c r="B527" s="65"/>
      <c r="C527" s="134">
        <v>1500</v>
      </c>
      <c r="D527" s="99">
        <f>34515.41</f>
        <v>34515.41</v>
      </c>
      <c r="E527" s="99"/>
      <c r="F527" s="89">
        <f t="shared" si="158"/>
        <v>36015.41</v>
      </c>
      <c r="G527" s="169"/>
      <c r="H527" s="210">
        <f>-10000</f>
        <v>-10000</v>
      </c>
      <c r="I527" s="230">
        <f>F527+G527+H527</f>
        <v>26015.410000000003</v>
      </c>
      <c r="J527" s="169">
        <f>350-1745+6000</f>
        <v>4605</v>
      </c>
      <c r="K527" s="249"/>
      <c r="L527" s="248">
        <f>I527+J527+K527</f>
        <v>30620.410000000003</v>
      </c>
      <c r="M527" s="292"/>
      <c r="N527" s="249"/>
      <c r="O527" s="248">
        <f>L527+M527+N527</f>
        <v>30620.410000000003</v>
      </c>
      <c r="P527" s="93"/>
      <c r="Q527" s="52">
        <f t="shared" si="161"/>
        <v>30620.410000000003</v>
      </c>
    </row>
    <row r="528" spans="1:17" ht="12.75">
      <c r="A528" s="16" t="s">
        <v>118</v>
      </c>
      <c r="B528" s="65"/>
      <c r="C528" s="134">
        <v>0</v>
      </c>
      <c r="D528" s="99"/>
      <c r="E528" s="99"/>
      <c r="F528" s="89"/>
      <c r="G528" s="169"/>
      <c r="H528" s="210"/>
      <c r="I528" s="230">
        <f>F528+G528+H528</f>
        <v>0</v>
      </c>
      <c r="J528" s="169">
        <f>1745</f>
        <v>1745</v>
      </c>
      <c r="K528" s="249"/>
      <c r="L528" s="248">
        <f>I528+J528+K528</f>
        <v>1745</v>
      </c>
      <c r="M528" s="292">
        <f>-1745</f>
        <v>-1745</v>
      </c>
      <c r="N528" s="249"/>
      <c r="O528" s="248">
        <f>L528+M528+N528</f>
        <v>0</v>
      </c>
      <c r="P528" s="93"/>
      <c r="Q528" s="52"/>
    </row>
    <row r="529" spans="1:17" ht="12.75">
      <c r="A529" s="16" t="s">
        <v>111</v>
      </c>
      <c r="B529" s="65"/>
      <c r="C529" s="134">
        <v>200</v>
      </c>
      <c r="D529" s="99">
        <f>126.9</f>
        <v>126.9</v>
      </c>
      <c r="E529" s="99"/>
      <c r="F529" s="89">
        <f t="shared" si="158"/>
        <v>326.9</v>
      </c>
      <c r="G529" s="169"/>
      <c r="H529" s="210"/>
      <c r="I529" s="230">
        <f>F529+G529+H529</f>
        <v>326.9</v>
      </c>
      <c r="J529" s="169">
        <f>-300</f>
        <v>-300</v>
      </c>
      <c r="K529" s="249"/>
      <c r="L529" s="248">
        <f>I529+J529+K529</f>
        <v>26.899999999999977</v>
      </c>
      <c r="M529" s="292"/>
      <c r="N529" s="249"/>
      <c r="O529" s="248">
        <f>L529+M529+N529</f>
        <v>26.899999999999977</v>
      </c>
      <c r="P529" s="93"/>
      <c r="Q529" s="52">
        <f t="shared" si="161"/>
        <v>26.899999999999977</v>
      </c>
    </row>
    <row r="530" spans="1:17" ht="12.75">
      <c r="A530" s="16" t="s">
        <v>99</v>
      </c>
      <c r="B530" s="65">
        <v>18</v>
      </c>
      <c r="C530" s="134">
        <f>C531+C532</f>
        <v>1650</v>
      </c>
      <c r="D530" s="99">
        <f>D531+D532</f>
        <v>172.18</v>
      </c>
      <c r="E530" s="99">
        <f>E531+E532</f>
        <v>0</v>
      </c>
      <c r="F530" s="89">
        <f>F531+F532</f>
        <v>1822.18</v>
      </c>
      <c r="G530" s="169">
        <f aca="true" t="shared" si="167" ref="G530:Q530">G531+G532</f>
        <v>0</v>
      </c>
      <c r="H530" s="210">
        <f t="shared" si="167"/>
        <v>0</v>
      </c>
      <c r="I530" s="230">
        <f t="shared" si="167"/>
        <v>1822.18</v>
      </c>
      <c r="J530" s="169">
        <f t="shared" si="167"/>
        <v>0</v>
      </c>
      <c r="K530" s="249">
        <f t="shared" si="167"/>
        <v>0</v>
      </c>
      <c r="L530" s="248">
        <f t="shared" si="167"/>
        <v>1822.18</v>
      </c>
      <c r="M530" s="292">
        <f t="shared" si="167"/>
        <v>0</v>
      </c>
      <c r="N530" s="249">
        <f t="shared" si="167"/>
        <v>0</v>
      </c>
      <c r="O530" s="248">
        <f t="shared" si="167"/>
        <v>1822.18</v>
      </c>
      <c r="P530" s="109">
        <f t="shared" si="167"/>
        <v>0</v>
      </c>
      <c r="Q530" s="109">
        <f t="shared" si="167"/>
        <v>0</v>
      </c>
    </row>
    <row r="531" spans="1:17" ht="12.75">
      <c r="A531" s="16" t="s">
        <v>100</v>
      </c>
      <c r="B531" s="65"/>
      <c r="C531" s="134">
        <v>1650</v>
      </c>
      <c r="D531" s="99">
        <f>172.18</f>
        <v>172.18</v>
      </c>
      <c r="E531" s="99"/>
      <c r="F531" s="89">
        <f>C531+D531+E531</f>
        <v>1822.18</v>
      </c>
      <c r="G531" s="169"/>
      <c r="H531" s="210"/>
      <c r="I531" s="230">
        <f>F531+G531+H531</f>
        <v>1822.18</v>
      </c>
      <c r="J531" s="169"/>
      <c r="K531" s="249"/>
      <c r="L531" s="248">
        <f>I531+J531+K531</f>
        <v>1822.18</v>
      </c>
      <c r="M531" s="292"/>
      <c r="N531" s="249"/>
      <c r="O531" s="248">
        <f>L531+M531+N531</f>
        <v>1822.18</v>
      </c>
      <c r="P531" s="93"/>
      <c r="Q531" s="52"/>
    </row>
    <row r="532" spans="1:17" ht="12.75" hidden="1">
      <c r="A532" s="16" t="s">
        <v>101</v>
      </c>
      <c r="B532" s="65"/>
      <c r="C532" s="134">
        <v>0</v>
      </c>
      <c r="D532" s="99"/>
      <c r="E532" s="99"/>
      <c r="F532" s="89">
        <f>C532+D532+E532</f>
        <v>0</v>
      </c>
      <c r="G532" s="169"/>
      <c r="H532" s="210"/>
      <c r="I532" s="230">
        <f>F532+G532+H532</f>
        <v>0</v>
      </c>
      <c r="J532" s="169"/>
      <c r="K532" s="249"/>
      <c r="L532" s="248">
        <f>I532+J532+K532</f>
        <v>0</v>
      </c>
      <c r="M532" s="292"/>
      <c r="N532" s="249"/>
      <c r="O532" s="248"/>
      <c r="P532" s="93"/>
      <c r="Q532" s="52"/>
    </row>
    <row r="533" spans="1:17" ht="12.75">
      <c r="A533" s="66" t="s">
        <v>251</v>
      </c>
      <c r="B533" s="65">
        <v>19</v>
      </c>
      <c r="C533" s="134">
        <f>C534+C535</f>
        <v>5000</v>
      </c>
      <c r="D533" s="99">
        <f>D534+D535</f>
        <v>33902.079999999994</v>
      </c>
      <c r="E533" s="99">
        <f>E534+E535</f>
        <v>0</v>
      </c>
      <c r="F533" s="89">
        <f>F534+F535</f>
        <v>38902.079999999994</v>
      </c>
      <c r="G533" s="169">
        <f aca="true" t="shared" si="168" ref="G533:Q533">G534+G535</f>
        <v>0</v>
      </c>
      <c r="H533" s="210">
        <f t="shared" si="168"/>
        <v>-8000</v>
      </c>
      <c r="I533" s="230">
        <f t="shared" si="168"/>
        <v>30902.079999999998</v>
      </c>
      <c r="J533" s="169">
        <f t="shared" si="168"/>
        <v>0</v>
      </c>
      <c r="K533" s="249">
        <f t="shared" si="168"/>
        <v>0</v>
      </c>
      <c r="L533" s="248">
        <f t="shared" si="168"/>
        <v>30902.079999999998</v>
      </c>
      <c r="M533" s="292">
        <f t="shared" si="168"/>
        <v>0</v>
      </c>
      <c r="N533" s="249">
        <f t="shared" si="168"/>
        <v>0</v>
      </c>
      <c r="O533" s="248">
        <f t="shared" si="168"/>
        <v>30902.079999999998</v>
      </c>
      <c r="P533" s="109">
        <f t="shared" si="168"/>
        <v>0</v>
      </c>
      <c r="Q533" s="109">
        <f t="shared" si="168"/>
        <v>0</v>
      </c>
    </row>
    <row r="534" spans="1:17" ht="12.75">
      <c r="A534" s="16" t="s">
        <v>100</v>
      </c>
      <c r="B534" s="65"/>
      <c r="C534" s="134">
        <v>5000</v>
      </c>
      <c r="D534" s="99">
        <f>33312.31</f>
        <v>33312.31</v>
      </c>
      <c r="E534" s="99"/>
      <c r="F534" s="89">
        <f>C534+D534+E534</f>
        <v>38312.31</v>
      </c>
      <c r="G534" s="169"/>
      <c r="H534" s="210">
        <f>-8000</f>
        <v>-8000</v>
      </c>
      <c r="I534" s="230">
        <f>F534+G534+H534</f>
        <v>30312.309999999998</v>
      </c>
      <c r="J534" s="169"/>
      <c r="K534" s="249"/>
      <c r="L534" s="248">
        <f>I534+J534+K534</f>
        <v>30312.309999999998</v>
      </c>
      <c r="M534" s="292"/>
      <c r="N534" s="249"/>
      <c r="O534" s="248">
        <f>L534+M534+N534</f>
        <v>30312.309999999998</v>
      </c>
      <c r="P534" s="93"/>
      <c r="Q534" s="52"/>
    </row>
    <row r="535" spans="1:17" ht="12.75">
      <c r="A535" s="16" t="s">
        <v>101</v>
      </c>
      <c r="B535" s="65"/>
      <c r="C535" s="134"/>
      <c r="D535" s="99">
        <f>589.77</f>
        <v>589.77</v>
      </c>
      <c r="E535" s="99"/>
      <c r="F535" s="89">
        <f>C535+D535+E535</f>
        <v>589.77</v>
      </c>
      <c r="G535" s="169"/>
      <c r="H535" s="210"/>
      <c r="I535" s="230">
        <f>F535+G535+H535</f>
        <v>589.77</v>
      </c>
      <c r="J535" s="169"/>
      <c r="K535" s="249"/>
      <c r="L535" s="248">
        <f>I535+J535+K535</f>
        <v>589.77</v>
      </c>
      <c r="M535" s="292"/>
      <c r="N535" s="249"/>
      <c r="O535" s="248">
        <f>L535+M535+N535</f>
        <v>589.77</v>
      </c>
      <c r="P535" s="93"/>
      <c r="Q535" s="52"/>
    </row>
    <row r="536" spans="1:17" ht="12.75">
      <c r="A536" s="16" t="s">
        <v>120</v>
      </c>
      <c r="B536" s="65">
        <v>28</v>
      </c>
      <c r="C536" s="134">
        <f>SUM(C537:C541)</f>
        <v>108500</v>
      </c>
      <c r="D536" s="99">
        <f aca="true" t="shared" si="169" ref="D536:Q536">SUM(D537:D541)</f>
        <v>66957.02</v>
      </c>
      <c r="E536" s="99">
        <f t="shared" si="169"/>
        <v>0</v>
      </c>
      <c r="F536" s="89">
        <f t="shared" si="169"/>
        <v>175457.02</v>
      </c>
      <c r="G536" s="169">
        <f t="shared" si="169"/>
        <v>0</v>
      </c>
      <c r="H536" s="210">
        <f t="shared" si="169"/>
        <v>-25000</v>
      </c>
      <c r="I536" s="230">
        <f t="shared" si="169"/>
        <v>150457.02</v>
      </c>
      <c r="J536" s="169">
        <f t="shared" si="169"/>
        <v>-84547.2</v>
      </c>
      <c r="K536" s="249">
        <f t="shared" si="169"/>
        <v>-5000</v>
      </c>
      <c r="L536" s="248">
        <f t="shared" si="169"/>
        <v>60909.81999999999</v>
      </c>
      <c r="M536" s="292">
        <f t="shared" si="169"/>
        <v>0</v>
      </c>
      <c r="N536" s="249">
        <f t="shared" si="169"/>
        <v>0</v>
      </c>
      <c r="O536" s="248">
        <f t="shared" si="169"/>
        <v>60909.81999999999</v>
      </c>
      <c r="P536" s="99">
        <f t="shared" si="169"/>
        <v>0</v>
      </c>
      <c r="Q536" s="134">
        <f t="shared" si="169"/>
        <v>60909.81999999999</v>
      </c>
    </row>
    <row r="537" spans="1:17" ht="12.75">
      <c r="A537" s="16" t="s">
        <v>108</v>
      </c>
      <c r="B537" s="65"/>
      <c r="C537" s="134">
        <v>2300</v>
      </c>
      <c r="D537" s="99">
        <f>4708.41-136</f>
        <v>4572.41</v>
      </c>
      <c r="E537" s="99"/>
      <c r="F537" s="89">
        <f t="shared" si="158"/>
        <v>6872.41</v>
      </c>
      <c r="G537" s="169">
        <f>3500</f>
        <v>3500</v>
      </c>
      <c r="H537" s="210"/>
      <c r="I537" s="230">
        <f>F537+G537+H537</f>
        <v>10372.41</v>
      </c>
      <c r="J537" s="169">
        <f>246</f>
        <v>246</v>
      </c>
      <c r="K537" s="249"/>
      <c r="L537" s="248">
        <f>I537+J537+K537</f>
        <v>10618.41</v>
      </c>
      <c r="M537" s="292"/>
      <c r="N537" s="249"/>
      <c r="O537" s="248">
        <f>L537+M537+N537</f>
        <v>10618.41</v>
      </c>
      <c r="P537" s="93"/>
      <c r="Q537" s="52">
        <f t="shared" si="161"/>
        <v>10618.41</v>
      </c>
    </row>
    <row r="538" spans="1:17" ht="12.75">
      <c r="A538" s="16" t="s">
        <v>109</v>
      </c>
      <c r="B538" s="65"/>
      <c r="C538" s="134">
        <v>0</v>
      </c>
      <c r="D538" s="99">
        <f>136</f>
        <v>136</v>
      </c>
      <c r="E538" s="99"/>
      <c r="F538" s="89">
        <f t="shared" si="158"/>
        <v>136</v>
      </c>
      <c r="G538" s="169"/>
      <c r="H538" s="210"/>
      <c r="I538" s="230">
        <f>F538+G538+H538</f>
        <v>136</v>
      </c>
      <c r="J538" s="169"/>
      <c r="K538" s="249"/>
      <c r="L538" s="248">
        <f>I538+J538+K538</f>
        <v>136</v>
      </c>
      <c r="M538" s="292"/>
      <c r="N538" s="249"/>
      <c r="O538" s="248">
        <f>L538+M538+N538</f>
        <v>136</v>
      </c>
      <c r="P538" s="93"/>
      <c r="Q538" s="52">
        <f t="shared" si="161"/>
        <v>136</v>
      </c>
    </row>
    <row r="539" spans="1:17" ht="12.75">
      <c r="A539" s="16" t="s">
        <v>121</v>
      </c>
      <c r="B539" s="65"/>
      <c r="C539" s="134">
        <v>106200</v>
      </c>
      <c r="D539" s="99">
        <f>58216.48+4032.13</f>
        <v>62248.61</v>
      </c>
      <c r="E539" s="99"/>
      <c r="F539" s="89">
        <f t="shared" si="158"/>
        <v>168448.61</v>
      </c>
      <c r="G539" s="169">
        <f>-3500</f>
        <v>-3500</v>
      </c>
      <c r="H539" s="210">
        <f>-25000</f>
        <v>-25000</v>
      </c>
      <c r="I539" s="230">
        <f>F539+G539+H539</f>
        <v>139948.61</v>
      </c>
      <c r="J539" s="169">
        <f>-89793.2</f>
        <v>-89793.2</v>
      </c>
      <c r="K539" s="249"/>
      <c r="L539" s="248">
        <f>I539+J539+K539</f>
        <v>50155.40999999999</v>
      </c>
      <c r="M539" s="292"/>
      <c r="N539" s="249"/>
      <c r="O539" s="248">
        <f>L539+M539+N539</f>
        <v>50155.40999999999</v>
      </c>
      <c r="P539" s="93"/>
      <c r="Q539" s="52">
        <f t="shared" si="161"/>
        <v>50155.40999999999</v>
      </c>
    </row>
    <row r="540" spans="1:17" ht="12.75" hidden="1">
      <c r="A540" s="16" t="s">
        <v>118</v>
      </c>
      <c r="B540" s="65"/>
      <c r="C540" s="134"/>
      <c r="D540" s="99"/>
      <c r="E540" s="99"/>
      <c r="F540" s="89">
        <f t="shared" si="158"/>
        <v>0</v>
      </c>
      <c r="G540" s="169"/>
      <c r="H540" s="210"/>
      <c r="I540" s="230">
        <f>F540+G540+H540</f>
        <v>0</v>
      </c>
      <c r="J540" s="169"/>
      <c r="K540" s="249"/>
      <c r="L540" s="248">
        <f>I540+J540+K540</f>
        <v>0</v>
      </c>
      <c r="M540" s="292"/>
      <c r="N540" s="249"/>
      <c r="O540" s="248">
        <f>L540+M540+N540</f>
        <v>0</v>
      </c>
      <c r="P540" s="93"/>
      <c r="Q540" s="52">
        <f t="shared" si="161"/>
        <v>0</v>
      </c>
    </row>
    <row r="541" spans="1:17" ht="12.75" hidden="1">
      <c r="A541" s="16" t="s">
        <v>111</v>
      </c>
      <c r="B541" s="65"/>
      <c r="C541" s="134">
        <v>0</v>
      </c>
      <c r="D541" s="150">
        <f>4032.13-4032.13</f>
        <v>0</v>
      </c>
      <c r="E541" s="99"/>
      <c r="F541" s="89">
        <f t="shared" si="158"/>
        <v>0</v>
      </c>
      <c r="G541" s="169"/>
      <c r="H541" s="210"/>
      <c r="I541" s="230">
        <f>F541+G541+H541</f>
        <v>0</v>
      </c>
      <c r="J541" s="169">
        <f>5000</f>
        <v>5000</v>
      </c>
      <c r="K541" s="249">
        <f>-3375.36-1624.64</f>
        <v>-5000</v>
      </c>
      <c r="L541" s="248">
        <f>I541+J541+K541</f>
        <v>0</v>
      </c>
      <c r="M541" s="292"/>
      <c r="N541" s="249"/>
      <c r="O541" s="248">
        <f>L541+M541+N541</f>
        <v>0</v>
      </c>
      <c r="P541" s="93"/>
      <c r="Q541" s="52">
        <f t="shared" si="161"/>
        <v>0</v>
      </c>
    </row>
    <row r="542" spans="1:17" ht="12.75">
      <c r="A542" s="17" t="s">
        <v>122</v>
      </c>
      <c r="B542" s="65"/>
      <c r="C542" s="134">
        <f>C543+C544</f>
        <v>2</v>
      </c>
      <c r="D542" s="99">
        <f aca="true" t="shared" si="170" ref="D542:Q542">D543+D544</f>
        <v>6408.09</v>
      </c>
      <c r="E542" s="99">
        <f t="shared" si="170"/>
        <v>0</v>
      </c>
      <c r="F542" s="89">
        <f t="shared" si="170"/>
        <v>6410.09</v>
      </c>
      <c r="G542" s="169">
        <f t="shared" si="170"/>
        <v>0</v>
      </c>
      <c r="H542" s="210">
        <f t="shared" si="170"/>
        <v>0</v>
      </c>
      <c r="I542" s="230">
        <f t="shared" si="170"/>
        <v>6410.09</v>
      </c>
      <c r="J542" s="169">
        <f t="shared" si="170"/>
        <v>-246</v>
      </c>
      <c r="K542" s="249">
        <f t="shared" si="170"/>
        <v>0</v>
      </c>
      <c r="L542" s="248">
        <f t="shared" si="170"/>
        <v>6164.09</v>
      </c>
      <c r="M542" s="292">
        <f t="shared" si="170"/>
        <v>0</v>
      </c>
      <c r="N542" s="249">
        <f t="shared" si="170"/>
        <v>0</v>
      </c>
      <c r="O542" s="248">
        <f t="shared" si="170"/>
        <v>6164.09</v>
      </c>
      <c r="P542" s="89">
        <f t="shared" si="170"/>
        <v>0</v>
      </c>
      <c r="Q542" s="134">
        <f t="shared" si="170"/>
        <v>0</v>
      </c>
    </row>
    <row r="543" spans="1:17" ht="12.75">
      <c r="A543" s="17" t="s">
        <v>233</v>
      </c>
      <c r="B543" s="65"/>
      <c r="C543" s="134"/>
      <c r="D543" s="99">
        <f>133.71+1256.65+9.73</f>
        <v>1400.0900000000001</v>
      </c>
      <c r="E543" s="99"/>
      <c r="F543" s="89">
        <f t="shared" si="158"/>
        <v>1400.0900000000001</v>
      </c>
      <c r="G543" s="169"/>
      <c r="H543" s="210"/>
      <c r="I543" s="230">
        <f>F543+G543+H543</f>
        <v>1400.0900000000001</v>
      </c>
      <c r="J543" s="169">
        <f>-10-246</f>
        <v>-256</v>
      </c>
      <c r="K543" s="249"/>
      <c r="L543" s="248">
        <f>I543+J543+K543</f>
        <v>1144.0900000000001</v>
      </c>
      <c r="M543" s="292"/>
      <c r="N543" s="249"/>
      <c r="O543" s="248">
        <f>L543+M543+N543</f>
        <v>1144.0900000000001</v>
      </c>
      <c r="P543" s="93"/>
      <c r="Q543" s="52"/>
    </row>
    <row r="544" spans="1:17" ht="12.75">
      <c r="A544" s="20" t="s">
        <v>276</v>
      </c>
      <c r="B544" s="68"/>
      <c r="C544" s="195">
        <v>2</v>
      </c>
      <c r="D544" s="148">
        <f>5000+8</f>
        <v>5008</v>
      </c>
      <c r="E544" s="148"/>
      <c r="F544" s="159">
        <f t="shared" si="158"/>
        <v>5010</v>
      </c>
      <c r="G544" s="174"/>
      <c r="H544" s="216"/>
      <c r="I544" s="235">
        <f>F544+G544+H544</f>
        <v>5010</v>
      </c>
      <c r="J544" s="174">
        <f>10</f>
        <v>10</v>
      </c>
      <c r="K544" s="258"/>
      <c r="L544" s="259">
        <f>I544+J544+K544</f>
        <v>5020</v>
      </c>
      <c r="M544" s="302"/>
      <c r="N544" s="258"/>
      <c r="O544" s="259">
        <f>L544+M544+N544</f>
        <v>5020</v>
      </c>
      <c r="P544" s="93"/>
      <c r="Q544" s="52"/>
    </row>
    <row r="545" spans="1:17" ht="13.5" thickBot="1">
      <c r="A545" s="30" t="s">
        <v>123</v>
      </c>
      <c r="B545" s="69"/>
      <c r="C545" s="136">
        <v>8581.04</v>
      </c>
      <c r="D545" s="99"/>
      <c r="E545" s="100"/>
      <c r="F545" s="87">
        <f t="shared" si="158"/>
        <v>8581.04</v>
      </c>
      <c r="G545" s="173"/>
      <c r="H545" s="212">
        <v>3552.19</v>
      </c>
      <c r="I545" s="231">
        <f>SUM(F545:H545)</f>
        <v>12133.230000000001</v>
      </c>
      <c r="J545" s="173"/>
      <c r="K545" s="251"/>
      <c r="L545" s="158">
        <f>SUM(I545:K545)</f>
        <v>12133.230000000001</v>
      </c>
      <c r="M545" s="312"/>
      <c r="N545" s="251"/>
      <c r="O545" s="158">
        <f>SUM(L545:N545)</f>
        <v>12133.230000000001</v>
      </c>
      <c r="P545" s="297"/>
      <c r="Q545" s="12">
        <f>O545+P545</f>
        <v>12133.230000000001</v>
      </c>
    </row>
    <row r="546" spans="1:17" ht="14.25" thickBot="1">
      <c r="A546" s="31" t="s">
        <v>124</v>
      </c>
      <c r="B546" s="72"/>
      <c r="C546" s="140">
        <f>+C83+C103+C114+C132+C144+C175+C227+C255+C287+C310+C392+C428+C453+C460+C492+C496+C545+C467+C334+C280</f>
        <v>5413094.04</v>
      </c>
      <c r="D546" s="152">
        <f>+D83+D103+D114+D132+D144+D175+D227+D255+D287+D310+D392+D428+D453+D460+D492+D496+D545+D467+D334+D280</f>
        <v>12808395.800000003</v>
      </c>
      <c r="E546" s="92">
        <f>+E83+E103+E114+E132+E144+E175+E227+E255+E287+E310+E392+E428+E453+E460+E492+E496+E545+E467+E334</f>
        <v>1900</v>
      </c>
      <c r="F546" s="91">
        <f aca="true" t="shared" si="171" ref="F546:Q546">+F83+F103+F114+F132+F144+F175+F227+F255+F287+F310+F392+F428+F453+F460+F492+F496+F545+F467+F334+F280</f>
        <v>18223389.84</v>
      </c>
      <c r="G546" s="176">
        <f t="shared" si="171"/>
        <v>394935.7099999999</v>
      </c>
      <c r="H546" s="219">
        <f t="shared" si="171"/>
        <v>113458.76</v>
      </c>
      <c r="I546" s="238">
        <f t="shared" si="171"/>
        <v>18731784.310000002</v>
      </c>
      <c r="J546" s="176">
        <f t="shared" si="171"/>
        <v>728413.95</v>
      </c>
      <c r="K546" s="263">
        <f t="shared" si="171"/>
        <v>3.410605131648481E-13</v>
      </c>
      <c r="L546" s="264">
        <f t="shared" si="171"/>
        <v>19460198.26</v>
      </c>
      <c r="M546" s="318">
        <f t="shared" si="171"/>
        <v>836252.06</v>
      </c>
      <c r="N546" s="263">
        <f t="shared" si="171"/>
        <v>0</v>
      </c>
      <c r="O546" s="264">
        <f t="shared" si="171"/>
        <v>20296450.32</v>
      </c>
      <c r="P546" s="114">
        <f t="shared" si="171"/>
        <v>0</v>
      </c>
      <c r="Q546" s="140">
        <f t="shared" si="171"/>
        <v>5730642.610000001</v>
      </c>
    </row>
    <row r="547" spans="1:17" ht="13.5" thickBot="1">
      <c r="A547" s="32" t="s">
        <v>125</v>
      </c>
      <c r="B547" s="72"/>
      <c r="C547" s="141">
        <v>-8581.04</v>
      </c>
      <c r="D547" s="187"/>
      <c r="E547" s="122"/>
      <c r="F547" s="163">
        <f t="shared" si="158"/>
        <v>-8581.04</v>
      </c>
      <c r="G547" s="177"/>
      <c r="H547" s="220"/>
      <c r="I547" s="231">
        <f>SUM(F547:H547)</f>
        <v>-8581.04</v>
      </c>
      <c r="J547" s="177"/>
      <c r="K547" s="265"/>
      <c r="L547" s="158">
        <f>SUM(I547:K547)</f>
        <v>-8581.04</v>
      </c>
      <c r="M547" s="319"/>
      <c r="N547" s="265"/>
      <c r="O547" s="158">
        <f>SUM(L547:N547)</f>
        <v>-8581.04</v>
      </c>
      <c r="P547" s="122"/>
      <c r="Q547" s="141"/>
    </row>
    <row r="548" spans="1:17" ht="15.75" thickBot="1">
      <c r="A548" s="33" t="s">
        <v>126</v>
      </c>
      <c r="B548" s="72"/>
      <c r="C548" s="197">
        <f aca="true" t="shared" si="172" ref="C548:Q548">C546+C547</f>
        <v>5404513</v>
      </c>
      <c r="D548" s="101">
        <f t="shared" si="172"/>
        <v>12808395.800000003</v>
      </c>
      <c r="E548" s="123">
        <f t="shared" si="172"/>
        <v>1900</v>
      </c>
      <c r="F548" s="164">
        <f t="shared" si="172"/>
        <v>18214808.8</v>
      </c>
      <c r="G548" s="178">
        <f t="shared" si="172"/>
        <v>394935.7099999999</v>
      </c>
      <c r="H548" s="221">
        <f t="shared" si="172"/>
        <v>113458.76</v>
      </c>
      <c r="I548" s="239">
        <f t="shared" si="172"/>
        <v>18723203.270000003</v>
      </c>
      <c r="J548" s="178">
        <f t="shared" si="172"/>
        <v>728413.95</v>
      </c>
      <c r="K548" s="266">
        <f t="shared" si="172"/>
        <v>3.410605131648481E-13</v>
      </c>
      <c r="L548" s="267">
        <f t="shared" si="172"/>
        <v>19451617.220000003</v>
      </c>
      <c r="M548" s="320">
        <f t="shared" si="172"/>
        <v>836252.06</v>
      </c>
      <c r="N548" s="266">
        <f t="shared" si="172"/>
        <v>0</v>
      </c>
      <c r="O548" s="267">
        <f t="shared" si="172"/>
        <v>20287869.28</v>
      </c>
      <c r="P548" s="298">
        <f t="shared" si="172"/>
        <v>0</v>
      </c>
      <c r="Q548" s="84">
        <f t="shared" si="172"/>
        <v>5730642.610000001</v>
      </c>
    </row>
    <row r="549" spans="1:17" ht="15">
      <c r="A549" s="34" t="s">
        <v>26</v>
      </c>
      <c r="B549" s="73"/>
      <c r="C549" s="142"/>
      <c r="D549" s="188"/>
      <c r="E549" s="124"/>
      <c r="F549" s="165"/>
      <c r="G549" s="179"/>
      <c r="H549" s="222"/>
      <c r="I549" s="240"/>
      <c r="J549" s="179"/>
      <c r="K549" s="268"/>
      <c r="L549" s="269"/>
      <c r="M549" s="321"/>
      <c r="N549" s="268"/>
      <c r="O549" s="269"/>
      <c r="P549" s="124"/>
      <c r="Q549" s="142"/>
    </row>
    <row r="550" spans="1:17" ht="15">
      <c r="A550" s="35" t="s">
        <v>222</v>
      </c>
      <c r="B550" s="74"/>
      <c r="C550" s="143">
        <f>+C84+C104+C115+C133+C145+C176+C228+C256+C288+C311+C393+C429+C454+C461+C493+C498+C545+C547+C468+C335+C281</f>
        <v>3910350.0599999996</v>
      </c>
      <c r="D550" s="189">
        <f>+D84+D104+D115+D133+D145+D176+D228+D256+D288+D311+D393+D429+D454+D461+D493+D498+D545+D547+D468+D335+D281</f>
        <v>10193611.760000004</v>
      </c>
      <c r="E550" s="125">
        <f>+E84+E104+E115+E133+E145+E176+E228+E256+E288+E311+E393+E429+E454+E461+E493+E498+E545+E547+E468+E335</f>
        <v>-23.4</v>
      </c>
      <c r="F550" s="107">
        <f aca="true" t="shared" si="173" ref="F550:Q550">+F84+F104+F115+F133+F145+F176+F228+F256+F288+F311+F393+F429+F454+F461+F493+F498+F545+F547+F468+F335+F281</f>
        <v>14103938.419999998</v>
      </c>
      <c r="G550" s="180">
        <f t="shared" si="173"/>
        <v>151525.65999999995</v>
      </c>
      <c r="H550" s="223">
        <f t="shared" si="173"/>
        <v>216343.18</v>
      </c>
      <c r="I550" s="241">
        <f t="shared" si="173"/>
        <v>14471807.26</v>
      </c>
      <c r="J550" s="180">
        <f t="shared" si="173"/>
        <v>228869.45999999993</v>
      </c>
      <c r="K550" s="270">
        <f t="shared" si="173"/>
        <v>-7272.53</v>
      </c>
      <c r="L550" s="271">
        <f t="shared" si="173"/>
        <v>14693404.190000007</v>
      </c>
      <c r="M550" s="322">
        <f t="shared" si="173"/>
        <v>331875.22000000003</v>
      </c>
      <c r="N550" s="270">
        <f t="shared" si="173"/>
        <v>-15930</v>
      </c>
      <c r="O550" s="271">
        <f t="shared" si="173"/>
        <v>15009349.410000004</v>
      </c>
      <c r="P550" s="299">
        <f t="shared" si="173"/>
        <v>0</v>
      </c>
      <c r="Q550" s="143">
        <f t="shared" si="173"/>
        <v>4785334.26</v>
      </c>
    </row>
    <row r="551" spans="1:17" ht="15.75" thickBot="1">
      <c r="A551" s="22" t="s">
        <v>223</v>
      </c>
      <c r="B551" s="75"/>
      <c r="C551" s="144">
        <f>+C93+C111+C127+C138+C166+C218+C246+C272+C302+C330+C423+C444+C457+C499+C482+C359+C284</f>
        <v>1494162.94</v>
      </c>
      <c r="D551" s="190">
        <f>+D93+D111+D127+D138+D166+D218+D246+D272+D302+D330+D423+D444+D457+D499+D482+D359+D284</f>
        <v>2614784.04</v>
      </c>
      <c r="E551" s="126">
        <f>+E93+E111+E127+E138+E166+E218+E246+E272+E302+E330+E423+E444+E457+E499+E482+E359</f>
        <v>1923.4</v>
      </c>
      <c r="F551" s="108">
        <f aca="true" t="shared" si="174" ref="F551:Q551">+F93+F111+F127+F138+F166+F218+F246+F272+F302+F330+F423+F444+F457+F499+F482+F359+F284</f>
        <v>4110870.38</v>
      </c>
      <c r="G551" s="181">
        <f t="shared" si="174"/>
        <v>243410.05</v>
      </c>
      <c r="H551" s="224">
        <f t="shared" si="174"/>
        <v>-102884.42000000001</v>
      </c>
      <c r="I551" s="242">
        <f t="shared" si="174"/>
        <v>4251396.010000001</v>
      </c>
      <c r="J551" s="181">
        <f t="shared" si="174"/>
        <v>499544.49</v>
      </c>
      <c r="K551" s="272">
        <f t="shared" si="174"/>
        <v>7272.53</v>
      </c>
      <c r="L551" s="273">
        <f t="shared" si="174"/>
        <v>4758213.03</v>
      </c>
      <c r="M551" s="323">
        <f t="shared" si="174"/>
        <v>504376.83999999997</v>
      </c>
      <c r="N551" s="272">
        <f t="shared" si="174"/>
        <v>15930</v>
      </c>
      <c r="O551" s="273">
        <f t="shared" si="174"/>
        <v>5278519.87</v>
      </c>
      <c r="P551" s="300">
        <f t="shared" si="174"/>
        <v>0</v>
      </c>
      <c r="Q551" s="144">
        <f t="shared" si="174"/>
        <v>945308.3500000001</v>
      </c>
    </row>
    <row r="552" spans="1:17" ht="15.75" thickBot="1">
      <c r="A552" s="35" t="s">
        <v>216</v>
      </c>
      <c r="B552" s="74"/>
      <c r="C552" s="140">
        <f aca="true" t="shared" si="175" ref="C552:Q552">C81-C548</f>
        <v>-400000</v>
      </c>
      <c r="D552" s="152">
        <f t="shared" si="175"/>
        <v>-3079643.6800000016</v>
      </c>
      <c r="E552" s="152">
        <f t="shared" si="175"/>
        <v>-1900</v>
      </c>
      <c r="F552" s="92">
        <f t="shared" si="175"/>
        <v>-3481543.6800000016</v>
      </c>
      <c r="G552" s="176">
        <f t="shared" si="175"/>
        <v>-2633.619999999937</v>
      </c>
      <c r="H552" s="219">
        <f t="shared" si="175"/>
        <v>-23862.550000000003</v>
      </c>
      <c r="I552" s="238">
        <f t="shared" si="175"/>
        <v>-3508039.8500000015</v>
      </c>
      <c r="J552" s="176">
        <f t="shared" si="175"/>
        <v>0</v>
      </c>
      <c r="K552" s="263">
        <f t="shared" si="175"/>
        <v>-3.410605131648481E-13</v>
      </c>
      <c r="L552" s="264">
        <f t="shared" si="175"/>
        <v>-3508039.8499999978</v>
      </c>
      <c r="M552" s="318">
        <f t="shared" si="175"/>
        <v>0</v>
      </c>
      <c r="N552" s="263">
        <f t="shared" si="175"/>
        <v>0</v>
      </c>
      <c r="O552" s="264">
        <f t="shared" si="175"/>
        <v>-3508039.8500000015</v>
      </c>
      <c r="P552" s="114">
        <f t="shared" si="175"/>
        <v>0</v>
      </c>
      <c r="Q552" s="114">
        <f t="shared" si="175"/>
        <v>6369753.159999996</v>
      </c>
    </row>
    <row r="553" spans="1:17" ht="15">
      <c r="A553" s="34" t="s">
        <v>224</v>
      </c>
      <c r="B553" s="73"/>
      <c r="C553" s="198">
        <f>SUM(C555:C558)</f>
        <v>400000</v>
      </c>
      <c r="D553" s="105">
        <f aca="true" t="shared" si="176" ref="D553:Q553">SUM(D555:D558)</f>
        <v>3079643.6800000006</v>
      </c>
      <c r="E553" s="127">
        <f t="shared" si="176"/>
        <v>1900</v>
      </c>
      <c r="F553" s="198">
        <f t="shared" si="176"/>
        <v>3481543.6800000006</v>
      </c>
      <c r="G553" s="182">
        <f t="shared" si="176"/>
        <v>2633.62</v>
      </c>
      <c r="H553" s="225">
        <f t="shared" si="176"/>
        <v>23862.55</v>
      </c>
      <c r="I553" s="243">
        <f t="shared" si="176"/>
        <v>3508039.8500000006</v>
      </c>
      <c r="J553" s="182">
        <f t="shared" si="176"/>
        <v>0</v>
      </c>
      <c r="K553" s="274">
        <f t="shared" si="176"/>
        <v>0</v>
      </c>
      <c r="L553" s="275">
        <f t="shared" si="176"/>
        <v>3508039.8500000006</v>
      </c>
      <c r="M553" s="324">
        <f>SUM(M555:M558)</f>
        <v>0</v>
      </c>
      <c r="N553" s="274">
        <f>SUM(N555:N558)</f>
        <v>0</v>
      </c>
      <c r="O553" s="275">
        <f>SUM(O555:O558)</f>
        <v>3508039.8500000006</v>
      </c>
      <c r="P553" s="115">
        <f t="shared" si="176"/>
        <v>0</v>
      </c>
      <c r="Q553" s="115">
        <f t="shared" si="176"/>
        <v>3508039.8500000006</v>
      </c>
    </row>
    <row r="554" spans="1:17" ht="12.75" customHeight="1">
      <c r="A554" s="36" t="s">
        <v>26</v>
      </c>
      <c r="B554" s="76"/>
      <c r="C554" s="199"/>
      <c r="D554" s="153"/>
      <c r="E554" s="203"/>
      <c r="F554" s="205"/>
      <c r="G554" s="183"/>
      <c r="H554" s="226"/>
      <c r="I554" s="244"/>
      <c r="J554" s="183"/>
      <c r="K554" s="276"/>
      <c r="L554" s="277"/>
      <c r="M554" s="325"/>
      <c r="N554" s="276"/>
      <c r="O554" s="277"/>
      <c r="P554" s="93"/>
      <c r="Q554" s="52"/>
    </row>
    <row r="555" spans="1:17" ht="13.5">
      <c r="A555" s="36" t="s">
        <v>127</v>
      </c>
      <c r="B555" s="76"/>
      <c r="C555" s="200">
        <v>400000</v>
      </c>
      <c r="D555" s="154">
        <v>500000</v>
      </c>
      <c r="E555" s="166"/>
      <c r="F555" s="200">
        <f>SUM(C555:E555)</f>
        <v>900000</v>
      </c>
      <c r="G555" s="202"/>
      <c r="H555" s="227"/>
      <c r="I555" s="200">
        <f>SUM(F555:H555)</f>
        <v>900000</v>
      </c>
      <c r="J555" s="278"/>
      <c r="K555" s="279"/>
      <c r="L555" s="280">
        <f>SUM(I555:K555)</f>
        <v>900000</v>
      </c>
      <c r="M555" s="326"/>
      <c r="N555" s="279"/>
      <c r="O555" s="280">
        <f>SUM(L555:N555)</f>
        <v>900000</v>
      </c>
      <c r="P555" s="93"/>
      <c r="Q555" s="52">
        <f t="shared" si="161"/>
        <v>900000</v>
      </c>
    </row>
    <row r="556" spans="1:17" ht="13.5" hidden="1">
      <c r="A556" s="37" t="s">
        <v>135</v>
      </c>
      <c r="B556" s="76"/>
      <c r="C556" s="200"/>
      <c r="D556" s="154"/>
      <c r="E556" s="166"/>
      <c r="F556" s="200">
        <f>SUM(C556:E556)</f>
        <v>0</v>
      </c>
      <c r="G556" s="202"/>
      <c r="H556" s="227"/>
      <c r="I556" s="200">
        <f>SUM(F556:H556)</f>
        <v>0</v>
      </c>
      <c r="J556" s="278"/>
      <c r="K556" s="279"/>
      <c r="L556" s="280">
        <f>SUM(I556:K556)</f>
        <v>0</v>
      </c>
      <c r="M556" s="326"/>
      <c r="N556" s="279"/>
      <c r="O556" s="280">
        <f>SUM(L556:N556)</f>
        <v>0</v>
      </c>
      <c r="P556" s="93"/>
      <c r="Q556" s="52">
        <f t="shared" si="161"/>
        <v>0</v>
      </c>
    </row>
    <row r="557" spans="1:17" ht="14.25" thickBot="1">
      <c r="A557" s="37" t="s">
        <v>128</v>
      </c>
      <c r="B557" s="76"/>
      <c r="C557" s="200"/>
      <c r="D557" s="154">
        <f>9657.33+24251.16+1733.68+710100.27+1033269.62+82262.27+5044.79+2000+1088.6+6.55+1818.82+2299.64+4394+3641.06+9011+200+51667.77+3643+200+15521.76+5347.5+118315.07+7243.82+14128.69+2179.42+7455.91+79590.79+5458.46+26046.79+2198.98+1029.92+26218.9+450+269.44+556+6011.14+1000+47194.15-0.27-5+131.48+1328.86+360+9.73+0.04+29670.7+241.62+235400.22</f>
        <v>2579643.6800000006</v>
      </c>
      <c r="E557" s="166">
        <v>1900</v>
      </c>
      <c r="F557" s="200">
        <f>SUM(C557:E557)</f>
        <v>2581543.6800000006</v>
      </c>
      <c r="G557" s="202">
        <f>135.18+2498.44</f>
        <v>2633.62</v>
      </c>
      <c r="H557" s="227">
        <f>6426.57+13883.79</f>
        <v>20310.36</v>
      </c>
      <c r="I557" s="200">
        <f>SUM(F557:H557)</f>
        <v>2604487.6600000006</v>
      </c>
      <c r="J557" s="278"/>
      <c r="K557" s="279"/>
      <c r="L557" s="280">
        <f>SUM(I557:K557)</f>
        <v>2604487.6600000006</v>
      </c>
      <c r="M557" s="326"/>
      <c r="N557" s="279"/>
      <c r="O557" s="280">
        <f>SUM(L557:N557)</f>
        <v>2604487.6600000006</v>
      </c>
      <c r="P557" s="301"/>
      <c r="Q557" s="53">
        <f t="shared" si="161"/>
        <v>2604487.6600000006</v>
      </c>
    </row>
    <row r="558" spans="1:17" ht="14.25" thickBot="1">
      <c r="A558" s="46" t="s">
        <v>147</v>
      </c>
      <c r="B558" s="77"/>
      <c r="C558" s="287"/>
      <c r="D558" s="286" t="s">
        <v>195</v>
      </c>
      <c r="E558" s="204"/>
      <c r="F558" s="201">
        <f>SUM(C558:E558)</f>
        <v>0</v>
      </c>
      <c r="G558" s="282"/>
      <c r="H558" s="228">
        <v>3552.19</v>
      </c>
      <c r="I558" s="245">
        <f>SUM(F558:H558)</f>
        <v>3552.19</v>
      </c>
      <c r="J558" s="282">
        <v>0</v>
      </c>
      <c r="K558" s="289">
        <v>0</v>
      </c>
      <c r="L558" s="281">
        <f>SUM(I558:K558)</f>
        <v>3552.19</v>
      </c>
      <c r="M558" s="327"/>
      <c r="N558" s="303"/>
      <c r="O558" s="281">
        <f>SUM(L558:N558)</f>
        <v>3552.19</v>
      </c>
      <c r="P558" s="301"/>
      <c r="Q558" s="53">
        <f t="shared" si="161"/>
        <v>3552.19</v>
      </c>
    </row>
    <row r="559" spans="2:17" ht="12.75" hidden="1">
      <c r="B559" s="78"/>
      <c r="C559" s="85">
        <f aca="true" t="shared" si="177" ref="C559:Q559">C81+C553-C548</f>
        <v>0</v>
      </c>
      <c r="D559" s="85">
        <f t="shared" si="177"/>
        <v>0</v>
      </c>
      <c r="E559" s="85">
        <f t="shared" si="177"/>
        <v>0</v>
      </c>
      <c r="F559" s="85">
        <f t="shared" si="177"/>
        <v>0</v>
      </c>
      <c r="G559" s="90">
        <f t="shared" si="177"/>
        <v>0</v>
      </c>
      <c r="H559" s="90">
        <f t="shared" si="177"/>
        <v>0</v>
      </c>
      <c r="I559" s="90">
        <f t="shared" si="177"/>
        <v>0</v>
      </c>
      <c r="J559" s="90">
        <f t="shared" si="177"/>
        <v>0</v>
      </c>
      <c r="K559" s="90">
        <f t="shared" si="177"/>
        <v>-3.410605131648481E-13</v>
      </c>
      <c r="L559" s="90">
        <f t="shared" si="177"/>
        <v>0</v>
      </c>
      <c r="M559" s="328">
        <f t="shared" si="177"/>
        <v>0</v>
      </c>
      <c r="N559" s="90">
        <f t="shared" si="177"/>
        <v>0</v>
      </c>
      <c r="O559" s="90">
        <f t="shared" si="177"/>
        <v>0</v>
      </c>
      <c r="P559" s="45">
        <f t="shared" si="177"/>
        <v>0</v>
      </c>
      <c r="Q559" s="45">
        <f t="shared" si="177"/>
        <v>9877793.009999996</v>
      </c>
    </row>
    <row r="560" spans="2:16" ht="12.75">
      <c r="B560" s="78"/>
      <c r="G560" s="90"/>
      <c r="P560" s="45"/>
    </row>
    <row r="561" spans="2:16" ht="12.75">
      <c r="B561" s="78"/>
      <c r="D561" s="90"/>
      <c r="G561" s="90"/>
      <c r="P561" s="45"/>
    </row>
    <row r="562" spans="2:16" ht="12.75">
      <c r="B562" s="78"/>
      <c r="G562" s="90"/>
      <c r="P562" s="45"/>
    </row>
    <row r="563" spans="2:16" ht="12.75">
      <c r="B563" s="78"/>
      <c r="G563" s="90"/>
      <c r="P563" s="45"/>
    </row>
    <row r="564" spans="2:16" ht="12.75">
      <c r="B564" s="78"/>
      <c r="G564" s="90"/>
      <c r="P564" s="45"/>
    </row>
    <row r="565" spans="2:16" ht="12.75">
      <c r="B565" s="78"/>
      <c r="G565" s="90"/>
      <c r="P565" s="45"/>
    </row>
    <row r="566" spans="2:16" ht="12.75">
      <c r="B566" s="78"/>
      <c r="G566" s="90"/>
      <c r="P566" s="45"/>
    </row>
    <row r="567" spans="2:16" ht="12.75">
      <c r="B567" s="78"/>
      <c r="G567" s="90"/>
      <c r="P567" s="45"/>
    </row>
    <row r="568" spans="2:16" ht="12.75">
      <c r="B568" s="78"/>
      <c r="G568" s="90"/>
      <c r="P568" s="45"/>
    </row>
    <row r="569" spans="2:16" ht="12.75">
      <c r="B569" s="78"/>
      <c r="G569" s="90"/>
      <c r="P569" s="45"/>
    </row>
    <row r="570" spans="2:16" ht="12.75">
      <c r="B570" s="78"/>
      <c r="G570" s="90"/>
      <c r="P570" s="45"/>
    </row>
    <row r="571" spans="2:16" ht="12.75">
      <c r="B571" s="78"/>
      <c r="G571" s="90"/>
      <c r="P571" s="45"/>
    </row>
    <row r="572" spans="2:16" ht="12.75">
      <c r="B572" s="78"/>
      <c r="G572" s="90"/>
      <c r="P572" s="45"/>
    </row>
    <row r="573" spans="2:16" ht="12.75">
      <c r="B573" s="78"/>
      <c r="G573" s="90"/>
      <c r="P573" s="45"/>
    </row>
    <row r="574" spans="2:16" ht="12.75">
      <c r="B574" s="78"/>
      <c r="G574" s="90"/>
      <c r="P574" s="45"/>
    </row>
    <row r="575" spans="2:16" ht="12.75">
      <c r="B575" s="78"/>
      <c r="G575" s="90"/>
      <c r="P575" s="45"/>
    </row>
    <row r="576" spans="2:16" ht="12.75">
      <c r="B576" s="78"/>
      <c r="G576" s="90"/>
      <c r="P576" s="45"/>
    </row>
    <row r="577" spans="2:16" ht="12.75">
      <c r="B577" s="78"/>
      <c r="G577" s="90"/>
      <c r="P577" s="45"/>
    </row>
    <row r="578" spans="2:16" ht="12.75">
      <c r="B578" s="78"/>
      <c r="G578" s="90"/>
      <c r="P578" s="45"/>
    </row>
    <row r="579" spans="7:16" ht="12.75">
      <c r="G579" s="90"/>
      <c r="P579" s="45"/>
    </row>
    <row r="580" spans="7:16" ht="12.75">
      <c r="G580" s="90"/>
      <c r="P580" s="45"/>
    </row>
    <row r="581" spans="7:16" ht="12.75">
      <c r="G581" s="90"/>
      <c r="P581" s="45"/>
    </row>
    <row r="582" spans="7:16" ht="12.75">
      <c r="G582" s="90"/>
      <c r="P582" s="45"/>
    </row>
    <row r="583" ht="12.75">
      <c r="P583" s="45"/>
    </row>
    <row r="584" ht="12.75">
      <c r="P584" s="45"/>
    </row>
    <row r="585" ht="12.75">
      <c r="P585" s="45"/>
    </row>
    <row r="586" ht="12.75">
      <c r="P586" s="45"/>
    </row>
    <row r="587" ht="12.75">
      <c r="P587" s="45"/>
    </row>
    <row r="588" ht="12.75">
      <c r="P588" s="45"/>
    </row>
    <row r="589" ht="12.75">
      <c r="P589" s="45"/>
    </row>
    <row r="590" ht="12.75">
      <c r="P590" s="45"/>
    </row>
    <row r="591" ht="12.75">
      <c r="P591" s="45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7086614173228347" bottom="0.3937007874015748" header="0.5118110236220472" footer="0.11811023622047245"/>
  <pageSetup horizontalDpi="600" verticalDpi="600" orientation="portrait" paperSize="9" scale="83" r:id="rId1"/>
  <headerFooter alignWithMargins="0">
    <oddFooter>&amp;CStránka &amp;P</oddFooter>
  </headerFooter>
  <rowBreaks count="5" manualBreakCount="5">
    <brk id="91" max="8" man="1"/>
    <brk id="206" max="11" man="1"/>
    <brk id="294" max="14" man="1"/>
    <brk id="386" max="14" man="1"/>
    <brk id="48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2020-12-21T13:39:17Z</cp:lastPrinted>
  <dcterms:created xsi:type="dcterms:W3CDTF">2009-01-05T12:05:07Z</dcterms:created>
  <dcterms:modified xsi:type="dcterms:W3CDTF">2020-12-21T13:39:54Z</dcterms:modified>
  <cp:category/>
  <cp:version/>
  <cp:contentType/>
  <cp:contentStatus/>
</cp:coreProperties>
</file>