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400" windowHeight="10932" activeTab="1"/>
  </bookViews>
  <sheets>
    <sheet name="1.ZR" sheetId="1" r:id="rId1"/>
    <sheet name="1.ZR vč. PN" sheetId="2" r:id="rId2"/>
  </sheets>
  <definedNames>
    <definedName name="_xlnm.Print_Titles" localSheetId="0">'1.ZR'!$8:$9</definedName>
    <definedName name="_xlnm.Print_Titles" localSheetId="1">'1.ZR vč. PN'!$8:$9</definedName>
    <definedName name="_xlnm.Print_Area" localSheetId="0">'1.ZR'!$A$1:$F$495</definedName>
    <definedName name="_xlnm.Print_Area" localSheetId="1">'1.ZR vč. PN'!$A$1:$F$495</definedName>
    <definedName name="Z_39FD50E0_9911_4D32_8842_5A58F13D310F_.wvu.Cols" localSheetId="0" hidden="1">'1.ZR'!$D:$K,'1.ZR'!$N:$N,'1.ZR'!#REF!</definedName>
    <definedName name="Z_39FD50E0_9911_4D32_8842_5A58F13D310F_.wvu.Cols" localSheetId="1" hidden="1">'1.ZR vč. PN'!$D:$K,'1.ZR vč. PN'!$N:$N,'1.ZR vč. PN'!#REF!</definedName>
    <definedName name="Z_39FD50E0_9911_4D32_8842_5A58F13D310F_.wvu.PrintTitles" localSheetId="0" hidden="1">'1.ZR'!$8:$9</definedName>
    <definedName name="Z_39FD50E0_9911_4D32_8842_5A58F13D310F_.wvu.PrintTitles" localSheetId="1" hidden="1">'1.ZR vč. PN'!$8:$9</definedName>
    <definedName name="Z_39FD50E0_9911_4D32_8842_5A58F13D310F_.wvu.Rows" localSheetId="0" hidden="1">'1.ZR'!#REF!</definedName>
    <definedName name="Z_39FD50E0_9911_4D32_8842_5A58F13D310F_.wvu.Rows" localSheetId="1" hidden="1">'1.ZR vč. PN'!#REF!</definedName>
  </definedNames>
  <calcPr fullCalcOnLoad="1"/>
</workbook>
</file>

<file path=xl/sharedStrings.xml><?xml version="1.0" encoding="utf-8"?>
<sst xmlns="http://schemas.openxmlformats.org/spreadsheetml/2006/main" count="1087" uniqueCount="353">
  <si>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</si>
  <si>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</si>
  <si>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</si>
  <si>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</si>
  <si>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</si>
  <si>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</si>
  <si>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</si>
  <si>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</si>
  <si>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</si>
  <si>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</si>
  <si>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</si>
  <si>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</si>
  <si>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</si>
  <si>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</si>
  <si>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</si>
  <si>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</si>
  <si>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</si>
  <si>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</si>
  <si>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</si>
  <si>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</si>
  <si>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</si>
  <si>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</si>
  <si>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</si>
  <si>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</si>
  <si>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</si>
  <si>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</si>
  <si>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</si>
  <si>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</si>
  <si>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</si>
  <si>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</si>
  <si>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</si>
  <si>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</si>
  <si>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</si>
  <si>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</si>
  <si>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</si>
  <si>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</si>
  <si>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</si>
  <si>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</si>
  <si>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</si>
  <si>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</si>
  <si>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</si>
  <si>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</si>
  <si>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</si>
  <si>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</si>
  <si>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</si>
  <si>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</si>
  <si>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</si>
  <si>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</si>
  <si>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</si>
  <si>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</si>
  <si>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</si>
  <si>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</si>
  <si>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</si>
  <si>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</si>
  <si>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</si>
  <si>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</si>
  <si>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</si>
  <si>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</si>
  <si>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</si>
  <si>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</si>
  <si>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</si>
  <si>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</si>
  <si>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</si>
  <si>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</si>
  <si>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</si>
  <si>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</si>
  <si>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</si>
  <si>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</si>
  <si>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</si>
  <si>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</si>
  <si>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</si>
  <si>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</si>
  <si>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</si>
  <si>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</si>
  <si>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</si>
  <si>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</si>
  <si>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</si>
  <si>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</si>
  <si>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</si>
  <si>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</si>
  <si>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</si>
  <si>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</si>
  <si>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</si>
  <si>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</si>
  <si>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</si>
  <si>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</si>
  <si>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</si>
  <si>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</si>
  <si>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</si>
  <si>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</si>
  <si>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</si>
  <si>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</si>
  <si>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</si>
  <si>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</si>
  <si>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</si>
  <si>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</si>
  <si>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</si>
  <si>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</si>
  <si>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</si>
  <si>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</si>
  <si>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</si>
  <si>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</si>
  <si>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</si>
  <si>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</si>
  <si>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</si>
  <si>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</si>
  <si>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</si>
  <si>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</si>
  <si>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</si>
  <si>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</si>
  <si>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</si>
  <si>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</si>
  <si>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</si>
  <si>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</si>
  <si>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</si>
  <si>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</si>
  <si>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</si>
  <si>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</si>
  <si>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</si>
  <si>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</si>
  <si>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</si>
  <si>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</si>
  <si>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</si>
  <si>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</si>
  <si>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</si>
  <si>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</si>
  <si>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</si>
  <si>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</si>
  <si>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</si>
  <si>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</si>
  <si>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</si>
  <si>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</si>
  <si>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</si>
  <si>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</si>
  <si>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</si>
  <si>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</si>
  <si>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</si>
  <si>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</si>
  <si>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</si>
  <si>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</si>
  <si>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</si>
  <si>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</si>
  <si>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</si>
  <si>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</si>
  <si>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</si>
  <si>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</si>
  <si>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</si>
  <si>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</si>
  <si>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</si>
  <si>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</si>
  <si>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</si>
  <si>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</si>
  <si>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</si>
  <si>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</si>
  <si>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</si>
  <si>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</si>
  <si>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</si>
  <si>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</si>
  <si>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</si>
  <si>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</si>
  <si>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</si>
  <si>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</si>
  <si>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</si>
  <si>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</si>
  <si>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</si>
  <si>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</si>
  <si>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</si>
  <si>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</si>
  <si>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</si>
  <si>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</si>
  <si>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</si>
  <si>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</si>
  <si>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</si>
  <si>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</si>
  <si>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</si>
  <si>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</si>
  <si>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</si>
  <si>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</si>
  <si>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</si>
  <si>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</si>
  <si>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</si>
  <si>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</si>
  <si>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</si>
  <si>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</si>
  <si>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</si>
  <si>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</si>
  <si>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</si>
  <si>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</si>
  <si>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</si>
  <si>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</si>
  <si>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</si>
  <si>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</si>
  <si>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</si>
  <si>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kultura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</si>
  <si>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</si>
  <si>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</si>
  <si>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</si>
  <si>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</si>
  <si>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</si>
  <si>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</si>
  <si>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</si>
  <si>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</si>
  <si>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</si>
  <si>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</si>
  <si>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</si>
  <si>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</si>
  <si>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</si>
  <si>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</si>
  <si>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</si>
  <si>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</si>
  <si>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</si>
  <si>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</si>
  <si>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</si>
  <si>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</si>
  <si>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</si>
  <si>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</si>
  <si>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</si>
  <si>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</si>
  <si>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</si>
  <si>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</si>
  <si>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>Průmyslová zóna Kvasiny III.</t>
  </si>
  <si>
    <t xml:space="preserve"> </t>
  </si>
  <si>
    <t xml:space="preserve">  z Úřadu práce</t>
  </si>
  <si>
    <t>odborná praxe pro mladé do 30 let v KHK - z Úřadu práce</t>
  </si>
  <si>
    <t>bezplatná výuka ČJ přizpůs.potřebám žáků-cizinců - SR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</si>
  <si>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</si>
  <si>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</si>
  <si>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</si>
  <si>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</si>
  <si>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</si>
  <si>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</si>
  <si>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</si>
  <si>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</si>
  <si>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</si>
  <si>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</si>
  <si>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</si>
  <si>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</si>
  <si>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</si>
  <si>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</si>
  <si>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</si>
  <si>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</si>
  <si>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</si>
  <si>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</si>
  <si>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</si>
  <si>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</si>
  <si>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</si>
  <si>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</si>
  <si>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</si>
  <si>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</si>
  <si>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</si>
  <si>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</si>
  <si>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</si>
  <si>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</si>
  <si>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</si>
  <si>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</si>
  <si>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</si>
  <si>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</si>
  <si>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</si>
  <si>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</si>
  <si>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</si>
  <si>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</si>
  <si>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</si>
  <si>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</si>
  <si>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</si>
  <si>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</si>
  <si>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   org. 2088</t>
  </si>
  <si>
    <t xml:space="preserve">                 org. 2077</t>
  </si>
  <si>
    <t xml:space="preserve">                 org. 2099</t>
  </si>
  <si>
    <t>průmyslová zóna Kvasiny - SR</t>
  </si>
  <si>
    <t xml:space="preserve">            školství - vzdělávání </t>
  </si>
  <si>
    <t xml:space="preserve">            školství - prevence</t>
  </si>
  <si>
    <t xml:space="preserve">OP Z Služby soc.prevence v KHK IV - SR  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</si>
  <si>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</si>
  <si>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</si>
  <si>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</si>
  <si>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</si>
  <si>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</si>
  <si>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</si>
  <si>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</si>
  <si>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</si>
  <si>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</si>
  <si>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</si>
  <si>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</si>
  <si>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průmyslová zóna Solnice - Kvasiny</t>
  </si>
  <si>
    <t>ostatní běžné výdaje - poplatky</t>
  </si>
  <si>
    <t>volnočasové aktivity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</si>
  <si>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</si>
  <si>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</si>
  <si>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</si>
  <si>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</si>
  <si>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</si>
  <si>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</si>
  <si>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</si>
  <si>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</si>
  <si>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</si>
  <si>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</si>
  <si>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</si>
  <si>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</si>
  <si>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</si>
  <si>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</si>
  <si>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</si>
  <si>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</si>
  <si>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 xml:space="preserve">Snížení emisí z lokál.vytápění domácností v KHK II. - SR </t>
  </si>
  <si>
    <t>IP Přeshraniční spolupráce zdravotn. oborů - SR</t>
  </si>
  <si>
    <t>17051, 95113</t>
  </si>
  <si>
    <t>17988, 95823</t>
  </si>
  <si>
    <t>NA ROK 2019</t>
  </si>
  <si>
    <t>OP Z - Zaměstnaný absolvent - SR 2018</t>
  </si>
  <si>
    <t>OP VVV - Smart Akcelerátor - SR 2018</t>
  </si>
  <si>
    <t>OP Z - Predikce trhu práce - Kompas - SR 2018</t>
  </si>
  <si>
    <t>Snížení emisí z lokál.vytápění domácností v KHK I- SR 2018</t>
  </si>
  <si>
    <t>Snížení emisí z lokál.vytápění domácností v KHK II - SR 2018</t>
  </si>
  <si>
    <t>potravinová pomoc dětem v KHK - obědy do škol - SR 2018</t>
  </si>
  <si>
    <t>TP Interreg V-A ČR-Polsko - SR 2018</t>
  </si>
  <si>
    <t>Snížení emisí z lokál.vytápění domácností v KHK I - SR 2018</t>
  </si>
  <si>
    <t>Krajský akční plán vzdělávání v KHK - SR 2018</t>
  </si>
  <si>
    <t>IKAP rozvoje vzdělávání v KHK - SR 2018</t>
  </si>
  <si>
    <t xml:space="preserve">             krajský úřad</t>
  </si>
  <si>
    <t xml:space="preserve">    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</si>
  <si>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</si>
  <si>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</si>
  <si>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</si>
  <si>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</si>
  <si>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projekt Jak zachraňujete u vás - pro ZZS KHK</t>
  </si>
  <si>
    <t>modernizace VOŠ a SPŠ Rychnov n.K. - II. etapa - SR</t>
  </si>
  <si>
    <t>OP Z Rozvoj reg.partnerství v soc.oblasti v KHK - SR 2018</t>
  </si>
  <si>
    <t>OP Z Rozvoj dostup.a kvality soc.sl.v KHK V - SR 2018</t>
  </si>
  <si>
    <t>OP Z Služby soc.prevence v KHK IV - SR  2018</t>
  </si>
  <si>
    <t>OP Z Služby soc.prevence v KHK V - SR  2018</t>
  </si>
  <si>
    <t>OP Z - Rozvoj KHK-chytře, efektivně, s prosperitou - SR 2018</t>
  </si>
  <si>
    <t>OP Z - Do praxe bez bariér</t>
  </si>
  <si>
    <t xml:space="preserve">OP Z Rozvoj dostup.a kvality soc.sl.v KHK VI - SR 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</si>
  <si>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</si>
  <si>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</si>
  <si>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</si>
  <si>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</si>
  <si>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98xxx</t>
  </si>
  <si>
    <t>33xxx</t>
  </si>
  <si>
    <t>13xxx</t>
  </si>
  <si>
    <t>17xxx</t>
  </si>
  <si>
    <t>35xxx</t>
  </si>
  <si>
    <t>27xxx</t>
  </si>
  <si>
    <t>15xxx</t>
  </si>
  <si>
    <t>91xxx</t>
  </si>
  <si>
    <t>14xxx</t>
  </si>
  <si>
    <t>95xxx</t>
  </si>
  <si>
    <t>04xxx</t>
  </si>
  <si>
    <t>90xxx</t>
  </si>
  <si>
    <t>22xxx</t>
  </si>
  <si>
    <t>07xxx</t>
  </si>
  <si>
    <t>97xxx</t>
  </si>
  <si>
    <t>ZOO</t>
  </si>
  <si>
    <t>AU 160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</si>
</sst>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/>
      <right>
        <color indexed="63"/>
      </right>
      <top/>
      <bottom style="thin"/>
    </border>
    <border>
      <left>
        <color indexed="63"/>
      </left>
      <right style="medium"/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3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166" fontId="8" fillId="0" borderId="13" xfId="38" applyNumberFormat="1" applyFont="1" applyBorder="1" applyAlignment="1">
      <alignment vertical="center"/>
    </xf>
    <xf numFmtId="165" fontId="4" fillId="0" borderId="14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0" fillId="0" borderId="17" xfId="38" applyNumberFormat="1" applyFont="1" applyBorder="1" applyAlignment="1">
      <alignment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8" xfId="38" applyNumberFormat="1" applyFont="1" applyBorder="1" applyAlignment="1">
      <alignment/>
    </xf>
    <xf numFmtId="166" fontId="0" fillId="0" borderId="19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5" fontId="4" fillId="0" borderId="13" xfId="38" applyNumberFormat="1" applyFont="1" applyBorder="1" applyAlignment="1">
      <alignment horizontal="center"/>
    </xf>
    <xf numFmtId="166" fontId="0" fillId="0" borderId="13" xfId="38" applyNumberFormat="1" applyFont="1" applyFill="1" applyBorder="1" applyAlignment="1">
      <alignment/>
    </xf>
    <xf numFmtId="3" fontId="4" fillId="0" borderId="22" xfId="0" applyFont="1" applyBorder="1" applyAlignment="1">
      <alignment/>
    </xf>
    <xf numFmtId="3" fontId="5" fillId="0" borderId="22" xfId="0" applyFont="1" applyBorder="1" applyAlignment="1">
      <alignment/>
    </xf>
    <xf numFmtId="3" fontId="0" fillId="0" borderId="22" xfId="0" applyFont="1" applyBorder="1" applyAlignment="1">
      <alignment/>
    </xf>
    <xf numFmtId="3" fontId="0" fillId="0" borderId="22" xfId="0" applyBorder="1" applyAlignment="1">
      <alignment/>
    </xf>
    <xf numFmtId="3" fontId="4" fillId="0" borderId="22" xfId="0" applyFont="1" applyBorder="1" applyAlignment="1">
      <alignment/>
    </xf>
    <xf numFmtId="3" fontId="5" fillId="0" borderId="22" xfId="0" applyFont="1" applyBorder="1" applyAlignment="1">
      <alignment/>
    </xf>
    <xf numFmtId="3" fontId="0" fillId="0" borderId="23" xfId="0" applyBorder="1" applyAlignment="1">
      <alignment/>
    </xf>
    <xf numFmtId="3" fontId="0" fillId="0" borderId="22" xfId="0" applyFont="1" applyBorder="1" applyAlignment="1">
      <alignment/>
    </xf>
    <xf numFmtId="3" fontId="2" fillId="0" borderId="24" xfId="0" applyFont="1" applyBorder="1" applyAlignment="1">
      <alignment vertical="center"/>
    </xf>
    <xf numFmtId="3" fontId="6" fillId="0" borderId="22" xfId="0" applyFont="1" applyBorder="1" applyAlignment="1">
      <alignment/>
    </xf>
    <xf numFmtId="3" fontId="6" fillId="0" borderId="22" xfId="0" applyFont="1" applyBorder="1" applyAlignment="1">
      <alignment/>
    </xf>
    <xf numFmtId="3" fontId="0" fillId="0" borderId="23" xfId="0" applyFont="1" applyBorder="1" applyAlignment="1">
      <alignment/>
    </xf>
    <xf numFmtId="3" fontId="7" fillId="0" borderId="22" xfId="0" applyFont="1" applyBorder="1" applyAlignment="1">
      <alignment/>
    </xf>
    <xf numFmtId="3" fontId="7" fillId="0" borderId="23" xfId="0" applyFont="1" applyBorder="1" applyAlignment="1">
      <alignment/>
    </xf>
    <xf numFmtId="3" fontId="0" fillId="0" borderId="23" xfId="0" applyFont="1" applyBorder="1" applyAlignment="1">
      <alignment/>
    </xf>
    <xf numFmtId="3" fontId="4" fillId="0" borderId="22" xfId="0" applyFont="1" applyFill="1" applyBorder="1" applyAlignment="1">
      <alignment/>
    </xf>
    <xf numFmtId="3" fontId="0" fillId="0" borderId="22" xfId="0" applyFill="1" applyBorder="1" applyAlignment="1">
      <alignment/>
    </xf>
    <xf numFmtId="3" fontId="4" fillId="0" borderId="24" xfId="0" applyFont="1" applyBorder="1" applyAlignment="1">
      <alignment/>
    </xf>
    <xf numFmtId="3" fontId="3" fillId="0" borderId="25" xfId="0" applyFont="1" applyBorder="1" applyAlignment="1">
      <alignment vertical="center"/>
    </xf>
    <xf numFmtId="3" fontId="4" fillId="0" borderId="25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2" fillId="0" borderId="26" xfId="0" applyFont="1" applyBorder="1" applyAlignment="1">
      <alignment vertical="center"/>
    </xf>
    <xf numFmtId="3" fontId="2" fillId="0" borderId="22" xfId="0" applyFont="1" applyBorder="1" applyAlignment="1">
      <alignment vertical="center"/>
    </xf>
    <xf numFmtId="3" fontId="0" fillId="0" borderId="22" xfId="0" applyFont="1" applyBorder="1" applyAlignment="1">
      <alignment vertical="center"/>
    </xf>
    <xf numFmtId="3" fontId="0" fillId="0" borderId="22" xfId="0" applyBorder="1" applyAlignment="1">
      <alignment vertical="center"/>
    </xf>
    <xf numFmtId="3" fontId="7" fillId="0" borderId="22" xfId="0" applyFont="1" applyBorder="1" applyAlignment="1">
      <alignment/>
    </xf>
    <xf numFmtId="3" fontId="4" fillId="0" borderId="22" xfId="0" applyFont="1" applyBorder="1" applyAlignment="1">
      <alignment horizontal="left" vertical="center"/>
    </xf>
    <xf numFmtId="165" fontId="4" fillId="0" borderId="17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8" xfId="38" applyNumberFormat="1" applyFont="1" applyBorder="1" applyAlignment="1">
      <alignment horizontal="center"/>
    </xf>
    <xf numFmtId="166" fontId="8" fillId="0" borderId="17" xfId="38" applyNumberFormat="1" applyFont="1" applyBorder="1" applyAlignment="1">
      <alignment vertical="center"/>
    </xf>
    <xf numFmtId="3" fontId="46" fillId="0" borderId="0" xfId="0" applyFont="1" applyAlignment="1">
      <alignment/>
    </xf>
    <xf numFmtId="166" fontId="8" fillId="0" borderId="28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8" fillId="0" borderId="27" xfId="38" applyNumberFormat="1" applyFont="1" applyBorder="1" applyAlignment="1">
      <alignment vertical="center"/>
    </xf>
    <xf numFmtId="3" fontId="0" fillId="0" borderId="24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21" xfId="38" applyNumberFormat="1" applyFont="1" applyBorder="1" applyAlignment="1">
      <alignment/>
    </xf>
    <xf numFmtId="3" fontId="47" fillId="0" borderId="0" xfId="0" applyFont="1" applyAlignment="1">
      <alignment/>
    </xf>
    <xf numFmtId="3" fontId="7" fillId="0" borderId="20" xfId="0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5" fontId="4" fillId="0" borderId="30" xfId="38" applyNumberFormat="1" applyFont="1" applyBorder="1" applyAlignment="1">
      <alignment horizontal="center"/>
    </xf>
    <xf numFmtId="165" fontId="4" fillId="0" borderId="31" xfId="38" applyNumberFormat="1" applyFont="1" applyBorder="1" applyAlignment="1">
      <alignment horizontal="center"/>
    </xf>
    <xf numFmtId="166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0" fillId="0" borderId="21" xfId="0" applyBorder="1" applyAlignment="1">
      <alignment/>
    </xf>
    <xf numFmtId="167" fontId="0" fillId="0" borderId="21" xfId="0" applyNumberFormat="1" applyBorder="1" applyAlignment="1">
      <alignment/>
    </xf>
    <xf numFmtId="167" fontId="0" fillId="0" borderId="31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4" fillId="0" borderId="13" xfId="38" applyNumberFormat="1" applyFon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0" fillId="33" borderId="13" xfId="0" applyNumberFormat="1" applyFill="1" applyBorder="1" applyAlignment="1">
      <alignment/>
    </xf>
    <xf numFmtId="166" fontId="0" fillId="0" borderId="0" xfId="38" applyNumberFormat="1" applyFont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20" xfId="0" applyFont="1" applyBorder="1" applyAlignment="1">
      <alignment horizontal="left" vertical="center"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20" xfId="0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20" xfId="0" applyFont="1" applyBorder="1" applyAlignment="1">
      <alignment horizontal="center"/>
    </xf>
    <xf numFmtId="3" fontId="0" fillId="0" borderId="22" xfId="0" applyFont="1" applyBorder="1" applyAlignment="1">
      <alignment/>
    </xf>
    <xf numFmtId="3" fontId="9" fillId="0" borderId="20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20" xfId="0" applyFont="1" applyBorder="1" applyAlignment="1">
      <alignment horizontal="center"/>
    </xf>
    <xf numFmtId="3" fontId="9" fillId="0" borderId="20" xfId="0" applyFont="1" applyFill="1" applyBorder="1" applyAlignment="1">
      <alignment horizontal="center"/>
    </xf>
    <xf numFmtId="3" fontId="7" fillId="0" borderId="20" xfId="0" applyFont="1" applyFill="1" applyBorder="1" applyAlignment="1">
      <alignment horizontal="center"/>
    </xf>
    <xf numFmtId="3" fontId="9" fillId="0" borderId="25" xfId="0" applyFont="1" applyBorder="1" applyAlignment="1">
      <alignment horizontal="center" vertical="center"/>
    </xf>
    <xf numFmtId="3" fontId="9" fillId="0" borderId="26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 vertical="center"/>
    </xf>
    <xf numFmtId="3" fontId="7" fillId="0" borderId="22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3" xfId="38" applyNumberFormat="1" applyFont="1" applyBorder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2" fillId="0" borderId="27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2" fillId="0" borderId="35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35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3" fillId="0" borderId="28" xfId="38" applyNumberFormat="1" applyFont="1" applyBorder="1" applyAlignment="1">
      <alignment vertical="center"/>
    </xf>
    <xf numFmtId="174" fontId="3" fillId="0" borderId="36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66" fontId="0" fillId="0" borderId="37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74" fontId="2" fillId="0" borderId="14" xfId="38" applyNumberFormat="1" applyFont="1" applyBorder="1" applyAlignment="1">
      <alignment vertical="center"/>
    </xf>
    <xf numFmtId="174" fontId="4" fillId="0" borderId="20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74" fontId="0" fillId="0" borderId="19" xfId="38" applyNumberFormat="1" applyFont="1" applyBorder="1" applyAlignment="1">
      <alignment/>
    </xf>
    <xf numFmtId="165" fontId="46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33" xfId="0" applyFont="1" applyBorder="1" applyAlignment="1">
      <alignment horizontal="center"/>
    </xf>
    <xf numFmtId="174" fontId="0" fillId="0" borderId="12" xfId="38" applyNumberFormat="1" applyFont="1" applyBorder="1" applyAlignment="1">
      <alignment/>
    </xf>
    <xf numFmtId="174" fontId="0" fillId="0" borderId="20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0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8" xfId="38" applyNumberFormat="1" applyFont="1" applyBorder="1" applyAlignment="1">
      <alignment vertical="center"/>
    </xf>
    <xf numFmtId="174" fontId="3" fillId="0" borderId="39" xfId="38" applyNumberFormat="1" applyFont="1" applyBorder="1" applyAlignment="1">
      <alignment vertical="center"/>
    </xf>
    <xf numFmtId="167" fontId="0" fillId="0" borderId="37" xfId="0" applyNumberFormat="1" applyBorder="1" applyAlignment="1">
      <alignment/>
    </xf>
    <xf numFmtId="174" fontId="4" fillId="0" borderId="20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3" fontId="0" fillId="0" borderId="22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/>
    </xf>
    <xf numFmtId="174" fontId="0" fillId="0" borderId="10" xfId="38" applyNumberFormat="1" applyFont="1" applyBorder="1" applyAlignment="1">
      <alignment vertical="center"/>
    </xf>
    <xf numFmtId="174" fontId="0" fillId="0" borderId="12" xfId="38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left"/>
    </xf>
    <xf numFmtId="174" fontId="0" fillId="0" borderId="37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74" fontId="2" fillId="0" borderId="40" xfId="38" applyNumberFormat="1" applyFont="1" applyBorder="1" applyAlignment="1">
      <alignment vertical="center"/>
    </xf>
    <xf numFmtId="174" fontId="6" fillId="0" borderId="37" xfId="38" applyNumberFormat="1" applyFont="1" applyBorder="1" applyAlignment="1">
      <alignment/>
    </xf>
    <xf numFmtId="174" fontId="6" fillId="0" borderId="37" xfId="38" applyNumberFormat="1" applyFont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2" fillId="0" borderId="41" xfId="38" applyNumberFormat="1" applyFont="1" applyBorder="1" applyAlignment="1">
      <alignment vertical="center"/>
    </xf>
    <xf numFmtId="174" fontId="4" fillId="0" borderId="21" xfId="38" applyNumberFormat="1" applyFont="1" applyBorder="1" applyAlignment="1">
      <alignment/>
    </xf>
    <xf numFmtId="165" fontId="4" fillId="0" borderId="32" xfId="38" applyNumberFormat="1" applyFont="1" applyBorder="1" applyAlignment="1">
      <alignment horizontal="center"/>
    </xf>
    <xf numFmtId="165" fontId="4" fillId="0" borderId="33" xfId="38" applyNumberFormat="1" applyFont="1" applyBorder="1" applyAlignment="1">
      <alignment horizontal="center"/>
    </xf>
    <xf numFmtId="165" fontId="4" fillId="0" borderId="20" xfId="38" applyNumberFormat="1" applyFont="1" applyBorder="1" applyAlignment="1">
      <alignment horizontal="center"/>
    </xf>
    <xf numFmtId="174" fontId="2" fillId="0" borderId="33" xfId="38" applyNumberFormat="1" applyFont="1" applyBorder="1" applyAlignment="1">
      <alignment vertical="center"/>
    </xf>
    <xf numFmtId="174" fontId="6" fillId="0" borderId="20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0" fillId="0" borderId="33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0" fillId="0" borderId="34" xfId="38" applyNumberFormat="1" applyFont="1" applyFill="1" applyBorder="1" applyAlignment="1">
      <alignment/>
    </xf>
    <xf numFmtId="174" fontId="4" fillId="0" borderId="38" xfId="38" applyNumberFormat="1" applyFont="1" applyBorder="1" applyAlignment="1">
      <alignment vertical="center"/>
    </xf>
    <xf numFmtId="174" fontId="2" fillId="0" borderId="38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33" xfId="38" applyNumberFormat="1" applyFont="1" applyBorder="1" applyAlignment="1">
      <alignment vertical="center"/>
    </xf>
    <xf numFmtId="174" fontId="2" fillId="0" borderId="32" xfId="38" applyNumberFormat="1" applyFont="1" applyBorder="1" applyAlignment="1">
      <alignment vertical="center"/>
    </xf>
    <xf numFmtId="174" fontId="2" fillId="0" borderId="20" xfId="38" applyNumberFormat="1" applyFont="1" applyBorder="1" applyAlignment="1">
      <alignment vertical="center"/>
    </xf>
    <xf numFmtId="174" fontId="0" fillId="0" borderId="20" xfId="38" applyNumberFormat="1" applyFont="1" applyBorder="1" applyAlignment="1">
      <alignment vertical="center"/>
    </xf>
    <xf numFmtId="174" fontId="0" fillId="0" borderId="33" xfId="38" applyNumberFormat="1" applyFont="1" applyBorder="1" applyAlignment="1">
      <alignment vertical="center"/>
    </xf>
    <xf numFmtId="174" fontId="4" fillId="0" borderId="33" xfId="38" applyNumberFormat="1" applyFont="1" applyBorder="1" applyAlignment="1">
      <alignment vertical="center"/>
    </xf>
    <xf numFmtId="165" fontId="4" fillId="0" borderId="21" xfId="38" applyNumberFormat="1" applyFont="1" applyBorder="1" applyAlignment="1">
      <alignment horizontal="center"/>
    </xf>
    <xf numFmtId="174" fontId="0" fillId="0" borderId="21" xfId="38" applyNumberFormat="1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2" fillId="0" borderId="31" xfId="38" applyNumberFormat="1" applyFont="1" applyBorder="1" applyAlignment="1">
      <alignment vertical="center"/>
    </xf>
    <xf numFmtId="174" fontId="6" fillId="0" borderId="21" xfId="38" applyNumberFormat="1" applyFont="1" applyBorder="1" applyAlignment="1">
      <alignment/>
    </xf>
    <xf numFmtId="174" fontId="0" fillId="0" borderId="29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31" xfId="38" applyNumberFormat="1" applyFont="1" applyBorder="1" applyAlignment="1">
      <alignment/>
    </xf>
    <xf numFmtId="174" fontId="0" fillId="0" borderId="21" xfId="38" applyNumberFormat="1" applyFont="1" applyFill="1" applyBorder="1" applyAlignment="1">
      <alignment/>
    </xf>
    <xf numFmtId="174" fontId="3" fillId="0" borderId="42" xfId="38" applyNumberFormat="1" applyFont="1" applyBorder="1" applyAlignment="1">
      <alignment vertical="center"/>
    </xf>
    <xf numFmtId="174" fontId="2" fillId="0" borderId="30" xfId="38" applyNumberFormat="1" applyFont="1" applyBorder="1" applyAlignment="1">
      <alignment vertical="center"/>
    </xf>
    <xf numFmtId="174" fontId="8" fillId="0" borderId="21" xfId="38" applyNumberFormat="1" applyFont="1" applyBorder="1" applyAlignment="1">
      <alignment vertical="center"/>
    </xf>
    <xf numFmtId="174" fontId="0" fillId="0" borderId="21" xfId="38" applyNumberFormat="1" applyFont="1" applyBorder="1" applyAlignment="1">
      <alignment vertical="center"/>
    </xf>
    <xf numFmtId="174" fontId="0" fillId="0" borderId="31" xfId="38" applyNumberFormat="1" applyFont="1" applyBorder="1" applyAlignment="1">
      <alignment vertical="center"/>
    </xf>
    <xf numFmtId="166" fontId="4" fillId="0" borderId="29" xfId="38" applyNumberFormat="1" applyFont="1" applyBorder="1" applyAlignment="1">
      <alignment/>
    </xf>
    <xf numFmtId="166" fontId="8" fillId="0" borderId="21" xfId="38" applyNumberFormat="1" applyFont="1" applyBorder="1" applyAlignment="1">
      <alignment vertical="center"/>
    </xf>
    <xf numFmtId="166" fontId="8" fillId="0" borderId="31" xfId="38" applyNumberFormat="1" applyFont="1" applyBorder="1" applyAlignment="1">
      <alignment vertical="center"/>
    </xf>
    <xf numFmtId="165" fontId="4" fillId="0" borderId="43" xfId="38" applyNumberFormat="1" applyFont="1" applyBorder="1" applyAlignment="1">
      <alignment horizontal="center"/>
    </xf>
    <xf numFmtId="165" fontId="4" fillId="0" borderId="44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166" fontId="4" fillId="0" borderId="0" xfId="38" applyNumberFormat="1" applyFont="1" applyBorder="1" applyAlignment="1">
      <alignment/>
    </xf>
    <xf numFmtId="174" fontId="2" fillId="0" borderId="44" xfId="38" applyNumberFormat="1" applyFont="1" applyBorder="1" applyAlignment="1">
      <alignment vertical="center"/>
    </xf>
    <xf numFmtId="174" fontId="6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166" fontId="0" fillId="0" borderId="45" xfId="38" applyNumberFormat="1" applyFont="1" applyBorder="1" applyAlignment="1">
      <alignment/>
    </xf>
    <xf numFmtId="166" fontId="7" fillId="0" borderId="0" xfId="38" applyNumberFormat="1" applyFont="1" applyBorder="1" applyAlignment="1">
      <alignment/>
    </xf>
    <xf numFmtId="174" fontId="4" fillId="0" borderId="39" xfId="38" applyNumberFormat="1" applyFont="1" applyBorder="1" applyAlignment="1">
      <alignment vertical="center"/>
    </xf>
    <xf numFmtId="174" fontId="2" fillId="0" borderId="39" xfId="38" applyNumberFormat="1" applyFont="1" applyBorder="1" applyAlignment="1">
      <alignment vertical="center"/>
    </xf>
    <xf numFmtId="174" fontId="3" fillId="0" borderId="43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44" xfId="38" applyNumberFormat="1" applyFont="1" applyBorder="1" applyAlignment="1">
      <alignment vertical="center"/>
    </xf>
    <xf numFmtId="174" fontId="2" fillId="0" borderId="43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0" xfId="38" applyNumberFormat="1" applyFont="1" applyBorder="1" applyAlignment="1">
      <alignment vertical="center"/>
    </xf>
    <xf numFmtId="166" fontId="8" fillId="0" borderId="44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20" xfId="38" applyNumberFormat="1" applyFont="1" applyFill="1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34" xfId="38" applyNumberFormat="1" applyFont="1" applyBorder="1" applyAlignment="1">
      <alignment/>
    </xf>
    <xf numFmtId="166" fontId="2" fillId="0" borderId="20" xfId="38" applyNumberFormat="1" applyFont="1" applyBorder="1" applyAlignment="1">
      <alignment vertical="center"/>
    </xf>
    <xf numFmtId="166" fontId="8" fillId="0" borderId="20" xfId="38" applyNumberFormat="1" applyFont="1" applyBorder="1" applyAlignment="1">
      <alignment vertical="center"/>
    </xf>
    <xf numFmtId="166" fontId="8" fillId="0" borderId="33" xfId="38" applyNumberFormat="1" applyFont="1" applyBorder="1" applyAlignment="1">
      <alignment vertical="center"/>
    </xf>
    <xf numFmtId="166" fontId="4" fillId="0" borderId="46" xfId="38" applyNumberFormat="1" applyFont="1" applyBorder="1" applyAlignment="1">
      <alignment/>
    </xf>
    <xf numFmtId="3" fontId="10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3" fontId="0" fillId="0" borderId="24" xfId="0" applyBorder="1" applyAlignment="1">
      <alignment/>
    </xf>
    <xf numFmtId="174" fontId="4" fillId="0" borderId="17" xfId="38" applyNumberFormat="1" applyFont="1" applyBorder="1" applyAlignment="1">
      <alignment/>
    </xf>
    <xf numFmtId="174" fontId="0" fillId="0" borderId="36" xfId="38" applyNumberFormat="1" applyFont="1" applyBorder="1" applyAlignment="1">
      <alignment vertical="center"/>
    </xf>
    <xf numFmtId="174" fontId="4" fillId="0" borderId="35" xfId="38" applyNumberFormat="1" applyFont="1" applyBorder="1" applyAlignment="1">
      <alignment/>
    </xf>
    <xf numFmtId="175" fontId="0" fillId="0" borderId="0" xfId="0" applyNumberFormat="1" applyAlignment="1">
      <alignment/>
    </xf>
    <xf numFmtId="3" fontId="0" fillId="0" borderId="34" xfId="0" applyFont="1" applyBorder="1" applyAlignment="1">
      <alignment/>
    </xf>
    <xf numFmtId="174" fontId="4" fillId="0" borderId="22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3" fontId="0" fillId="0" borderId="0" xfId="0" applyBorder="1" applyAlignment="1">
      <alignment/>
    </xf>
    <xf numFmtId="174" fontId="4" fillId="0" borderId="22" xfId="38" applyNumberFormat="1" applyFont="1" applyBorder="1" applyAlignment="1">
      <alignment/>
    </xf>
    <xf numFmtId="174" fontId="2" fillId="0" borderId="24" xfId="38" applyNumberFormat="1" applyFont="1" applyBorder="1" applyAlignment="1">
      <alignment vertical="center"/>
    </xf>
    <xf numFmtId="174" fontId="6" fillId="0" borderId="22" xfId="38" applyNumberFormat="1" applyFont="1" applyBorder="1" applyAlignment="1">
      <alignment/>
    </xf>
    <xf numFmtId="174" fontId="6" fillId="0" borderId="22" xfId="38" applyNumberFormat="1" applyFont="1" applyBorder="1" applyAlignment="1">
      <alignment/>
    </xf>
    <xf numFmtId="174" fontId="0" fillId="0" borderId="22" xfId="38" applyNumberFormat="1" applyFont="1" applyFill="1" applyBorder="1" applyAlignment="1">
      <alignment/>
    </xf>
    <xf numFmtId="174" fontId="3" fillId="0" borderId="25" xfId="38" applyNumberFormat="1" applyFont="1" applyBorder="1" applyAlignment="1">
      <alignment vertical="center"/>
    </xf>
    <xf numFmtId="174" fontId="4" fillId="0" borderId="25" xfId="38" applyNumberFormat="1" applyFont="1" applyBorder="1" applyAlignment="1">
      <alignment vertical="center"/>
    </xf>
    <xf numFmtId="174" fontId="2" fillId="0" borderId="25" xfId="38" applyNumberFormat="1" applyFont="1" applyBorder="1" applyAlignment="1">
      <alignment vertical="center"/>
    </xf>
    <xf numFmtId="174" fontId="3" fillId="0" borderId="26" xfId="38" applyNumberFormat="1" applyFont="1" applyBorder="1" applyAlignment="1">
      <alignment vertical="center"/>
    </xf>
    <xf numFmtId="174" fontId="3" fillId="0" borderId="22" xfId="38" applyNumberFormat="1" applyFont="1" applyBorder="1" applyAlignment="1">
      <alignment vertical="center"/>
    </xf>
    <xf numFmtId="174" fontId="3" fillId="0" borderId="24" xfId="38" applyNumberFormat="1" applyFont="1" applyBorder="1" applyAlignment="1">
      <alignment vertical="center"/>
    </xf>
    <xf numFmtId="174" fontId="2" fillId="0" borderId="26" xfId="38" applyNumberFormat="1" applyFont="1" applyBorder="1" applyAlignment="1">
      <alignment vertical="center"/>
    </xf>
    <xf numFmtId="3" fontId="0" fillId="0" borderId="24" xfId="0" applyFont="1" applyBorder="1" applyAlignment="1">
      <alignment/>
    </xf>
    <xf numFmtId="174" fontId="0" fillId="0" borderId="12" xfId="38" applyNumberFormat="1" applyFont="1" applyBorder="1" applyAlignment="1">
      <alignment/>
    </xf>
    <xf numFmtId="3" fontId="0" fillId="0" borderId="24" xfId="0" applyFont="1" applyBorder="1" applyAlignment="1">
      <alignment/>
    </xf>
    <xf numFmtId="174" fontId="0" fillId="0" borderId="11" xfId="38" applyNumberFormat="1" applyFont="1" applyFill="1" applyBorder="1" applyAlignment="1">
      <alignment/>
    </xf>
    <xf numFmtId="3" fontId="4" fillId="0" borderId="26" xfId="0" applyFont="1" applyBorder="1" applyAlignment="1">
      <alignment horizontal="center" vertical="center"/>
    </xf>
    <xf numFmtId="3" fontId="0" fillId="0" borderId="24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8"/>
  <sheetViews>
    <sheetView zoomScaleSheetLayoutView="69" zoomScalePageLayoutView="0" workbookViewId="0" topLeftCell="A1">
      <pane xSplit="1" ySplit="9" topLeftCell="C40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415" sqref="D415"/>
    </sheetView>
  </sheetViews>
  <sheetFormatPr defaultColWidth="9.00390625" defaultRowHeight="12.75"/>
  <cols>
    <col min="1" max="1" width="50.50390625" style="0" customWidth="1"/>
    <col min="2" max="2" width="10.00390625" style="0" hidden="1" customWidth="1"/>
    <col min="3" max="3" width="15.375" style="0" customWidth="1"/>
    <col min="4" max="4" width="16.625" style="0" customWidth="1"/>
    <col min="5" max="5" width="12.875" style="0" hidden="1" customWidth="1"/>
    <col min="6" max="6" width="16.375" style="0" customWidth="1"/>
    <col min="7" max="7" width="12.50390625" style="0" hidden="1" customWidth="1"/>
    <col min="8" max="8" width="12.625" style="0" hidden="1" customWidth="1"/>
    <col min="9" max="9" width="14.125" style="0" hidden="1" customWidth="1"/>
    <col min="10" max="11" width="13.625" style="0" hidden="1" customWidth="1"/>
    <col min="12" max="12" width="14.375" style="0" hidden="1" customWidth="1"/>
    <col min="13" max="13" width="11.875" style="0" hidden="1" customWidth="1"/>
    <col min="14" max="14" width="13.50390625" style="0" hidden="1" customWidth="1"/>
    <col min="15" max="15" width="15.00390625" style="0" hidden="1" customWidth="1"/>
    <col min="16" max="16" width="13.375" style="0" hidden="1" customWidth="1"/>
    <col min="17" max="17" width="15.125" style="0" hidden="1" customWidth="1"/>
    <col min="19" max="19" width="15.125" style="0" customWidth="1"/>
  </cols>
  <sheetData>
    <row r="1" spans="3:17" ht="12.75">
      <c r="C1" s="1"/>
      <c r="D1" s="1"/>
      <c r="E1" s="1"/>
      <c r="F1" s="2" t="s">
        <v>148</v>
      </c>
      <c r="I1" s="2"/>
      <c r="L1" s="2"/>
      <c r="O1" s="2"/>
      <c r="Q1" s="2" t="s">
        <v>148</v>
      </c>
    </row>
    <row r="2" spans="3:6" ht="9.75" customHeight="1">
      <c r="C2" s="1"/>
      <c r="D2" s="1"/>
      <c r="E2" s="1"/>
      <c r="F2" s="2"/>
    </row>
    <row r="3" spans="1:17" ht="15">
      <c r="A3" s="268" t="s">
        <v>276</v>
      </c>
      <c r="B3" s="268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1:17" ht="15">
      <c r="A4" s="270" t="s">
        <v>306</v>
      </c>
      <c r="B4" s="270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</row>
    <row r="5" spans="1:17" ht="13.5">
      <c r="A5" s="271" t="s">
        <v>0</v>
      </c>
      <c r="B5" s="271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</row>
    <row r="6" spans="1:17" ht="12.75">
      <c r="A6" s="272" t="s">
        <v>1</v>
      </c>
      <c r="B6" s="272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</row>
    <row r="7" spans="1:13" ht="18" customHeight="1" thickBot="1">
      <c r="A7" s="3"/>
      <c r="B7" s="3"/>
      <c r="C7" s="4"/>
      <c r="D7" s="148"/>
      <c r="E7" s="4"/>
      <c r="F7" s="4"/>
      <c r="J7" s="71"/>
      <c r="M7" s="64"/>
    </row>
    <row r="8" spans="1:17" ht="12.75">
      <c r="A8" s="266" t="s">
        <v>2</v>
      </c>
      <c r="B8" s="89" t="s">
        <v>258</v>
      </c>
      <c r="C8" s="175" t="s">
        <v>3</v>
      </c>
      <c r="D8" s="18" t="s">
        <v>4</v>
      </c>
      <c r="E8" s="18" t="s">
        <v>5</v>
      </c>
      <c r="F8" s="75" t="s">
        <v>6</v>
      </c>
      <c r="G8" s="212" t="s">
        <v>7</v>
      </c>
      <c r="H8" s="18" t="s">
        <v>5</v>
      </c>
      <c r="I8" s="75" t="s">
        <v>6</v>
      </c>
      <c r="J8" s="175" t="s">
        <v>8</v>
      </c>
      <c r="K8" s="18" t="s">
        <v>5</v>
      </c>
      <c r="L8" s="75" t="s">
        <v>6</v>
      </c>
      <c r="M8" s="17" t="s">
        <v>9</v>
      </c>
      <c r="N8" s="18" t="s">
        <v>5</v>
      </c>
      <c r="O8" s="19" t="s">
        <v>6</v>
      </c>
      <c r="P8" s="17" t="s">
        <v>173</v>
      </c>
      <c r="Q8" s="75" t="s">
        <v>6</v>
      </c>
    </row>
    <row r="9" spans="1:17" ht="13.5" thickBot="1">
      <c r="A9" s="267"/>
      <c r="B9" s="162" t="s">
        <v>194</v>
      </c>
      <c r="C9" s="176" t="s">
        <v>10</v>
      </c>
      <c r="D9" s="61" t="s">
        <v>11</v>
      </c>
      <c r="E9" s="61" t="s">
        <v>12</v>
      </c>
      <c r="F9" s="76" t="s">
        <v>13</v>
      </c>
      <c r="G9" s="213" t="s">
        <v>11</v>
      </c>
      <c r="H9" s="61" t="s">
        <v>12</v>
      </c>
      <c r="I9" s="76" t="s">
        <v>14</v>
      </c>
      <c r="J9" s="176" t="s">
        <v>11</v>
      </c>
      <c r="K9" s="61" t="s">
        <v>12</v>
      </c>
      <c r="L9" s="76" t="s">
        <v>15</v>
      </c>
      <c r="M9" s="60" t="s">
        <v>11</v>
      </c>
      <c r="N9" s="61" t="s">
        <v>12</v>
      </c>
      <c r="O9" s="62" t="s">
        <v>16</v>
      </c>
      <c r="P9" s="60" t="s">
        <v>11</v>
      </c>
      <c r="Q9" s="76" t="s">
        <v>174</v>
      </c>
    </row>
    <row r="10" spans="1:17" ht="15.75" customHeight="1">
      <c r="A10" s="58" t="s">
        <v>17</v>
      </c>
      <c r="B10" s="90"/>
      <c r="C10" s="177"/>
      <c r="D10" s="5"/>
      <c r="E10" s="5"/>
      <c r="F10" s="195"/>
      <c r="G10" s="214"/>
      <c r="H10" s="5"/>
      <c r="I10" s="195"/>
      <c r="J10" s="177"/>
      <c r="K10" s="5"/>
      <c r="L10" s="195"/>
      <c r="M10" s="30"/>
      <c r="N10" s="5"/>
      <c r="O10" s="59"/>
      <c r="P10" s="78"/>
      <c r="Q10" s="79"/>
    </row>
    <row r="11" spans="1:17" ht="12.75">
      <c r="A11" s="32" t="s">
        <v>247</v>
      </c>
      <c r="B11" s="91"/>
      <c r="C11" s="159">
        <f>C13+C14+C15</f>
        <v>4132740</v>
      </c>
      <c r="D11" s="114">
        <f>D13+D14+D15</f>
        <v>30285</v>
      </c>
      <c r="E11" s="114">
        <f>E13+E14+E15</f>
        <v>0</v>
      </c>
      <c r="F11" s="174">
        <f aca="true" t="shared" si="0" ref="F11:Q11">F13+F14+F15</f>
        <v>4163025</v>
      </c>
      <c r="G11" s="160">
        <f t="shared" si="0"/>
        <v>0</v>
      </c>
      <c r="H11" s="114">
        <f t="shared" si="0"/>
        <v>0</v>
      </c>
      <c r="I11" s="160">
        <f t="shared" si="0"/>
        <v>18285</v>
      </c>
      <c r="J11" s="160">
        <f t="shared" si="0"/>
        <v>0</v>
      </c>
      <c r="K11" s="114">
        <f t="shared" si="0"/>
        <v>0</v>
      </c>
      <c r="L11" s="160">
        <f t="shared" si="0"/>
        <v>18285</v>
      </c>
      <c r="M11" s="160">
        <f t="shared" si="0"/>
        <v>0</v>
      </c>
      <c r="N11" s="160">
        <f t="shared" si="0"/>
        <v>0</v>
      </c>
      <c r="O11" s="160">
        <f t="shared" si="0"/>
        <v>18285</v>
      </c>
      <c r="P11" s="160">
        <f t="shared" si="0"/>
        <v>0</v>
      </c>
      <c r="Q11" s="174">
        <f t="shared" si="0"/>
        <v>18285</v>
      </c>
    </row>
    <row r="12" spans="1:17" ht="12.75">
      <c r="A12" s="33" t="s">
        <v>18</v>
      </c>
      <c r="B12" s="92"/>
      <c r="C12" s="159"/>
      <c r="D12" s="114"/>
      <c r="E12" s="114"/>
      <c r="F12" s="174"/>
      <c r="G12" s="143"/>
      <c r="H12" s="6"/>
      <c r="I12" s="70"/>
      <c r="J12" s="231"/>
      <c r="K12" s="6"/>
      <c r="L12" s="70"/>
      <c r="M12" s="20"/>
      <c r="N12" s="6"/>
      <c r="O12" s="21"/>
      <c r="P12" s="82"/>
      <c r="Q12" s="80"/>
    </row>
    <row r="13" spans="1:17" ht="12.75">
      <c r="A13" s="100" t="s">
        <v>254</v>
      </c>
      <c r="B13" s="92"/>
      <c r="C13" s="152">
        <v>4130300</v>
      </c>
      <c r="D13" s="115">
        <f>12000</f>
        <v>12000</v>
      </c>
      <c r="E13" s="114"/>
      <c r="F13" s="196">
        <f>C13+D13+E13</f>
        <v>4142300</v>
      </c>
      <c r="G13" s="143"/>
      <c r="H13" s="6"/>
      <c r="I13" s="70"/>
      <c r="J13" s="231"/>
      <c r="K13" s="6"/>
      <c r="L13" s="70"/>
      <c r="M13" s="20"/>
      <c r="N13" s="6"/>
      <c r="O13" s="21"/>
      <c r="P13" s="82"/>
      <c r="Q13" s="80"/>
    </row>
    <row r="14" spans="1:17" ht="12.75">
      <c r="A14" s="34" t="s">
        <v>19</v>
      </c>
      <c r="B14" s="93"/>
      <c r="C14" s="152"/>
      <c r="D14" s="126">
        <f>18285</f>
        <v>18285</v>
      </c>
      <c r="E14" s="115"/>
      <c r="F14" s="196">
        <f>C14+D14+E14</f>
        <v>18285</v>
      </c>
      <c r="G14" s="88"/>
      <c r="H14" s="6"/>
      <c r="I14" s="74">
        <f>F14+G14+H14</f>
        <v>18285</v>
      </c>
      <c r="J14" s="28"/>
      <c r="K14" s="6"/>
      <c r="L14" s="74">
        <f>I14+J14+K14</f>
        <v>18285</v>
      </c>
      <c r="M14" s="22"/>
      <c r="N14" s="6"/>
      <c r="O14" s="23">
        <f>L14+M14+N14</f>
        <v>18285</v>
      </c>
      <c r="P14" s="82"/>
      <c r="Q14" s="80">
        <f aca="true" t="shared" si="1" ref="Q14:Q72">O14+P14</f>
        <v>18285</v>
      </c>
    </row>
    <row r="15" spans="1:17" ht="12.75">
      <c r="A15" s="100" t="s">
        <v>255</v>
      </c>
      <c r="B15" s="93"/>
      <c r="C15" s="152">
        <v>2440</v>
      </c>
      <c r="D15" s="126"/>
      <c r="E15" s="115"/>
      <c r="F15" s="196">
        <f>C15+D15+E15</f>
        <v>2440</v>
      </c>
      <c r="G15" s="88"/>
      <c r="H15" s="6"/>
      <c r="I15" s="74"/>
      <c r="J15" s="88"/>
      <c r="K15" s="6"/>
      <c r="L15" s="74"/>
      <c r="M15" s="141"/>
      <c r="N15" s="6"/>
      <c r="O15" s="23"/>
      <c r="P15" s="158"/>
      <c r="Q15" s="80"/>
    </row>
    <row r="16" spans="1:17" ht="12.75">
      <c r="A16" s="32" t="s">
        <v>248</v>
      </c>
      <c r="B16" s="91"/>
      <c r="C16" s="159">
        <f aca="true" t="shared" si="2" ref="C16:Q16">SUM(C18:C24)+C31</f>
        <v>252963.78</v>
      </c>
      <c r="D16" s="114">
        <f t="shared" si="2"/>
        <v>64059.79</v>
      </c>
      <c r="E16" s="114">
        <f t="shared" si="2"/>
        <v>0</v>
      </c>
      <c r="F16" s="174">
        <f t="shared" si="2"/>
        <v>317023.57</v>
      </c>
      <c r="G16" s="160">
        <f t="shared" si="2"/>
        <v>0</v>
      </c>
      <c r="H16" s="114">
        <f t="shared" si="2"/>
        <v>0</v>
      </c>
      <c r="I16" s="142">
        <f t="shared" si="2"/>
        <v>311364.25</v>
      </c>
      <c r="J16" s="159">
        <f t="shared" si="2"/>
        <v>0</v>
      </c>
      <c r="K16" s="114">
        <f t="shared" si="2"/>
        <v>0</v>
      </c>
      <c r="L16" s="142">
        <f t="shared" si="2"/>
        <v>311364.25</v>
      </c>
      <c r="M16" s="113">
        <f t="shared" si="2"/>
        <v>0</v>
      </c>
      <c r="N16" s="113">
        <f t="shared" si="2"/>
        <v>0</v>
      </c>
      <c r="O16" s="113">
        <f t="shared" si="2"/>
        <v>311364.25</v>
      </c>
      <c r="P16" s="113">
        <f t="shared" si="2"/>
        <v>0</v>
      </c>
      <c r="Q16" s="247">
        <f t="shared" si="2"/>
        <v>311364.25</v>
      </c>
    </row>
    <row r="17" spans="1:17" ht="10.5" customHeight="1">
      <c r="A17" s="33" t="s">
        <v>20</v>
      </c>
      <c r="B17" s="92"/>
      <c r="C17" s="159"/>
      <c r="D17" s="114"/>
      <c r="E17" s="114"/>
      <c r="F17" s="174"/>
      <c r="G17" s="143"/>
      <c r="H17" s="6"/>
      <c r="I17" s="70"/>
      <c r="J17" s="231"/>
      <c r="K17" s="6"/>
      <c r="L17" s="70"/>
      <c r="M17" s="20"/>
      <c r="N17" s="6"/>
      <c r="O17" s="21"/>
      <c r="P17" s="82"/>
      <c r="Q17" s="80"/>
    </row>
    <row r="18" spans="1:17" ht="12.75">
      <c r="A18" s="34" t="s">
        <v>21</v>
      </c>
      <c r="B18" s="93"/>
      <c r="C18" s="152">
        <v>1500</v>
      </c>
      <c r="D18" s="115"/>
      <c r="E18" s="115"/>
      <c r="F18" s="196">
        <f>C18+D18+E18</f>
        <v>1500</v>
      </c>
      <c r="G18" s="88"/>
      <c r="H18" s="7"/>
      <c r="I18" s="74">
        <f>F18+G18+H18</f>
        <v>1500</v>
      </c>
      <c r="J18" s="28"/>
      <c r="K18" s="7"/>
      <c r="L18" s="74">
        <f>I18+J18+K18</f>
        <v>1500</v>
      </c>
      <c r="M18" s="22"/>
      <c r="N18" s="7"/>
      <c r="O18" s="23">
        <f>L18+M18+N18</f>
        <v>1500</v>
      </c>
      <c r="P18" s="82"/>
      <c r="Q18" s="80">
        <f t="shared" si="1"/>
        <v>1500</v>
      </c>
    </row>
    <row r="19" spans="1:17" ht="12.75">
      <c r="A19" s="100" t="s">
        <v>293</v>
      </c>
      <c r="B19" s="93"/>
      <c r="C19" s="152"/>
      <c r="D19" s="115">
        <f>47113.71</f>
        <v>47113.71</v>
      </c>
      <c r="E19" s="115"/>
      <c r="F19" s="196">
        <f aca="true" t="shared" si="3" ref="F19:F31">C19+D19+E19</f>
        <v>47113.71</v>
      </c>
      <c r="G19" s="88"/>
      <c r="H19" s="7"/>
      <c r="I19" s="74">
        <f>F19+G19+H19</f>
        <v>47113.71</v>
      </c>
      <c r="J19" s="28"/>
      <c r="K19" s="7"/>
      <c r="L19" s="74">
        <f>I19+J19+K19</f>
        <v>47113.71</v>
      </c>
      <c r="M19" s="22"/>
      <c r="N19" s="7"/>
      <c r="O19" s="23">
        <f>L19+M19+N19</f>
        <v>47113.71</v>
      </c>
      <c r="P19" s="82"/>
      <c r="Q19" s="80">
        <f t="shared" si="1"/>
        <v>47113.71</v>
      </c>
    </row>
    <row r="20" spans="1:17" ht="12.75">
      <c r="A20" s="100" t="s">
        <v>299</v>
      </c>
      <c r="B20" s="93"/>
      <c r="C20" s="152">
        <v>30000</v>
      </c>
      <c r="D20" s="115"/>
      <c r="E20" s="115"/>
      <c r="F20" s="196">
        <f t="shared" si="3"/>
        <v>30000</v>
      </c>
      <c r="G20" s="88"/>
      <c r="H20" s="7"/>
      <c r="I20" s="74">
        <f>F20+G20+H20</f>
        <v>30000</v>
      </c>
      <c r="J20" s="28"/>
      <c r="K20" s="7"/>
      <c r="L20" s="74">
        <f>I20+J20+K20</f>
        <v>30000</v>
      </c>
      <c r="M20" s="22"/>
      <c r="N20" s="7"/>
      <c r="O20" s="23">
        <f>L20+M20+N20</f>
        <v>30000</v>
      </c>
      <c r="P20" s="82"/>
      <c r="Q20" s="80">
        <f t="shared" si="1"/>
        <v>30000</v>
      </c>
    </row>
    <row r="21" spans="1:17" ht="12.75">
      <c r="A21" s="35" t="s">
        <v>294</v>
      </c>
      <c r="B21" s="94"/>
      <c r="C21" s="152">
        <v>122051</v>
      </c>
      <c r="D21" s="115"/>
      <c r="E21" s="115"/>
      <c r="F21" s="196">
        <f t="shared" si="3"/>
        <v>122051</v>
      </c>
      <c r="G21" s="88"/>
      <c r="H21" s="7"/>
      <c r="I21" s="74">
        <f>F21+G21+H21</f>
        <v>122051</v>
      </c>
      <c r="J21" s="28"/>
      <c r="K21" s="7"/>
      <c r="L21" s="74">
        <f>I21+J21+K21</f>
        <v>122051</v>
      </c>
      <c r="M21" s="22"/>
      <c r="N21" s="7"/>
      <c r="O21" s="23">
        <f>L21+M21+N21</f>
        <v>122051</v>
      </c>
      <c r="P21" s="82"/>
      <c r="Q21" s="80">
        <f t="shared" si="1"/>
        <v>122051</v>
      </c>
    </row>
    <row r="22" spans="1:17" ht="12.75" hidden="1">
      <c r="A22" s="35" t="s">
        <v>295</v>
      </c>
      <c r="B22" s="94"/>
      <c r="C22" s="152"/>
      <c r="D22" s="115"/>
      <c r="E22" s="115"/>
      <c r="F22" s="196">
        <f t="shared" si="3"/>
        <v>0</v>
      </c>
      <c r="G22" s="88"/>
      <c r="H22" s="7"/>
      <c r="I22" s="74"/>
      <c r="J22" s="28"/>
      <c r="K22" s="7"/>
      <c r="L22" s="74"/>
      <c r="M22" s="22"/>
      <c r="N22" s="7"/>
      <c r="O22" s="23"/>
      <c r="P22" s="82"/>
      <c r="Q22" s="80"/>
    </row>
    <row r="23" spans="1:17" ht="12.75">
      <c r="A23" s="35" t="s">
        <v>296</v>
      </c>
      <c r="B23" s="94"/>
      <c r="C23" s="152"/>
      <c r="D23" s="115">
        <f>7.72+1217.73+220.01+1889.45+4216.45+25+47.95+119.52</f>
        <v>7743.83</v>
      </c>
      <c r="E23" s="115"/>
      <c r="F23" s="196">
        <f t="shared" si="3"/>
        <v>7743.83</v>
      </c>
      <c r="G23" s="88"/>
      <c r="H23" s="7"/>
      <c r="I23" s="74">
        <f>F23+G23+H23</f>
        <v>7743.83</v>
      </c>
      <c r="J23" s="28"/>
      <c r="K23" s="7"/>
      <c r="L23" s="74">
        <f>I23+J23+K23</f>
        <v>7743.83</v>
      </c>
      <c r="M23" s="31"/>
      <c r="N23" s="7"/>
      <c r="O23" s="23">
        <f>L23+M23+N23</f>
        <v>7743.83</v>
      </c>
      <c r="P23" s="82"/>
      <c r="Q23" s="80">
        <f t="shared" si="1"/>
        <v>7743.83</v>
      </c>
    </row>
    <row r="24" spans="1:17" ht="12.75">
      <c r="A24" s="34" t="s">
        <v>22</v>
      </c>
      <c r="B24" s="93"/>
      <c r="C24" s="152">
        <f>SUM(C25:C30)</f>
        <v>99412.78</v>
      </c>
      <c r="D24" s="115">
        <f>SUM(D25:D30)</f>
        <v>3542.9300000000003</v>
      </c>
      <c r="E24" s="115">
        <f aca="true" t="shared" si="4" ref="E24:Q24">SUM(E25:E30)</f>
        <v>0</v>
      </c>
      <c r="F24" s="196">
        <f t="shared" si="4"/>
        <v>102955.70999999999</v>
      </c>
      <c r="G24" s="153">
        <f t="shared" si="4"/>
        <v>0</v>
      </c>
      <c r="H24" s="115">
        <f t="shared" si="4"/>
        <v>0</v>
      </c>
      <c r="I24" s="167">
        <f t="shared" si="4"/>
        <v>102955.70999999999</v>
      </c>
      <c r="J24" s="152">
        <f t="shared" si="4"/>
        <v>0</v>
      </c>
      <c r="K24" s="115">
        <f t="shared" si="4"/>
        <v>0</v>
      </c>
      <c r="L24" s="167">
        <f t="shared" si="4"/>
        <v>102955.70999999999</v>
      </c>
      <c r="M24" s="116">
        <f t="shared" si="4"/>
        <v>0</v>
      </c>
      <c r="N24" s="116">
        <f t="shared" si="4"/>
        <v>0</v>
      </c>
      <c r="O24" s="116">
        <f t="shared" si="4"/>
        <v>102955.70999999999</v>
      </c>
      <c r="P24" s="116">
        <f t="shared" si="4"/>
        <v>0</v>
      </c>
      <c r="Q24" s="248">
        <f t="shared" si="4"/>
        <v>102955.70999999999</v>
      </c>
    </row>
    <row r="25" spans="1:17" ht="12.75">
      <c r="A25" s="34" t="s">
        <v>23</v>
      </c>
      <c r="B25" s="93"/>
      <c r="C25" s="152">
        <v>38857.2</v>
      </c>
      <c r="D25" s="115">
        <f>3490.13</f>
        <v>3490.13</v>
      </c>
      <c r="E25" s="115"/>
      <c r="F25" s="196">
        <f t="shared" si="3"/>
        <v>42347.329999999994</v>
      </c>
      <c r="G25" s="88"/>
      <c r="H25" s="7"/>
      <c r="I25" s="74">
        <f aca="true" t="shared" si="5" ref="I25:I30">F25+G25+H25</f>
        <v>42347.329999999994</v>
      </c>
      <c r="J25" s="28"/>
      <c r="K25" s="7"/>
      <c r="L25" s="74">
        <f aca="true" t="shared" si="6" ref="L25:L30">I25+J25+K25</f>
        <v>42347.329999999994</v>
      </c>
      <c r="M25" s="22"/>
      <c r="N25" s="7"/>
      <c r="O25" s="23">
        <f aca="true" t="shared" si="7" ref="O25:O30">L25+M25+N25</f>
        <v>42347.329999999994</v>
      </c>
      <c r="P25" s="82"/>
      <c r="Q25" s="80">
        <f t="shared" si="1"/>
        <v>42347.329999999994</v>
      </c>
    </row>
    <row r="26" spans="1:17" ht="12.75">
      <c r="A26" s="35" t="s">
        <v>160</v>
      </c>
      <c r="B26" s="94"/>
      <c r="C26" s="152">
        <v>696.38</v>
      </c>
      <c r="D26" s="115"/>
      <c r="E26" s="115"/>
      <c r="F26" s="196">
        <f t="shared" si="3"/>
        <v>696.38</v>
      </c>
      <c r="G26" s="88"/>
      <c r="H26" s="7"/>
      <c r="I26" s="74">
        <f t="shared" si="5"/>
        <v>696.38</v>
      </c>
      <c r="J26" s="28"/>
      <c r="K26" s="7"/>
      <c r="L26" s="74">
        <f t="shared" si="6"/>
        <v>696.38</v>
      </c>
      <c r="M26" s="22"/>
      <c r="N26" s="7"/>
      <c r="O26" s="23">
        <f t="shared" si="7"/>
        <v>696.38</v>
      </c>
      <c r="P26" s="82"/>
      <c r="Q26" s="80">
        <f t="shared" si="1"/>
        <v>696.38</v>
      </c>
    </row>
    <row r="27" spans="1:17" ht="12.75">
      <c r="A27" s="34" t="s">
        <v>24</v>
      </c>
      <c r="B27" s="93"/>
      <c r="C27" s="152">
        <v>19821</v>
      </c>
      <c r="D27" s="115"/>
      <c r="E27" s="115"/>
      <c r="F27" s="196">
        <f t="shared" si="3"/>
        <v>19821</v>
      </c>
      <c r="G27" s="88"/>
      <c r="H27" s="7"/>
      <c r="I27" s="74">
        <f t="shared" si="5"/>
        <v>19821</v>
      </c>
      <c r="J27" s="28"/>
      <c r="K27" s="7"/>
      <c r="L27" s="74">
        <f t="shared" si="6"/>
        <v>19821</v>
      </c>
      <c r="M27" s="22"/>
      <c r="N27" s="7"/>
      <c r="O27" s="23">
        <f t="shared" si="7"/>
        <v>19821</v>
      </c>
      <c r="P27" s="82"/>
      <c r="Q27" s="80">
        <f t="shared" si="1"/>
        <v>19821</v>
      </c>
    </row>
    <row r="28" spans="1:17" ht="12.75">
      <c r="A28" s="35" t="s">
        <v>161</v>
      </c>
      <c r="B28" s="94"/>
      <c r="C28" s="152">
        <v>9794.5</v>
      </c>
      <c r="D28" s="115"/>
      <c r="E28" s="115"/>
      <c r="F28" s="196">
        <f t="shared" si="3"/>
        <v>9794.5</v>
      </c>
      <c r="G28" s="88"/>
      <c r="H28" s="7"/>
      <c r="I28" s="74">
        <f t="shared" si="5"/>
        <v>9794.5</v>
      </c>
      <c r="J28" s="28"/>
      <c r="K28" s="7"/>
      <c r="L28" s="74">
        <f t="shared" si="6"/>
        <v>9794.5</v>
      </c>
      <c r="M28" s="22"/>
      <c r="N28" s="7"/>
      <c r="O28" s="23">
        <f t="shared" si="7"/>
        <v>9794.5</v>
      </c>
      <c r="P28" s="82"/>
      <c r="Q28" s="80">
        <f t="shared" si="1"/>
        <v>9794.5</v>
      </c>
    </row>
    <row r="29" spans="1:17" ht="12.75">
      <c r="A29" s="35" t="s">
        <v>277</v>
      </c>
      <c r="B29" s="94"/>
      <c r="C29" s="152">
        <v>304.8</v>
      </c>
      <c r="D29" s="115">
        <f>52.8</f>
        <v>52.8</v>
      </c>
      <c r="E29" s="115"/>
      <c r="F29" s="196">
        <f t="shared" si="3"/>
        <v>357.6</v>
      </c>
      <c r="G29" s="88"/>
      <c r="H29" s="7"/>
      <c r="I29" s="74">
        <f t="shared" si="5"/>
        <v>357.6</v>
      </c>
      <c r="J29" s="28"/>
      <c r="K29" s="7"/>
      <c r="L29" s="74">
        <f t="shared" si="6"/>
        <v>357.6</v>
      </c>
      <c r="M29" s="22"/>
      <c r="N29" s="7"/>
      <c r="O29" s="23">
        <f t="shared" si="7"/>
        <v>357.6</v>
      </c>
      <c r="P29" s="82"/>
      <c r="Q29" s="80">
        <f t="shared" si="1"/>
        <v>357.6</v>
      </c>
    </row>
    <row r="30" spans="1:17" ht="12.75">
      <c r="A30" s="35" t="s">
        <v>162</v>
      </c>
      <c r="B30" s="94"/>
      <c r="C30" s="152">
        <v>29938.9</v>
      </c>
      <c r="D30" s="115"/>
      <c r="E30" s="115"/>
      <c r="F30" s="196">
        <f t="shared" si="3"/>
        <v>29938.9</v>
      </c>
      <c r="G30" s="88"/>
      <c r="H30" s="7"/>
      <c r="I30" s="74">
        <f t="shared" si="5"/>
        <v>29938.9</v>
      </c>
      <c r="J30" s="28"/>
      <c r="K30" s="7"/>
      <c r="L30" s="74">
        <f t="shared" si="6"/>
        <v>29938.9</v>
      </c>
      <c r="M30" s="22"/>
      <c r="N30" s="7"/>
      <c r="O30" s="23">
        <f t="shared" si="7"/>
        <v>29938.9</v>
      </c>
      <c r="P30" s="82"/>
      <c r="Q30" s="80">
        <f>O30+P30</f>
        <v>29938.9</v>
      </c>
    </row>
    <row r="31" spans="1:17" ht="12.75">
      <c r="A31" s="35" t="s">
        <v>212</v>
      </c>
      <c r="B31" s="94"/>
      <c r="C31" s="152"/>
      <c r="D31" s="149">
        <f>1148.09+407+967+2082.7+113.82+940.71</f>
        <v>5659.32</v>
      </c>
      <c r="E31" s="115"/>
      <c r="F31" s="196">
        <f t="shared" si="3"/>
        <v>5659.32</v>
      </c>
      <c r="G31" s="249"/>
      <c r="H31" s="230"/>
      <c r="I31" s="249"/>
      <c r="J31" s="249"/>
      <c r="K31" s="230"/>
      <c r="L31" s="249"/>
      <c r="M31" s="249"/>
      <c r="N31" s="249"/>
      <c r="O31" s="249"/>
      <c r="P31" s="249"/>
      <c r="Q31" s="79"/>
    </row>
    <row r="32" spans="1:17" ht="12.75">
      <c r="A32" s="36" t="s">
        <v>249</v>
      </c>
      <c r="B32" s="95"/>
      <c r="C32" s="145">
        <f>SUM(C34:C38)</f>
        <v>25000</v>
      </c>
      <c r="D32" s="118">
        <f aca="true" t="shared" si="8" ref="D32:Q32">SUM(D34:D38)</f>
        <v>0</v>
      </c>
      <c r="E32" s="118">
        <f t="shared" si="8"/>
        <v>0</v>
      </c>
      <c r="F32" s="197">
        <f t="shared" si="8"/>
        <v>25000</v>
      </c>
      <c r="G32" s="146">
        <f t="shared" si="8"/>
        <v>0</v>
      </c>
      <c r="H32" s="118">
        <f t="shared" si="8"/>
        <v>0</v>
      </c>
      <c r="I32" s="168">
        <f t="shared" si="8"/>
        <v>25000</v>
      </c>
      <c r="J32" s="145">
        <f t="shared" si="8"/>
        <v>0</v>
      </c>
      <c r="K32" s="118">
        <f t="shared" si="8"/>
        <v>0</v>
      </c>
      <c r="L32" s="168">
        <f t="shared" si="8"/>
        <v>25000</v>
      </c>
      <c r="M32" s="117">
        <f t="shared" si="8"/>
        <v>0</v>
      </c>
      <c r="N32" s="117">
        <f t="shared" si="8"/>
        <v>0</v>
      </c>
      <c r="O32" s="117">
        <f t="shared" si="8"/>
        <v>25000</v>
      </c>
      <c r="P32" s="117">
        <f t="shared" si="8"/>
        <v>0</v>
      </c>
      <c r="Q32" s="250">
        <f t="shared" si="8"/>
        <v>25000</v>
      </c>
    </row>
    <row r="33" spans="1:17" ht="11.25" customHeight="1">
      <c r="A33" s="33" t="s">
        <v>20</v>
      </c>
      <c r="B33" s="92"/>
      <c r="C33" s="152"/>
      <c r="D33" s="115"/>
      <c r="E33" s="115"/>
      <c r="F33" s="196"/>
      <c r="G33" s="88"/>
      <c r="H33" s="7"/>
      <c r="I33" s="74"/>
      <c r="J33" s="28"/>
      <c r="K33" s="7"/>
      <c r="L33" s="74"/>
      <c r="M33" s="22"/>
      <c r="N33" s="7"/>
      <c r="O33" s="23"/>
      <c r="P33" s="82"/>
      <c r="Q33" s="80"/>
    </row>
    <row r="34" spans="1:17" ht="12.75" hidden="1">
      <c r="A34" s="100" t="s">
        <v>123</v>
      </c>
      <c r="B34" s="93"/>
      <c r="C34" s="152"/>
      <c r="D34" s="115"/>
      <c r="E34" s="115"/>
      <c r="F34" s="196">
        <f>C34+D34+E34</f>
        <v>0</v>
      </c>
      <c r="G34" s="88"/>
      <c r="H34" s="7"/>
      <c r="I34" s="74">
        <f>F34+G34+H34</f>
        <v>0</v>
      </c>
      <c r="J34" s="28"/>
      <c r="K34" s="7"/>
      <c r="L34" s="74">
        <f>I34+J34+K34</f>
        <v>0</v>
      </c>
      <c r="M34" s="22"/>
      <c r="N34" s="7"/>
      <c r="O34" s="23">
        <f>L34+M34+N34</f>
        <v>0</v>
      </c>
      <c r="P34" s="82"/>
      <c r="Q34" s="80">
        <f t="shared" si="1"/>
        <v>0</v>
      </c>
    </row>
    <row r="35" spans="1:17" ht="12.75" hidden="1">
      <c r="A35" s="35" t="s">
        <v>118</v>
      </c>
      <c r="B35" s="94"/>
      <c r="C35" s="152"/>
      <c r="D35" s="115"/>
      <c r="E35" s="115"/>
      <c r="F35" s="196">
        <f>C35+D35+E35</f>
        <v>0</v>
      </c>
      <c r="G35" s="88"/>
      <c r="H35" s="7"/>
      <c r="I35" s="74">
        <f>F35+G35+H35</f>
        <v>0</v>
      </c>
      <c r="J35" s="232"/>
      <c r="K35" s="7"/>
      <c r="L35" s="74">
        <f>I35+J35+K35</f>
        <v>0</v>
      </c>
      <c r="M35" s="31"/>
      <c r="N35" s="7"/>
      <c r="O35" s="23">
        <f>L35+M35+N35</f>
        <v>0</v>
      </c>
      <c r="P35" s="82"/>
      <c r="Q35" s="80">
        <f t="shared" si="1"/>
        <v>0</v>
      </c>
    </row>
    <row r="36" spans="1:17" ht="12.75" hidden="1">
      <c r="A36" s="35" t="s">
        <v>121</v>
      </c>
      <c r="B36" s="94"/>
      <c r="C36" s="152"/>
      <c r="D36" s="115"/>
      <c r="E36" s="115"/>
      <c r="F36" s="196">
        <f>C36+D36+E36</f>
        <v>0</v>
      </c>
      <c r="G36" s="88"/>
      <c r="H36" s="7"/>
      <c r="I36" s="74"/>
      <c r="J36" s="232"/>
      <c r="K36" s="7"/>
      <c r="L36" s="74"/>
      <c r="M36" s="31"/>
      <c r="N36" s="7"/>
      <c r="O36" s="23"/>
      <c r="P36" s="82"/>
      <c r="Q36" s="80"/>
    </row>
    <row r="37" spans="1:17" ht="12.75" hidden="1">
      <c r="A37" s="35" t="s">
        <v>128</v>
      </c>
      <c r="B37" s="94"/>
      <c r="C37" s="152"/>
      <c r="D37" s="115"/>
      <c r="E37" s="115"/>
      <c r="F37" s="196">
        <f>C37+D37+E37</f>
        <v>0</v>
      </c>
      <c r="G37" s="88"/>
      <c r="H37" s="7"/>
      <c r="I37" s="74">
        <f>F37+G37+H37</f>
        <v>0</v>
      </c>
      <c r="J37" s="232"/>
      <c r="K37" s="7"/>
      <c r="L37" s="74">
        <f>I37+J37+K37</f>
        <v>0</v>
      </c>
      <c r="M37" s="31"/>
      <c r="N37" s="7"/>
      <c r="O37" s="23">
        <f>L37+M37+N37</f>
        <v>0</v>
      </c>
      <c r="P37" s="82"/>
      <c r="Q37" s="80">
        <f t="shared" si="1"/>
        <v>0</v>
      </c>
    </row>
    <row r="38" spans="1:17" ht="12.75">
      <c r="A38" s="100" t="s">
        <v>278</v>
      </c>
      <c r="B38" s="93"/>
      <c r="C38" s="152">
        <v>25000</v>
      </c>
      <c r="D38" s="115"/>
      <c r="E38" s="115"/>
      <c r="F38" s="196">
        <f>C38+D38+E38</f>
        <v>25000</v>
      </c>
      <c r="G38" s="88"/>
      <c r="H38" s="7"/>
      <c r="I38" s="74">
        <f>F38+G38+H38</f>
        <v>25000</v>
      </c>
      <c r="J38" s="28"/>
      <c r="K38" s="7"/>
      <c r="L38" s="74">
        <f>I38+J38+K38</f>
        <v>25000</v>
      </c>
      <c r="M38" s="22"/>
      <c r="N38" s="7"/>
      <c r="O38" s="23">
        <f>L38+M38+N38</f>
        <v>25000</v>
      </c>
      <c r="P38" s="82"/>
      <c r="Q38" s="80">
        <f t="shared" si="1"/>
        <v>25000</v>
      </c>
    </row>
    <row r="39" spans="1:17" ht="12.75">
      <c r="A39" s="36" t="s">
        <v>250</v>
      </c>
      <c r="B39" s="93"/>
      <c r="C39" s="152"/>
      <c r="D39" s="115"/>
      <c r="E39" s="115"/>
      <c r="F39" s="196"/>
      <c r="G39" s="88"/>
      <c r="H39" s="7"/>
      <c r="I39" s="74"/>
      <c r="J39" s="28"/>
      <c r="K39" s="7"/>
      <c r="L39" s="74"/>
      <c r="M39" s="22"/>
      <c r="N39" s="7"/>
      <c r="O39" s="23"/>
      <c r="P39" s="82"/>
      <c r="Q39" s="80"/>
    </row>
    <row r="40" spans="1:17" ht="12.75">
      <c r="A40" s="32" t="s">
        <v>26</v>
      </c>
      <c r="B40" s="91"/>
      <c r="C40" s="159">
        <f>SUM(C42:C61)</f>
        <v>92300.5</v>
      </c>
      <c r="D40" s="114">
        <f aca="true" t="shared" si="9" ref="D40:Q40">SUM(D42:D61)</f>
        <v>8153461.38</v>
      </c>
      <c r="E40" s="114">
        <f t="shared" si="9"/>
        <v>0</v>
      </c>
      <c r="F40" s="174">
        <f t="shared" si="9"/>
        <v>8245761.88</v>
      </c>
      <c r="G40" s="160">
        <f t="shared" si="9"/>
        <v>0</v>
      </c>
      <c r="H40" s="114">
        <f t="shared" si="9"/>
        <v>0</v>
      </c>
      <c r="I40" s="142">
        <f t="shared" si="9"/>
        <v>8244744.07</v>
      </c>
      <c r="J40" s="159">
        <f t="shared" si="9"/>
        <v>0</v>
      </c>
      <c r="K40" s="114">
        <f t="shared" si="9"/>
        <v>0</v>
      </c>
      <c r="L40" s="142">
        <f t="shared" si="9"/>
        <v>8244744.07</v>
      </c>
      <c r="M40" s="113">
        <f t="shared" si="9"/>
        <v>0</v>
      </c>
      <c r="N40" s="113">
        <f t="shared" si="9"/>
        <v>0</v>
      </c>
      <c r="O40" s="113">
        <f t="shared" si="9"/>
        <v>8244744.07</v>
      </c>
      <c r="P40" s="113">
        <f t="shared" si="9"/>
        <v>0</v>
      </c>
      <c r="Q40" s="247">
        <f t="shared" si="9"/>
        <v>8244744.07</v>
      </c>
    </row>
    <row r="41" spans="1:17" ht="10.5" customHeight="1">
      <c r="A41" s="37" t="s">
        <v>27</v>
      </c>
      <c r="B41" s="96"/>
      <c r="C41" s="152"/>
      <c r="D41" s="115"/>
      <c r="E41" s="115"/>
      <c r="F41" s="196"/>
      <c r="G41" s="88"/>
      <c r="H41" s="7"/>
      <c r="I41" s="74"/>
      <c r="J41" s="28"/>
      <c r="K41" s="7"/>
      <c r="L41" s="74"/>
      <c r="M41" s="22"/>
      <c r="N41" s="7"/>
      <c r="O41" s="23"/>
      <c r="P41" s="82"/>
      <c r="Q41" s="80"/>
    </row>
    <row r="42" spans="1:17" ht="12.75">
      <c r="A42" s="35" t="s">
        <v>28</v>
      </c>
      <c r="B42" s="94"/>
      <c r="C42" s="152">
        <v>92050.5</v>
      </c>
      <c r="D42" s="115"/>
      <c r="E42" s="115"/>
      <c r="F42" s="196">
        <f aca="true" t="shared" si="10" ref="F42:F61">C42+D42+E42</f>
        <v>92050.5</v>
      </c>
      <c r="G42" s="88"/>
      <c r="H42" s="7"/>
      <c r="I42" s="74">
        <f>F42+G42+H42</f>
        <v>92050.5</v>
      </c>
      <c r="J42" s="28"/>
      <c r="K42" s="7"/>
      <c r="L42" s="74">
        <f>I42+J42+K42</f>
        <v>92050.5</v>
      </c>
      <c r="M42" s="22"/>
      <c r="N42" s="7"/>
      <c r="O42" s="23">
        <f>L42+M42+N42</f>
        <v>92050.5</v>
      </c>
      <c r="P42" s="82"/>
      <c r="Q42" s="80">
        <f t="shared" si="1"/>
        <v>92050.5</v>
      </c>
    </row>
    <row r="43" spans="1:17" ht="12.75">
      <c r="A43" s="35" t="s">
        <v>29</v>
      </c>
      <c r="B43" s="94"/>
      <c r="C43" s="152"/>
      <c r="D43" s="115">
        <f>42+15+8.7+57.92+10.67+35.64</f>
        <v>169.93</v>
      </c>
      <c r="E43" s="115"/>
      <c r="F43" s="196">
        <f t="shared" si="10"/>
        <v>169.93</v>
      </c>
      <c r="G43" s="88"/>
      <c r="H43" s="7"/>
      <c r="I43" s="74">
        <f aca="true" t="shared" si="11" ref="I43:I60">F43+G43+H43</f>
        <v>169.93</v>
      </c>
      <c r="J43" s="28"/>
      <c r="K43" s="7"/>
      <c r="L43" s="74">
        <f aca="true" t="shared" si="12" ref="L43:L61">I43+J43+K43</f>
        <v>169.93</v>
      </c>
      <c r="M43" s="22"/>
      <c r="N43" s="7"/>
      <c r="O43" s="23">
        <f aca="true" t="shared" si="13" ref="O43:O61">L43+M43+N43</f>
        <v>169.93</v>
      </c>
      <c r="P43" s="82"/>
      <c r="Q43" s="80">
        <f t="shared" si="1"/>
        <v>169.93</v>
      </c>
    </row>
    <row r="44" spans="1:17" ht="12.75">
      <c r="A44" s="35" t="s">
        <v>30</v>
      </c>
      <c r="B44" s="94"/>
      <c r="C44" s="152"/>
      <c r="D44" s="115">
        <f>6796592.4+82582.99+445.26+612.5+114637.51+2843+568.9+11285.15+104.38+2348.06+1251.56+1500+17100</f>
        <v>7031871.71</v>
      </c>
      <c r="E44" s="115"/>
      <c r="F44" s="196">
        <f t="shared" si="10"/>
        <v>7031871.71</v>
      </c>
      <c r="G44" s="88"/>
      <c r="H44" s="7"/>
      <c r="I44" s="74">
        <f t="shared" si="11"/>
        <v>7031871.71</v>
      </c>
      <c r="J44" s="28"/>
      <c r="K44" s="7"/>
      <c r="L44" s="74">
        <f t="shared" si="12"/>
        <v>7031871.71</v>
      </c>
      <c r="M44" s="22"/>
      <c r="N44" s="7"/>
      <c r="O44" s="23">
        <f t="shared" si="13"/>
        <v>7031871.71</v>
      </c>
      <c r="P44" s="82"/>
      <c r="Q44" s="80">
        <f t="shared" si="1"/>
        <v>7031871.71</v>
      </c>
    </row>
    <row r="45" spans="1:17" ht="12.75">
      <c r="A45" s="35" t="s">
        <v>31</v>
      </c>
      <c r="B45" s="94"/>
      <c r="C45" s="152"/>
      <c r="D45" s="115">
        <f>825803.8+7000+5874.31</f>
        <v>838678.1100000001</v>
      </c>
      <c r="E45" s="115"/>
      <c r="F45" s="196">
        <f t="shared" si="10"/>
        <v>838678.1100000001</v>
      </c>
      <c r="G45" s="88"/>
      <c r="H45" s="7"/>
      <c r="I45" s="74">
        <f t="shared" si="11"/>
        <v>838678.1100000001</v>
      </c>
      <c r="J45" s="28"/>
      <c r="K45" s="7"/>
      <c r="L45" s="74">
        <f t="shared" si="12"/>
        <v>838678.1100000001</v>
      </c>
      <c r="M45" s="22"/>
      <c r="N45" s="7"/>
      <c r="O45" s="23">
        <f t="shared" si="13"/>
        <v>838678.1100000001</v>
      </c>
      <c r="P45" s="82"/>
      <c r="Q45" s="80">
        <f t="shared" si="1"/>
        <v>838678.1100000001</v>
      </c>
    </row>
    <row r="46" spans="1:17" ht="12.75">
      <c r="A46" s="35" t="s">
        <v>32</v>
      </c>
      <c r="B46" s="94"/>
      <c r="C46" s="152"/>
      <c r="D46" s="115">
        <f>19.89+999.1+36.95+1030.93</f>
        <v>2086.87</v>
      </c>
      <c r="E46" s="115"/>
      <c r="F46" s="196">
        <f t="shared" si="10"/>
        <v>2086.87</v>
      </c>
      <c r="G46" s="88"/>
      <c r="H46" s="7"/>
      <c r="I46" s="74">
        <f t="shared" si="11"/>
        <v>2086.87</v>
      </c>
      <c r="J46" s="28"/>
      <c r="K46" s="7"/>
      <c r="L46" s="74">
        <f t="shared" si="12"/>
        <v>2086.87</v>
      </c>
      <c r="M46" s="22"/>
      <c r="N46" s="7"/>
      <c r="O46" s="23">
        <f t="shared" si="13"/>
        <v>2086.87</v>
      </c>
      <c r="P46" s="82"/>
      <c r="Q46" s="80">
        <f t="shared" si="1"/>
        <v>2086.87</v>
      </c>
    </row>
    <row r="47" spans="1:17" ht="12.75" hidden="1">
      <c r="A47" s="35" t="s">
        <v>33</v>
      </c>
      <c r="B47" s="94"/>
      <c r="C47" s="152"/>
      <c r="D47" s="115"/>
      <c r="E47" s="115"/>
      <c r="F47" s="196">
        <f t="shared" si="10"/>
        <v>0</v>
      </c>
      <c r="G47" s="88"/>
      <c r="H47" s="7"/>
      <c r="I47" s="74">
        <f t="shared" si="11"/>
        <v>0</v>
      </c>
      <c r="J47" s="28"/>
      <c r="K47" s="7"/>
      <c r="L47" s="74">
        <f t="shared" si="12"/>
        <v>0</v>
      </c>
      <c r="M47" s="22"/>
      <c r="N47" s="7"/>
      <c r="O47" s="23">
        <f t="shared" si="13"/>
        <v>0</v>
      </c>
      <c r="P47" s="82"/>
      <c r="Q47" s="80">
        <f t="shared" si="1"/>
        <v>0</v>
      </c>
    </row>
    <row r="48" spans="1:17" ht="12.75">
      <c r="A48" s="35" t="s">
        <v>34</v>
      </c>
      <c r="B48" s="94"/>
      <c r="C48" s="152"/>
      <c r="D48" s="115">
        <f>2000</f>
        <v>2000</v>
      </c>
      <c r="E48" s="115"/>
      <c r="F48" s="196">
        <f t="shared" si="10"/>
        <v>2000</v>
      </c>
      <c r="G48" s="88"/>
      <c r="H48" s="7"/>
      <c r="I48" s="74">
        <f t="shared" si="11"/>
        <v>2000</v>
      </c>
      <c r="J48" s="28"/>
      <c r="K48" s="7"/>
      <c r="L48" s="74">
        <f t="shared" si="12"/>
        <v>2000</v>
      </c>
      <c r="M48" s="22"/>
      <c r="N48" s="7"/>
      <c r="O48" s="23">
        <f t="shared" si="13"/>
        <v>2000</v>
      </c>
      <c r="P48" s="82"/>
      <c r="Q48" s="80">
        <f t="shared" si="1"/>
        <v>2000</v>
      </c>
    </row>
    <row r="49" spans="1:17" ht="12.75" hidden="1">
      <c r="A49" s="35" t="s">
        <v>35</v>
      </c>
      <c r="B49" s="94"/>
      <c r="C49" s="152"/>
      <c r="D49" s="115"/>
      <c r="E49" s="115"/>
      <c r="F49" s="196">
        <f t="shared" si="10"/>
        <v>0</v>
      </c>
      <c r="G49" s="88"/>
      <c r="H49" s="7"/>
      <c r="I49" s="74">
        <f t="shared" si="11"/>
        <v>0</v>
      </c>
      <c r="J49" s="28"/>
      <c r="K49" s="7"/>
      <c r="L49" s="74">
        <f t="shared" si="12"/>
        <v>0</v>
      </c>
      <c r="M49" s="22"/>
      <c r="N49" s="7"/>
      <c r="O49" s="23">
        <f t="shared" si="13"/>
        <v>0</v>
      </c>
      <c r="P49" s="82"/>
      <c r="Q49" s="80">
        <f t="shared" si="1"/>
        <v>0</v>
      </c>
    </row>
    <row r="50" spans="1:17" ht="12.75">
      <c r="A50" s="35" t="s">
        <v>153</v>
      </c>
      <c r="B50" s="94"/>
      <c r="C50" s="152"/>
      <c r="D50" s="115">
        <f>277153.29</f>
        <v>277153.29</v>
      </c>
      <c r="E50" s="115"/>
      <c r="F50" s="196">
        <f t="shared" si="10"/>
        <v>277153.29</v>
      </c>
      <c r="G50" s="88"/>
      <c r="H50" s="7"/>
      <c r="I50" s="74">
        <f t="shared" si="11"/>
        <v>277153.29</v>
      </c>
      <c r="J50" s="28"/>
      <c r="K50" s="7"/>
      <c r="L50" s="74">
        <f t="shared" si="12"/>
        <v>277153.29</v>
      </c>
      <c r="M50" s="22"/>
      <c r="N50" s="7"/>
      <c r="O50" s="23">
        <f t="shared" si="13"/>
        <v>277153.29</v>
      </c>
      <c r="P50" s="82"/>
      <c r="Q50" s="80">
        <f t="shared" si="1"/>
        <v>277153.29</v>
      </c>
    </row>
    <row r="51" spans="1:17" ht="12.75">
      <c r="A51" s="35" t="s">
        <v>166</v>
      </c>
      <c r="B51" s="94"/>
      <c r="C51" s="152"/>
      <c r="D51" s="115">
        <f>1017.81</f>
        <v>1017.81</v>
      </c>
      <c r="E51" s="115"/>
      <c r="F51" s="196">
        <f t="shared" si="10"/>
        <v>1017.81</v>
      </c>
      <c r="G51" s="88"/>
      <c r="H51" s="7"/>
      <c r="I51" s="74"/>
      <c r="J51" s="28"/>
      <c r="K51" s="7"/>
      <c r="L51" s="74"/>
      <c r="M51" s="22"/>
      <c r="N51" s="7"/>
      <c r="O51" s="23">
        <f t="shared" si="13"/>
        <v>0</v>
      </c>
      <c r="P51" s="82"/>
      <c r="Q51" s="80">
        <f t="shared" si="1"/>
        <v>0</v>
      </c>
    </row>
    <row r="52" spans="1:17" ht="12.75" hidden="1">
      <c r="A52" s="35" t="s">
        <v>36</v>
      </c>
      <c r="B52" s="94"/>
      <c r="C52" s="152"/>
      <c r="D52" s="115"/>
      <c r="E52" s="115"/>
      <c r="F52" s="196">
        <f t="shared" si="10"/>
        <v>0</v>
      </c>
      <c r="G52" s="88"/>
      <c r="H52" s="7"/>
      <c r="I52" s="74">
        <f t="shared" si="11"/>
        <v>0</v>
      </c>
      <c r="J52" s="28"/>
      <c r="K52" s="7"/>
      <c r="L52" s="74">
        <f t="shared" si="12"/>
        <v>0</v>
      </c>
      <c r="M52" s="22"/>
      <c r="N52" s="7"/>
      <c r="O52" s="23">
        <f t="shared" si="13"/>
        <v>0</v>
      </c>
      <c r="P52" s="87"/>
      <c r="Q52" s="80">
        <f t="shared" si="1"/>
        <v>0</v>
      </c>
    </row>
    <row r="53" spans="1:17" ht="12.75" hidden="1">
      <c r="A53" s="35" t="s">
        <v>37</v>
      </c>
      <c r="B53" s="94"/>
      <c r="C53" s="152"/>
      <c r="D53" s="115"/>
      <c r="E53" s="115"/>
      <c r="F53" s="196">
        <f t="shared" si="10"/>
        <v>0</v>
      </c>
      <c r="G53" s="88"/>
      <c r="H53" s="7"/>
      <c r="I53" s="74">
        <f t="shared" si="11"/>
        <v>0</v>
      </c>
      <c r="J53" s="232"/>
      <c r="K53" s="7"/>
      <c r="L53" s="74">
        <f t="shared" si="12"/>
        <v>0</v>
      </c>
      <c r="M53" s="22"/>
      <c r="N53" s="7"/>
      <c r="O53" s="23">
        <f t="shared" si="13"/>
        <v>0</v>
      </c>
      <c r="P53" s="82"/>
      <c r="Q53" s="80">
        <f t="shared" si="1"/>
        <v>0</v>
      </c>
    </row>
    <row r="54" spans="1:17" ht="12.75" hidden="1">
      <c r="A54" s="35" t="s">
        <v>222</v>
      </c>
      <c r="B54" s="94"/>
      <c r="C54" s="152"/>
      <c r="D54" s="115"/>
      <c r="E54" s="115"/>
      <c r="F54" s="196">
        <f t="shared" si="10"/>
        <v>0</v>
      </c>
      <c r="G54" s="88"/>
      <c r="H54" s="7"/>
      <c r="I54" s="74"/>
      <c r="J54" s="232"/>
      <c r="K54" s="7"/>
      <c r="L54" s="74"/>
      <c r="M54" s="22"/>
      <c r="N54" s="7"/>
      <c r="O54" s="23"/>
      <c r="P54" s="82"/>
      <c r="Q54" s="80"/>
    </row>
    <row r="55" spans="1:17" ht="12.75" hidden="1">
      <c r="A55" s="35" t="s">
        <v>167</v>
      </c>
      <c r="B55" s="94"/>
      <c r="C55" s="152"/>
      <c r="D55" s="115"/>
      <c r="E55" s="115"/>
      <c r="F55" s="196">
        <f t="shared" si="10"/>
        <v>0</v>
      </c>
      <c r="G55" s="88"/>
      <c r="H55" s="7"/>
      <c r="I55" s="74"/>
      <c r="J55" s="232"/>
      <c r="K55" s="7"/>
      <c r="L55" s="74"/>
      <c r="M55" s="22"/>
      <c r="N55" s="7"/>
      <c r="O55" s="23">
        <f t="shared" si="13"/>
        <v>0</v>
      </c>
      <c r="P55" s="82"/>
      <c r="Q55" s="80">
        <f t="shared" si="1"/>
        <v>0</v>
      </c>
    </row>
    <row r="56" spans="1:17" ht="12.75" hidden="1">
      <c r="A56" s="35" t="s">
        <v>38</v>
      </c>
      <c r="B56" s="94"/>
      <c r="C56" s="152"/>
      <c r="D56" s="115"/>
      <c r="E56" s="115"/>
      <c r="F56" s="196">
        <f t="shared" si="10"/>
        <v>0</v>
      </c>
      <c r="G56" s="88"/>
      <c r="H56" s="7"/>
      <c r="I56" s="74">
        <f t="shared" si="11"/>
        <v>0</v>
      </c>
      <c r="J56" s="28"/>
      <c r="K56" s="7"/>
      <c r="L56" s="74">
        <f t="shared" si="12"/>
        <v>0</v>
      </c>
      <c r="M56" s="22"/>
      <c r="N56" s="7"/>
      <c r="O56" s="23">
        <f t="shared" si="13"/>
        <v>0</v>
      </c>
      <c r="P56" s="82"/>
      <c r="Q56" s="80">
        <f t="shared" si="1"/>
        <v>0</v>
      </c>
    </row>
    <row r="57" spans="1:17" ht="12.75" hidden="1">
      <c r="A57" s="35" t="s">
        <v>49</v>
      </c>
      <c r="B57" s="94"/>
      <c r="C57" s="152"/>
      <c r="D57" s="115"/>
      <c r="E57" s="115"/>
      <c r="F57" s="196">
        <f t="shared" si="10"/>
        <v>0</v>
      </c>
      <c r="G57" s="88"/>
      <c r="H57" s="7"/>
      <c r="I57" s="74">
        <f t="shared" si="11"/>
        <v>0</v>
      </c>
      <c r="J57" s="28"/>
      <c r="K57" s="7"/>
      <c r="L57" s="74">
        <f t="shared" si="12"/>
        <v>0</v>
      </c>
      <c r="M57" s="22"/>
      <c r="N57" s="7"/>
      <c r="O57" s="23">
        <f t="shared" si="13"/>
        <v>0</v>
      </c>
      <c r="P57" s="82"/>
      <c r="Q57" s="80">
        <f t="shared" si="1"/>
        <v>0</v>
      </c>
    </row>
    <row r="58" spans="1:17" ht="12.75" hidden="1">
      <c r="A58" s="35" t="s">
        <v>39</v>
      </c>
      <c r="B58" s="94"/>
      <c r="C58" s="152"/>
      <c r="D58" s="115"/>
      <c r="E58" s="115"/>
      <c r="F58" s="196">
        <f t="shared" si="10"/>
        <v>0</v>
      </c>
      <c r="G58" s="88"/>
      <c r="H58" s="7"/>
      <c r="I58" s="74">
        <f t="shared" si="11"/>
        <v>0</v>
      </c>
      <c r="J58" s="28"/>
      <c r="K58" s="7"/>
      <c r="L58" s="74">
        <f t="shared" si="12"/>
        <v>0</v>
      </c>
      <c r="M58" s="22"/>
      <c r="N58" s="7"/>
      <c r="O58" s="23">
        <f t="shared" si="13"/>
        <v>0</v>
      </c>
      <c r="P58" s="82"/>
      <c r="Q58" s="80">
        <f t="shared" si="1"/>
        <v>0</v>
      </c>
    </row>
    <row r="59" spans="1:17" ht="12.75">
      <c r="A59" s="35" t="s">
        <v>40</v>
      </c>
      <c r="B59" s="94"/>
      <c r="C59" s="152"/>
      <c r="D59" s="115">
        <f>146.37+337.29</f>
        <v>483.66</v>
      </c>
      <c r="E59" s="115"/>
      <c r="F59" s="196">
        <f t="shared" si="10"/>
        <v>483.66</v>
      </c>
      <c r="G59" s="88"/>
      <c r="H59" s="7"/>
      <c r="I59" s="74">
        <f t="shared" si="11"/>
        <v>483.66</v>
      </c>
      <c r="J59" s="28"/>
      <c r="K59" s="7"/>
      <c r="L59" s="74">
        <f t="shared" si="12"/>
        <v>483.66</v>
      </c>
      <c r="M59" s="22"/>
      <c r="N59" s="7"/>
      <c r="O59" s="23">
        <f t="shared" si="13"/>
        <v>483.66</v>
      </c>
      <c r="P59" s="82"/>
      <c r="Q59" s="80">
        <f t="shared" si="1"/>
        <v>483.66</v>
      </c>
    </row>
    <row r="60" spans="1:17" ht="12.75">
      <c r="A60" s="35" t="s">
        <v>41</v>
      </c>
      <c r="B60" s="94"/>
      <c r="C60" s="152">
        <v>250</v>
      </c>
      <c r="D60" s="115"/>
      <c r="E60" s="115"/>
      <c r="F60" s="196">
        <f t="shared" si="10"/>
        <v>250</v>
      </c>
      <c r="G60" s="88"/>
      <c r="H60" s="7"/>
      <c r="I60" s="74">
        <f t="shared" si="11"/>
        <v>250</v>
      </c>
      <c r="J60" s="28"/>
      <c r="K60" s="7"/>
      <c r="L60" s="74">
        <f t="shared" si="12"/>
        <v>250</v>
      </c>
      <c r="M60" s="22"/>
      <c r="N60" s="7"/>
      <c r="O60" s="23">
        <f t="shared" si="13"/>
        <v>250</v>
      </c>
      <c r="P60" s="82"/>
      <c r="Q60" s="80">
        <f t="shared" si="1"/>
        <v>250</v>
      </c>
    </row>
    <row r="61" spans="1:17" ht="12.75" hidden="1">
      <c r="A61" s="35" t="s">
        <v>171</v>
      </c>
      <c r="B61" s="94"/>
      <c r="C61" s="152"/>
      <c r="D61" s="115"/>
      <c r="E61" s="115"/>
      <c r="F61" s="196">
        <f t="shared" si="10"/>
        <v>0</v>
      </c>
      <c r="G61" s="88"/>
      <c r="H61" s="7"/>
      <c r="I61" s="74"/>
      <c r="J61" s="28"/>
      <c r="K61" s="7"/>
      <c r="L61" s="74">
        <f t="shared" si="12"/>
        <v>0</v>
      </c>
      <c r="M61" s="22"/>
      <c r="N61" s="7"/>
      <c r="O61" s="23">
        <f t="shared" si="13"/>
        <v>0</v>
      </c>
      <c r="P61" s="82"/>
      <c r="Q61" s="80">
        <f t="shared" si="1"/>
        <v>0</v>
      </c>
    </row>
    <row r="62" spans="1:17" ht="12.75" hidden="1">
      <c r="A62" s="36" t="s">
        <v>42</v>
      </c>
      <c r="B62" s="95"/>
      <c r="C62" s="145">
        <f>SUM(C64:C66)</f>
        <v>0</v>
      </c>
      <c r="D62" s="118">
        <f>SUM(D64:D66)</f>
        <v>0</v>
      </c>
      <c r="E62" s="118">
        <f>SUM(E64:E66)</f>
        <v>0</v>
      </c>
      <c r="F62" s="197">
        <f>SUM(F64:F66)</f>
        <v>0</v>
      </c>
      <c r="G62" s="215"/>
      <c r="H62" s="8"/>
      <c r="I62" s="29">
        <f>SUM(I64:I66)</f>
        <v>0</v>
      </c>
      <c r="J62" s="233"/>
      <c r="K62" s="8"/>
      <c r="L62" s="29">
        <f>SUM(L64:L66)</f>
        <v>0</v>
      </c>
      <c r="M62" s="24"/>
      <c r="N62" s="8"/>
      <c r="O62" s="25">
        <f>SUM(O64:O66)</f>
        <v>0</v>
      </c>
      <c r="P62" s="83"/>
      <c r="Q62" s="29">
        <f>SUM(Q64:Q66)</f>
        <v>0</v>
      </c>
    </row>
    <row r="63" spans="1:17" ht="12.75" hidden="1">
      <c r="A63" s="33" t="s">
        <v>27</v>
      </c>
      <c r="B63" s="92"/>
      <c r="C63" s="152"/>
      <c r="D63" s="115"/>
      <c r="E63" s="115"/>
      <c r="F63" s="196"/>
      <c r="G63" s="88"/>
      <c r="H63" s="7"/>
      <c r="I63" s="74"/>
      <c r="J63" s="28"/>
      <c r="K63" s="7"/>
      <c r="L63" s="74"/>
      <c r="M63" s="22"/>
      <c r="N63" s="7"/>
      <c r="O63" s="23">
        <f>L63+M63+N63</f>
        <v>0</v>
      </c>
      <c r="P63" s="82"/>
      <c r="Q63" s="80"/>
    </row>
    <row r="64" spans="1:17" ht="12.75" hidden="1">
      <c r="A64" s="35" t="s">
        <v>43</v>
      </c>
      <c r="B64" s="94"/>
      <c r="C64" s="152"/>
      <c r="D64" s="115"/>
      <c r="E64" s="115"/>
      <c r="F64" s="196">
        <f>C64+D64+E64</f>
        <v>0</v>
      </c>
      <c r="G64" s="88"/>
      <c r="H64" s="7"/>
      <c r="I64" s="74">
        <f>F64+G64+H64</f>
        <v>0</v>
      </c>
      <c r="J64" s="28"/>
      <c r="K64" s="7"/>
      <c r="L64" s="74">
        <f>I64+J64+K64</f>
        <v>0</v>
      </c>
      <c r="M64" s="22"/>
      <c r="N64" s="7"/>
      <c r="O64" s="23">
        <f>L64+M64+N64</f>
        <v>0</v>
      </c>
      <c r="P64" s="82"/>
      <c r="Q64" s="80">
        <f t="shared" si="1"/>
        <v>0</v>
      </c>
    </row>
    <row r="65" spans="1:17" ht="12.75" hidden="1">
      <c r="A65" s="35" t="s">
        <v>44</v>
      </c>
      <c r="B65" s="94"/>
      <c r="C65" s="152"/>
      <c r="D65" s="115"/>
      <c r="E65" s="115"/>
      <c r="F65" s="196">
        <f>C65+D65+E65</f>
        <v>0</v>
      </c>
      <c r="G65" s="88"/>
      <c r="H65" s="7"/>
      <c r="I65" s="74">
        <f>F65+G65+H65</f>
        <v>0</v>
      </c>
      <c r="J65" s="28"/>
      <c r="K65" s="7"/>
      <c r="L65" s="74">
        <f>I65+J65+K65</f>
        <v>0</v>
      </c>
      <c r="M65" s="22"/>
      <c r="N65" s="7"/>
      <c r="O65" s="23">
        <f>L65+M65+N65</f>
        <v>0</v>
      </c>
      <c r="P65" s="82"/>
      <c r="Q65" s="80">
        <f t="shared" si="1"/>
        <v>0</v>
      </c>
    </row>
    <row r="66" spans="1:17" ht="12.75" hidden="1">
      <c r="A66" s="35" t="s">
        <v>45</v>
      </c>
      <c r="B66" s="94"/>
      <c r="C66" s="152"/>
      <c r="D66" s="115"/>
      <c r="E66" s="115"/>
      <c r="F66" s="196">
        <f>C66+D66+E66</f>
        <v>0</v>
      </c>
      <c r="G66" s="88"/>
      <c r="H66" s="7"/>
      <c r="I66" s="74">
        <f>F66+G66+H66</f>
        <v>0</v>
      </c>
      <c r="J66" s="28"/>
      <c r="K66" s="7"/>
      <c r="L66" s="74">
        <f>I66+J66+K66</f>
        <v>0</v>
      </c>
      <c r="M66" s="22"/>
      <c r="N66" s="7"/>
      <c r="O66" s="23">
        <f>L66+M66+N66</f>
        <v>0</v>
      </c>
      <c r="P66" s="82"/>
      <c r="Q66" s="80">
        <f t="shared" si="1"/>
        <v>0</v>
      </c>
    </row>
    <row r="67" spans="1:17" ht="12.75">
      <c r="A67" s="32" t="s">
        <v>46</v>
      </c>
      <c r="B67" s="91"/>
      <c r="C67" s="159">
        <f>SUM(C69:C82)</f>
        <v>0</v>
      </c>
      <c r="D67" s="114">
        <f aca="true" t="shared" si="14" ref="D67:Q67">SUM(D69:D82)</f>
        <v>258319.56</v>
      </c>
      <c r="E67" s="114">
        <f t="shared" si="14"/>
        <v>0</v>
      </c>
      <c r="F67" s="174">
        <f t="shared" si="14"/>
        <v>258319.56</v>
      </c>
      <c r="G67" s="160">
        <f t="shared" si="14"/>
        <v>0</v>
      </c>
      <c r="H67" s="114">
        <f t="shared" si="14"/>
        <v>0</v>
      </c>
      <c r="I67" s="142">
        <f t="shared" si="14"/>
        <v>237695.35</v>
      </c>
      <c r="J67" s="159">
        <f t="shared" si="14"/>
        <v>0</v>
      </c>
      <c r="K67" s="114">
        <f t="shared" si="14"/>
        <v>0</v>
      </c>
      <c r="L67" s="142">
        <f t="shared" si="14"/>
        <v>237695.35</v>
      </c>
      <c r="M67" s="113">
        <f t="shared" si="14"/>
        <v>0</v>
      </c>
      <c r="N67" s="113">
        <f t="shared" si="14"/>
        <v>0</v>
      </c>
      <c r="O67" s="113">
        <f t="shared" si="14"/>
        <v>237695.35</v>
      </c>
      <c r="P67" s="113">
        <f t="shared" si="14"/>
        <v>0</v>
      </c>
      <c r="Q67" s="247">
        <f t="shared" si="14"/>
        <v>237695.35</v>
      </c>
    </row>
    <row r="68" spans="1:17" ht="12.75">
      <c r="A68" s="37" t="s">
        <v>27</v>
      </c>
      <c r="B68" s="96"/>
      <c r="C68" s="152"/>
      <c r="D68" s="115"/>
      <c r="E68" s="115"/>
      <c r="F68" s="196"/>
      <c r="G68" s="88"/>
      <c r="H68" s="7"/>
      <c r="I68" s="74"/>
      <c r="J68" s="28"/>
      <c r="K68" s="7"/>
      <c r="L68" s="74"/>
      <c r="M68" s="22"/>
      <c r="N68" s="7"/>
      <c r="O68" s="23"/>
      <c r="P68" s="82"/>
      <c r="Q68" s="80"/>
    </row>
    <row r="69" spans="1:17" ht="12.75">
      <c r="A69" s="35" t="s">
        <v>30</v>
      </c>
      <c r="B69" s="94"/>
      <c r="C69" s="152"/>
      <c r="D69" s="115">
        <f>3015.83</f>
        <v>3015.83</v>
      </c>
      <c r="E69" s="115"/>
      <c r="F69" s="196">
        <f aca="true" t="shared" si="15" ref="F69:F82">C69+D69+E69</f>
        <v>3015.83</v>
      </c>
      <c r="G69" s="88"/>
      <c r="H69" s="7"/>
      <c r="I69" s="74">
        <f>F69+G69+H69</f>
        <v>3015.83</v>
      </c>
      <c r="J69" s="28"/>
      <c r="K69" s="7"/>
      <c r="L69" s="74">
        <f>I69+J69+K69</f>
        <v>3015.83</v>
      </c>
      <c r="M69" s="22"/>
      <c r="N69" s="7"/>
      <c r="O69" s="23">
        <f>L69+M69+N69</f>
        <v>3015.83</v>
      </c>
      <c r="P69" s="82"/>
      <c r="Q69" s="80">
        <f t="shared" si="1"/>
        <v>3015.83</v>
      </c>
    </row>
    <row r="70" spans="1:17" ht="12.75" hidden="1">
      <c r="A70" s="39" t="s">
        <v>31</v>
      </c>
      <c r="B70" s="97"/>
      <c r="C70" s="152"/>
      <c r="D70" s="115"/>
      <c r="E70" s="115"/>
      <c r="F70" s="196">
        <f t="shared" si="15"/>
        <v>0</v>
      </c>
      <c r="G70" s="88"/>
      <c r="H70" s="7"/>
      <c r="I70" s="74">
        <f aca="true" t="shared" si="16" ref="I70:I82">F70+G70+H70</f>
        <v>0</v>
      </c>
      <c r="J70" s="28"/>
      <c r="K70" s="7"/>
      <c r="L70" s="74">
        <f aca="true" t="shared" si="17" ref="L70:L82">I70+J70+K70</f>
        <v>0</v>
      </c>
      <c r="M70" s="22"/>
      <c r="N70" s="7"/>
      <c r="O70" s="23">
        <f aca="true" t="shared" si="18" ref="O70:O82">L70+M70+N70</f>
        <v>0</v>
      </c>
      <c r="P70" s="82"/>
      <c r="Q70" s="80">
        <f t="shared" si="1"/>
        <v>0</v>
      </c>
    </row>
    <row r="71" spans="1:17" ht="12.75">
      <c r="A71" s="39" t="s">
        <v>29</v>
      </c>
      <c r="B71" s="97"/>
      <c r="C71" s="152"/>
      <c r="D71" s="115">
        <f>33000</f>
        <v>33000</v>
      </c>
      <c r="E71" s="115"/>
      <c r="F71" s="196">
        <f t="shared" si="15"/>
        <v>33000</v>
      </c>
      <c r="G71" s="88"/>
      <c r="H71" s="7"/>
      <c r="I71" s="74">
        <f t="shared" si="16"/>
        <v>33000</v>
      </c>
      <c r="J71" s="28"/>
      <c r="K71" s="7"/>
      <c r="L71" s="74">
        <f t="shared" si="17"/>
        <v>33000</v>
      </c>
      <c r="M71" s="22"/>
      <c r="N71" s="7"/>
      <c r="O71" s="23">
        <f t="shared" si="18"/>
        <v>33000</v>
      </c>
      <c r="P71" s="82"/>
      <c r="Q71" s="80">
        <f t="shared" si="1"/>
        <v>33000</v>
      </c>
    </row>
    <row r="72" spans="1:17" ht="12.75" hidden="1">
      <c r="A72" s="39" t="s">
        <v>47</v>
      </c>
      <c r="B72" s="97"/>
      <c r="C72" s="152"/>
      <c r="D72" s="115"/>
      <c r="E72" s="115"/>
      <c r="F72" s="196">
        <f t="shared" si="15"/>
        <v>0</v>
      </c>
      <c r="G72" s="88"/>
      <c r="H72" s="7"/>
      <c r="I72" s="74">
        <f t="shared" si="16"/>
        <v>0</v>
      </c>
      <c r="J72" s="28"/>
      <c r="K72" s="7"/>
      <c r="L72" s="74">
        <f t="shared" si="17"/>
        <v>0</v>
      </c>
      <c r="M72" s="22"/>
      <c r="N72" s="7"/>
      <c r="O72" s="23">
        <f t="shared" si="18"/>
        <v>0</v>
      </c>
      <c r="P72" s="82"/>
      <c r="Q72" s="80">
        <f t="shared" si="1"/>
        <v>0</v>
      </c>
    </row>
    <row r="73" spans="1:17" ht="12.75">
      <c r="A73" s="35" t="s">
        <v>32</v>
      </c>
      <c r="B73" s="94"/>
      <c r="C73" s="152"/>
      <c r="D73" s="115">
        <f>8669.63+4191.02+4793.63</f>
        <v>17654.28</v>
      </c>
      <c r="E73" s="115"/>
      <c r="F73" s="196">
        <f t="shared" si="15"/>
        <v>17654.28</v>
      </c>
      <c r="G73" s="88"/>
      <c r="H73" s="7"/>
      <c r="I73" s="74">
        <f t="shared" si="16"/>
        <v>17654.28</v>
      </c>
      <c r="J73" s="28"/>
      <c r="K73" s="7"/>
      <c r="L73" s="74">
        <f t="shared" si="17"/>
        <v>17654.28</v>
      </c>
      <c r="M73" s="22"/>
      <c r="N73" s="7"/>
      <c r="O73" s="23">
        <f t="shared" si="18"/>
        <v>17654.28</v>
      </c>
      <c r="P73" s="82"/>
      <c r="Q73" s="80">
        <f aca="true" t="shared" si="19" ref="Q73:Q96">O73+P73</f>
        <v>17654.28</v>
      </c>
    </row>
    <row r="74" spans="1:17" ht="12.75" hidden="1">
      <c r="A74" s="35" t="s">
        <v>241</v>
      </c>
      <c r="B74" s="94"/>
      <c r="C74" s="152"/>
      <c r="D74" s="115"/>
      <c r="E74" s="115"/>
      <c r="F74" s="196">
        <f t="shared" si="15"/>
        <v>0</v>
      </c>
      <c r="G74" s="88"/>
      <c r="H74" s="7"/>
      <c r="I74" s="74"/>
      <c r="J74" s="28"/>
      <c r="K74" s="7"/>
      <c r="L74" s="74"/>
      <c r="M74" s="22"/>
      <c r="N74" s="7"/>
      <c r="O74" s="23"/>
      <c r="P74" s="82"/>
      <c r="Q74" s="80"/>
    </row>
    <row r="75" spans="1:17" ht="12.75">
      <c r="A75" s="35" t="s">
        <v>166</v>
      </c>
      <c r="B75" s="94"/>
      <c r="C75" s="152"/>
      <c r="D75" s="115">
        <f>30038.24</f>
        <v>30038.24</v>
      </c>
      <c r="E75" s="115"/>
      <c r="F75" s="196">
        <f t="shared" si="15"/>
        <v>30038.24</v>
      </c>
      <c r="G75" s="88"/>
      <c r="H75" s="7"/>
      <c r="I75" s="74">
        <f t="shared" si="16"/>
        <v>30038.24</v>
      </c>
      <c r="J75" s="28"/>
      <c r="K75" s="7"/>
      <c r="L75" s="74">
        <f t="shared" si="17"/>
        <v>30038.24</v>
      </c>
      <c r="M75" s="22"/>
      <c r="N75" s="7"/>
      <c r="O75" s="23">
        <f t="shared" si="18"/>
        <v>30038.24</v>
      </c>
      <c r="P75" s="82"/>
      <c r="Q75" s="80">
        <f t="shared" si="19"/>
        <v>30038.24</v>
      </c>
    </row>
    <row r="76" spans="1:17" ht="12.75" hidden="1">
      <c r="A76" s="35" t="s">
        <v>167</v>
      </c>
      <c r="B76" s="94"/>
      <c r="C76" s="152"/>
      <c r="D76" s="115"/>
      <c r="E76" s="115"/>
      <c r="F76" s="196">
        <f t="shared" si="15"/>
        <v>0</v>
      </c>
      <c r="G76" s="88"/>
      <c r="H76" s="7"/>
      <c r="I76" s="74">
        <f t="shared" si="16"/>
        <v>0</v>
      </c>
      <c r="J76" s="28"/>
      <c r="K76" s="7"/>
      <c r="L76" s="74">
        <f t="shared" si="17"/>
        <v>0</v>
      </c>
      <c r="M76" s="22"/>
      <c r="N76" s="7"/>
      <c r="O76" s="23">
        <f t="shared" si="18"/>
        <v>0</v>
      </c>
      <c r="P76" s="82"/>
      <c r="Q76" s="80">
        <f t="shared" si="19"/>
        <v>0</v>
      </c>
    </row>
    <row r="77" spans="1:17" ht="12.75">
      <c r="A77" s="35" t="s">
        <v>48</v>
      </c>
      <c r="B77" s="94"/>
      <c r="C77" s="152"/>
      <c r="D77" s="115">
        <f>153987</f>
        <v>153987</v>
      </c>
      <c r="E77" s="115"/>
      <c r="F77" s="196">
        <f t="shared" si="15"/>
        <v>153987</v>
      </c>
      <c r="G77" s="88"/>
      <c r="H77" s="7"/>
      <c r="I77" s="74">
        <f t="shared" si="16"/>
        <v>153987</v>
      </c>
      <c r="J77" s="28"/>
      <c r="K77" s="7"/>
      <c r="L77" s="74">
        <f t="shared" si="17"/>
        <v>153987</v>
      </c>
      <c r="M77" s="22"/>
      <c r="N77" s="7"/>
      <c r="O77" s="23">
        <f t="shared" si="18"/>
        <v>153987</v>
      </c>
      <c r="P77" s="82"/>
      <c r="Q77" s="80">
        <f t="shared" si="19"/>
        <v>153987</v>
      </c>
    </row>
    <row r="78" spans="1:17" ht="12.75" hidden="1">
      <c r="A78" s="35" t="s">
        <v>49</v>
      </c>
      <c r="B78" s="94"/>
      <c r="C78" s="152"/>
      <c r="D78" s="115"/>
      <c r="E78" s="115"/>
      <c r="F78" s="196">
        <f t="shared" si="15"/>
        <v>0</v>
      </c>
      <c r="G78" s="88"/>
      <c r="H78" s="7"/>
      <c r="I78" s="74">
        <f t="shared" si="16"/>
        <v>0</v>
      </c>
      <c r="J78" s="28"/>
      <c r="K78" s="7"/>
      <c r="L78" s="74">
        <f t="shared" si="17"/>
        <v>0</v>
      </c>
      <c r="M78" s="22"/>
      <c r="N78" s="7"/>
      <c r="O78" s="23">
        <f t="shared" si="18"/>
        <v>0</v>
      </c>
      <c r="P78" s="82"/>
      <c r="Q78" s="80">
        <f t="shared" si="19"/>
        <v>0</v>
      </c>
    </row>
    <row r="79" spans="1:17" ht="12.75" hidden="1">
      <c r="A79" s="35" t="s">
        <v>50</v>
      </c>
      <c r="B79" s="94"/>
      <c r="C79" s="152"/>
      <c r="D79" s="115"/>
      <c r="E79" s="115"/>
      <c r="F79" s="196">
        <f t="shared" si="15"/>
        <v>0</v>
      </c>
      <c r="G79" s="88"/>
      <c r="H79" s="7"/>
      <c r="I79" s="74">
        <f t="shared" si="16"/>
        <v>0</v>
      </c>
      <c r="J79" s="28"/>
      <c r="K79" s="7"/>
      <c r="L79" s="74">
        <f t="shared" si="17"/>
        <v>0</v>
      </c>
      <c r="M79" s="22"/>
      <c r="N79" s="7"/>
      <c r="O79" s="23">
        <f t="shared" si="18"/>
        <v>0</v>
      </c>
      <c r="P79" s="82"/>
      <c r="Q79" s="80">
        <f t="shared" si="19"/>
        <v>0</v>
      </c>
    </row>
    <row r="80" spans="1:17" ht="12.75" hidden="1">
      <c r="A80" s="35" t="s">
        <v>36</v>
      </c>
      <c r="B80" s="94"/>
      <c r="C80" s="152"/>
      <c r="D80" s="115"/>
      <c r="E80" s="115"/>
      <c r="F80" s="196">
        <f t="shared" si="15"/>
        <v>0</v>
      </c>
      <c r="G80" s="88"/>
      <c r="H80" s="7"/>
      <c r="I80" s="74">
        <f t="shared" si="16"/>
        <v>0</v>
      </c>
      <c r="J80" s="28"/>
      <c r="K80" s="7"/>
      <c r="L80" s="74">
        <f t="shared" si="17"/>
        <v>0</v>
      </c>
      <c r="M80" s="22"/>
      <c r="N80" s="7"/>
      <c r="O80" s="23">
        <f t="shared" si="18"/>
        <v>0</v>
      </c>
      <c r="P80" s="87"/>
      <c r="Q80" s="80">
        <f t="shared" si="19"/>
        <v>0</v>
      </c>
    </row>
    <row r="81" spans="1:17" ht="12.75">
      <c r="A81" s="35" t="s">
        <v>40</v>
      </c>
      <c r="B81" s="94"/>
      <c r="C81" s="152"/>
      <c r="D81" s="115">
        <f>20624.21</f>
        <v>20624.21</v>
      </c>
      <c r="E81" s="115"/>
      <c r="F81" s="196">
        <f t="shared" si="15"/>
        <v>20624.21</v>
      </c>
      <c r="G81" s="88"/>
      <c r="H81" s="7"/>
      <c r="I81" s="74"/>
      <c r="J81" s="28"/>
      <c r="K81" s="7"/>
      <c r="L81" s="74"/>
      <c r="M81" s="22"/>
      <c r="N81" s="7"/>
      <c r="O81" s="23"/>
      <c r="P81" s="87"/>
      <c r="Q81" s="80"/>
    </row>
    <row r="82" spans="1:17" ht="12.75" hidden="1">
      <c r="A82" s="35" t="s">
        <v>171</v>
      </c>
      <c r="B82" s="94"/>
      <c r="C82" s="152"/>
      <c r="D82" s="115"/>
      <c r="E82" s="115"/>
      <c r="F82" s="196">
        <f t="shared" si="15"/>
        <v>0</v>
      </c>
      <c r="G82" s="88"/>
      <c r="H82" s="7"/>
      <c r="I82" s="74">
        <f t="shared" si="16"/>
        <v>0</v>
      </c>
      <c r="J82" s="28"/>
      <c r="K82" s="7"/>
      <c r="L82" s="74">
        <f t="shared" si="17"/>
        <v>0</v>
      </c>
      <c r="M82" s="22"/>
      <c r="N82" s="7"/>
      <c r="O82" s="23">
        <f t="shared" si="18"/>
        <v>0</v>
      </c>
      <c r="P82" s="82"/>
      <c r="Q82" s="80">
        <f t="shared" si="19"/>
        <v>0</v>
      </c>
    </row>
    <row r="83" spans="1:17" ht="15" customHeight="1" hidden="1">
      <c r="A83" s="36" t="s">
        <v>51</v>
      </c>
      <c r="B83" s="95"/>
      <c r="C83" s="145">
        <f>SUM(C85:C87)</f>
        <v>0</v>
      </c>
      <c r="D83" s="118">
        <f>SUM(D85:D87)</f>
        <v>0</v>
      </c>
      <c r="E83" s="118">
        <f>SUM(E85:E87)</f>
        <v>0</v>
      </c>
      <c r="F83" s="197">
        <f>SUM(F85:F87)</f>
        <v>0</v>
      </c>
      <c r="G83" s="215"/>
      <c r="H83" s="8"/>
      <c r="I83" s="29">
        <f>SUM(I85:I87)</f>
        <v>0</v>
      </c>
      <c r="J83" s="233"/>
      <c r="K83" s="8"/>
      <c r="L83" s="29">
        <f>SUM(L85:L87)</f>
        <v>0</v>
      </c>
      <c r="M83" s="24"/>
      <c r="N83" s="8"/>
      <c r="O83" s="25">
        <f>SUM(O85:O87)</f>
        <v>0</v>
      </c>
      <c r="P83" s="83"/>
      <c r="Q83" s="29">
        <f>SUM(Q85:Q87)</f>
        <v>0</v>
      </c>
    </row>
    <row r="84" spans="1:17" ht="12.75" hidden="1">
      <c r="A84" s="33" t="s">
        <v>27</v>
      </c>
      <c r="B84" s="92"/>
      <c r="C84" s="152"/>
      <c r="D84" s="115"/>
      <c r="E84" s="115"/>
      <c r="F84" s="196"/>
      <c r="G84" s="88"/>
      <c r="H84" s="7"/>
      <c r="I84" s="74"/>
      <c r="J84" s="28"/>
      <c r="K84" s="7"/>
      <c r="L84" s="74"/>
      <c r="M84" s="22"/>
      <c r="N84" s="7"/>
      <c r="O84" s="23"/>
      <c r="P84" s="82"/>
      <c r="Q84" s="80"/>
    </row>
    <row r="85" spans="1:17" ht="12.75" hidden="1">
      <c r="A85" s="35" t="s">
        <v>52</v>
      </c>
      <c r="B85" s="94"/>
      <c r="C85" s="152"/>
      <c r="D85" s="115"/>
      <c r="E85" s="115"/>
      <c r="F85" s="196">
        <f>C85+D85+E85</f>
        <v>0</v>
      </c>
      <c r="G85" s="88"/>
      <c r="H85" s="7"/>
      <c r="I85" s="74">
        <f>F85+G85+H85</f>
        <v>0</v>
      </c>
      <c r="J85" s="28"/>
      <c r="K85" s="7"/>
      <c r="L85" s="74">
        <f>I85+J85+K85</f>
        <v>0</v>
      </c>
      <c r="M85" s="22"/>
      <c r="N85" s="7"/>
      <c r="O85" s="23">
        <f>L85+M85+N85</f>
        <v>0</v>
      </c>
      <c r="P85" s="82"/>
      <c r="Q85" s="80">
        <f t="shared" si="19"/>
        <v>0</v>
      </c>
    </row>
    <row r="86" spans="1:17" ht="12.75" hidden="1">
      <c r="A86" s="35" t="s">
        <v>25</v>
      </c>
      <c r="B86" s="94"/>
      <c r="C86" s="152"/>
      <c r="D86" s="115"/>
      <c r="E86" s="115"/>
      <c r="F86" s="196">
        <f>C86+D86+E86</f>
        <v>0</v>
      </c>
      <c r="G86" s="88"/>
      <c r="H86" s="7"/>
      <c r="I86" s="74">
        <f>F86+G86+H86</f>
        <v>0</v>
      </c>
      <c r="J86" s="28"/>
      <c r="K86" s="7"/>
      <c r="L86" s="74">
        <f>I86+J86+K86</f>
        <v>0</v>
      </c>
      <c r="M86" s="22"/>
      <c r="N86" s="7"/>
      <c r="O86" s="23">
        <f>L86+M86+N86</f>
        <v>0</v>
      </c>
      <c r="P86" s="82"/>
      <c r="Q86" s="80">
        <f t="shared" si="19"/>
        <v>0</v>
      </c>
    </row>
    <row r="87" spans="1:17" ht="12.75" hidden="1">
      <c r="A87" s="35" t="s">
        <v>44</v>
      </c>
      <c r="B87" s="94"/>
      <c r="C87" s="152"/>
      <c r="D87" s="115"/>
      <c r="E87" s="115"/>
      <c r="F87" s="196">
        <f>C87+D87+E87</f>
        <v>0</v>
      </c>
      <c r="G87" s="88"/>
      <c r="H87" s="7"/>
      <c r="I87" s="74">
        <f>F87+G87+H87</f>
        <v>0</v>
      </c>
      <c r="J87" s="28"/>
      <c r="K87" s="7"/>
      <c r="L87" s="74">
        <f>I87+J87+K87</f>
        <v>0</v>
      </c>
      <c r="M87" s="22"/>
      <c r="N87" s="7"/>
      <c r="O87" s="23">
        <f>L87+M87+N87</f>
        <v>0</v>
      </c>
      <c r="P87" s="82"/>
      <c r="Q87" s="80">
        <f t="shared" si="19"/>
        <v>0</v>
      </c>
    </row>
    <row r="88" spans="1:17" ht="15.75" thickBot="1">
      <c r="A88" s="40" t="s">
        <v>53</v>
      </c>
      <c r="B88" s="98"/>
      <c r="C88" s="178">
        <f aca="true" t="shared" si="20" ref="C88:Q88">C11+C16+C40+C67+C32+C83</f>
        <v>4503004.28</v>
      </c>
      <c r="D88" s="120">
        <f t="shared" si="20"/>
        <v>8506125.73</v>
      </c>
      <c r="E88" s="120">
        <f t="shared" si="20"/>
        <v>0</v>
      </c>
      <c r="F88" s="198">
        <f t="shared" si="20"/>
        <v>13009130.01</v>
      </c>
      <c r="G88" s="216">
        <f t="shared" si="20"/>
        <v>0</v>
      </c>
      <c r="H88" s="120">
        <f t="shared" si="20"/>
        <v>0</v>
      </c>
      <c r="I88" s="169">
        <f t="shared" si="20"/>
        <v>8837088.67</v>
      </c>
      <c r="J88" s="178">
        <f t="shared" si="20"/>
        <v>0</v>
      </c>
      <c r="K88" s="120">
        <f t="shared" si="20"/>
        <v>0</v>
      </c>
      <c r="L88" s="169">
        <f t="shared" si="20"/>
        <v>8837088.67</v>
      </c>
      <c r="M88" s="119">
        <f t="shared" si="20"/>
        <v>0</v>
      </c>
      <c r="N88" s="119">
        <f t="shared" si="20"/>
        <v>0</v>
      </c>
      <c r="O88" s="119">
        <f t="shared" si="20"/>
        <v>8837088.67</v>
      </c>
      <c r="P88" s="119">
        <f t="shared" si="20"/>
        <v>0</v>
      </c>
      <c r="Q88" s="251">
        <f t="shared" si="20"/>
        <v>8837088.67</v>
      </c>
    </row>
    <row r="89" spans="1:17" ht="12.75">
      <c r="A89" s="32" t="s">
        <v>54</v>
      </c>
      <c r="B89" s="91"/>
      <c r="C89" s="159"/>
      <c r="D89" s="115"/>
      <c r="E89" s="115"/>
      <c r="F89" s="196"/>
      <c r="G89" s="88"/>
      <c r="H89" s="7"/>
      <c r="I89" s="74"/>
      <c r="J89" s="28"/>
      <c r="K89" s="7"/>
      <c r="L89" s="74"/>
      <c r="M89" s="22"/>
      <c r="N89" s="7"/>
      <c r="O89" s="23"/>
      <c r="P89" s="82"/>
      <c r="Q89" s="80"/>
    </row>
    <row r="90" spans="1:17" ht="12.75">
      <c r="A90" s="32" t="s">
        <v>70</v>
      </c>
      <c r="B90" s="103"/>
      <c r="C90" s="159">
        <f>C91+C100</f>
        <v>101345</v>
      </c>
      <c r="D90" s="114">
        <f aca="true" t="shared" si="21" ref="D90:Q90">D91+D100</f>
        <v>98378.36</v>
      </c>
      <c r="E90" s="114">
        <f t="shared" si="21"/>
        <v>0</v>
      </c>
      <c r="F90" s="174">
        <f t="shared" si="21"/>
        <v>199723.36</v>
      </c>
      <c r="G90" s="160">
        <f t="shared" si="21"/>
        <v>0</v>
      </c>
      <c r="H90" s="114">
        <f t="shared" si="21"/>
        <v>0</v>
      </c>
      <c r="I90" s="142">
        <f t="shared" si="21"/>
        <v>119343.35999999999</v>
      </c>
      <c r="J90" s="159">
        <f t="shared" si="21"/>
        <v>0</v>
      </c>
      <c r="K90" s="114">
        <f t="shared" si="21"/>
        <v>0</v>
      </c>
      <c r="L90" s="142">
        <f t="shared" si="21"/>
        <v>119343.35999999999</v>
      </c>
      <c r="M90" s="113">
        <f t="shared" si="21"/>
        <v>0</v>
      </c>
      <c r="N90" s="113">
        <f t="shared" si="21"/>
        <v>0</v>
      </c>
      <c r="O90" s="113">
        <f t="shared" si="21"/>
        <v>119343.35999999999</v>
      </c>
      <c r="P90" s="113">
        <f t="shared" si="21"/>
        <v>0</v>
      </c>
      <c r="Q90" s="247">
        <f t="shared" si="21"/>
        <v>119343.35999999999</v>
      </c>
    </row>
    <row r="91" spans="1:17" ht="12.75">
      <c r="A91" s="41" t="s">
        <v>56</v>
      </c>
      <c r="B91" s="103"/>
      <c r="C91" s="179">
        <f>SUM(C93:C98)</f>
        <v>69345</v>
      </c>
      <c r="D91" s="122">
        <f aca="true" t="shared" si="22" ref="D91:Q91">SUM(D93:D98)</f>
        <v>2061.56</v>
      </c>
      <c r="E91" s="122">
        <f t="shared" si="22"/>
        <v>0</v>
      </c>
      <c r="F91" s="199">
        <f t="shared" si="22"/>
        <v>71406.56</v>
      </c>
      <c r="G91" s="217">
        <f t="shared" si="22"/>
        <v>0</v>
      </c>
      <c r="H91" s="122">
        <f t="shared" si="22"/>
        <v>0</v>
      </c>
      <c r="I91" s="170">
        <f t="shared" si="22"/>
        <v>11806.560000000001</v>
      </c>
      <c r="J91" s="179">
        <f t="shared" si="22"/>
        <v>0</v>
      </c>
      <c r="K91" s="122">
        <f t="shared" si="22"/>
        <v>0</v>
      </c>
      <c r="L91" s="170">
        <f t="shared" si="22"/>
        <v>11806.560000000001</v>
      </c>
      <c r="M91" s="121">
        <f t="shared" si="22"/>
        <v>0</v>
      </c>
      <c r="N91" s="121">
        <f t="shared" si="22"/>
        <v>0</v>
      </c>
      <c r="O91" s="121">
        <f t="shared" si="22"/>
        <v>11806.560000000001</v>
      </c>
      <c r="P91" s="121">
        <f t="shared" si="22"/>
        <v>0</v>
      </c>
      <c r="Q91" s="252">
        <f t="shared" si="22"/>
        <v>11806.560000000001</v>
      </c>
    </row>
    <row r="92" spans="1:17" ht="12.75">
      <c r="A92" s="37" t="s">
        <v>27</v>
      </c>
      <c r="B92" s="99"/>
      <c r="C92" s="152"/>
      <c r="D92" s="115"/>
      <c r="E92" s="115"/>
      <c r="F92" s="174"/>
      <c r="G92" s="88"/>
      <c r="H92" s="7"/>
      <c r="I92" s="70"/>
      <c r="J92" s="28"/>
      <c r="K92" s="7"/>
      <c r="L92" s="70"/>
      <c r="M92" s="22"/>
      <c r="N92" s="7"/>
      <c r="O92" s="21"/>
      <c r="P92" s="82"/>
      <c r="Q92" s="80"/>
    </row>
    <row r="93" spans="1:17" ht="12.75">
      <c r="A93" s="35" t="s">
        <v>58</v>
      </c>
      <c r="B93" s="99"/>
      <c r="C93" s="152">
        <v>9745</v>
      </c>
      <c r="D93" s="115"/>
      <c r="E93" s="115"/>
      <c r="F93" s="196">
        <f aca="true" t="shared" si="23" ref="F93:F99">C93+D93+E93</f>
        <v>9745</v>
      </c>
      <c r="G93" s="88"/>
      <c r="H93" s="7"/>
      <c r="I93" s="74">
        <f aca="true" t="shared" si="24" ref="I93:I99">F93+G93+H93</f>
        <v>9745</v>
      </c>
      <c r="J93" s="28"/>
      <c r="K93" s="7"/>
      <c r="L93" s="74">
        <f aca="true" t="shared" si="25" ref="L93:L99">I93+J93+K93</f>
        <v>9745</v>
      </c>
      <c r="M93" s="22"/>
      <c r="N93" s="7"/>
      <c r="O93" s="23">
        <f aca="true" t="shared" si="26" ref="O93:O99">L93+M93+N93</f>
        <v>9745</v>
      </c>
      <c r="P93" s="82"/>
      <c r="Q93" s="80">
        <f t="shared" si="19"/>
        <v>9745</v>
      </c>
    </row>
    <row r="94" spans="1:17" ht="12.75" hidden="1">
      <c r="A94" s="35" t="s">
        <v>72</v>
      </c>
      <c r="B94" s="99"/>
      <c r="C94" s="152"/>
      <c r="D94" s="115"/>
      <c r="E94" s="115"/>
      <c r="F94" s="196">
        <f t="shared" si="23"/>
        <v>0</v>
      </c>
      <c r="G94" s="88"/>
      <c r="H94" s="7"/>
      <c r="I94" s="74">
        <f t="shared" si="24"/>
        <v>0</v>
      </c>
      <c r="J94" s="28"/>
      <c r="K94" s="7"/>
      <c r="L94" s="74">
        <f t="shared" si="25"/>
        <v>0</v>
      </c>
      <c r="M94" s="22"/>
      <c r="N94" s="7"/>
      <c r="O94" s="23">
        <f t="shared" si="26"/>
        <v>0</v>
      </c>
      <c r="P94" s="82"/>
      <c r="Q94" s="80">
        <f t="shared" si="19"/>
        <v>0</v>
      </c>
    </row>
    <row r="95" spans="1:17" ht="12.75">
      <c r="A95" s="39" t="s">
        <v>230</v>
      </c>
      <c r="B95" s="99"/>
      <c r="C95" s="152">
        <v>59600</v>
      </c>
      <c r="D95" s="115"/>
      <c r="E95" s="115"/>
      <c r="F95" s="196">
        <f t="shared" si="23"/>
        <v>59600</v>
      </c>
      <c r="G95" s="88"/>
      <c r="H95" s="7"/>
      <c r="I95" s="74"/>
      <c r="J95" s="28"/>
      <c r="K95" s="7"/>
      <c r="L95" s="74"/>
      <c r="M95" s="22"/>
      <c r="N95" s="7"/>
      <c r="O95" s="23"/>
      <c r="P95" s="82"/>
      <c r="Q95" s="80"/>
    </row>
    <row r="96" spans="1:17" ht="13.5" thickBot="1">
      <c r="A96" s="241" t="s">
        <v>73</v>
      </c>
      <c r="B96" s="150">
        <v>98278</v>
      </c>
      <c r="C96" s="182"/>
      <c r="D96" s="151">
        <f>42+8.7+57.92+10.67+35.64</f>
        <v>154.93</v>
      </c>
      <c r="E96" s="151"/>
      <c r="F96" s="202">
        <f t="shared" si="23"/>
        <v>154.93</v>
      </c>
      <c r="G96" s="88"/>
      <c r="H96" s="7"/>
      <c r="I96" s="74">
        <f t="shared" si="24"/>
        <v>154.93</v>
      </c>
      <c r="J96" s="28"/>
      <c r="K96" s="7"/>
      <c r="L96" s="74">
        <f t="shared" si="25"/>
        <v>154.93</v>
      </c>
      <c r="M96" s="22"/>
      <c r="N96" s="7"/>
      <c r="O96" s="23">
        <f t="shared" si="26"/>
        <v>154.93</v>
      </c>
      <c r="P96" s="82"/>
      <c r="Q96" s="80">
        <f t="shared" si="19"/>
        <v>154.93</v>
      </c>
    </row>
    <row r="97" spans="1:17" ht="12.75" hidden="1">
      <c r="A97" s="35" t="s">
        <v>87</v>
      </c>
      <c r="B97" s="99"/>
      <c r="C97" s="152"/>
      <c r="D97" s="115"/>
      <c r="E97" s="115"/>
      <c r="F97" s="196">
        <f t="shared" si="23"/>
        <v>0</v>
      </c>
      <c r="G97" s="88"/>
      <c r="H97" s="7"/>
      <c r="I97" s="74">
        <f t="shared" si="24"/>
        <v>0</v>
      </c>
      <c r="J97" s="28"/>
      <c r="K97" s="7"/>
      <c r="L97" s="74">
        <f t="shared" si="25"/>
        <v>0</v>
      </c>
      <c r="M97" s="22"/>
      <c r="N97" s="7"/>
      <c r="O97" s="23">
        <f t="shared" si="26"/>
        <v>0</v>
      </c>
      <c r="P97" s="82"/>
      <c r="Q97" s="80">
        <f aca="true" t="shared" si="27" ref="Q97:Q143">O97+P97</f>
        <v>0</v>
      </c>
    </row>
    <row r="98" spans="1:17" ht="12.75">
      <c r="A98" s="34" t="s">
        <v>74</v>
      </c>
      <c r="B98" s="99"/>
      <c r="C98" s="152"/>
      <c r="D98" s="115">
        <f>1906.63</f>
        <v>1906.63</v>
      </c>
      <c r="E98" s="115"/>
      <c r="F98" s="196">
        <f t="shared" si="23"/>
        <v>1906.63</v>
      </c>
      <c r="G98" s="88"/>
      <c r="H98" s="7"/>
      <c r="I98" s="74">
        <f t="shared" si="24"/>
        <v>1906.63</v>
      </c>
      <c r="J98" s="28"/>
      <c r="K98" s="7"/>
      <c r="L98" s="74">
        <f t="shared" si="25"/>
        <v>1906.63</v>
      </c>
      <c r="M98" s="22"/>
      <c r="N98" s="7"/>
      <c r="O98" s="23">
        <f t="shared" si="26"/>
        <v>1906.63</v>
      </c>
      <c r="P98" s="82"/>
      <c r="Q98" s="80">
        <f t="shared" si="27"/>
        <v>1906.63</v>
      </c>
    </row>
    <row r="99" spans="1:17" ht="12.75" hidden="1">
      <c r="A99" s="34" t="s">
        <v>75</v>
      </c>
      <c r="B99" s="99"/>
      <c r="C99" s="152"/>
      <c r="D99" s="115"/>
      <c r="E99" s="115"/>
      <c r="F99" s="196">
        <f t="shared" si="23"/>
        <v>0</v>
      </c>
      <c r="G99" s="88"/>
      <c r="H99" s="7"/>
      <c r="I99" s="74">
        <f t="shared" si="24"/>
        <v>0</v>
      </c>
      <c r="J99" s="28"/>
      <c r="K99" s="7"/>
      <c r="L99" s="74">
        <f t="shared" si="25"/>
        <v>0</v>
      </c>
      <c r="M99" s="22"/>
      <c r="N99" s="7"/>
      <c r="O99" s="23">
        <f t="shared" si="26"/>
        <v>0</v>
      </c>
      <c r="P99" s="82"/>
      <c r="Q99" s="80">
        <f t="shared" si="27"/>
        <v>0</v>
      </c>
    </row>
    <row r="100" spans="1:17" ht="12.75">
      <c r="A100" s="42" t="s">
        <v>61</v>
      </c>
      <c r="B100" s="103"/>
      <c r="C100" s="181">
        <f>SUM(C102:C108)</f>
        <v>32000</v>
      </c>
      <c r="D100" s="125">
        <f aca="true" t="shared" si="28" ref="D100:Q100">SUM(D102:D108)</f>
        <v>96316.8</v>
      </c>
      <c r="E100" s="125">
        <f t="shared" si="28"/>
        <v>0</v>
      </c>
      <c r="F100" s="201">
        <f t="shared" si="28"/>
        <v>128316.79999999999</v>
      </c>
      <c r="G100" s="218">
        <f t="shared" si="28"/>
        <v>0</v>
      </c>
      <c r="H100" s="125">
        <f t="shared" si="28"/>
        <v>0</v>
      </c>
      <c r="I100" s="171">
        <f t="shared" si="28"/>
        <v>107536.79999999999</v>
      </c>
      <c r="J100" s="181">
        <f t="shared" si="28"/>
        <v>0</v>
      </c>
      <c r="K100" s="125">
        <f t="shared" si="28"/>
        <v>0</v>
      </c>
      <c r="L100" s="171">
        <f t="shared" si="28"/>
        <v>107536.79999999999</v>
      </c>
      <c r="M100" s="124">
        <f t="shared" si="28"/>
        <v>0</v>
      </c>
      <c r="N100" s="124">
        <f t="shared" si="28"/>
        <v>0</v>
      </c>
      <c r="O100" s="124">
        <f t="shared" si="28"/>
        <v>107536.79999999999</v>
      </c>
      <c r="P100" s="124">
        <f t="shared" si="28"/>
        <v>0</v>
      </c>
      <c r="Q100" s="253">
        <f t="shared" si="28"/>
        <v>107536.79999999999</v>
      </c>
    </row>
    <row r="101" spans="1:17" ht="12.75">
      <c r="A101" s="33" t="s">
        <v>27</v>
      </c>
      <c r="B101" s="99"/>
      <c r="C101" s="145"/>
      <c r="D101" s="118"/>
      <c r="E101" s="118"/>
      <c r="F101" s="197"/>
      <c r="G101" s="215"/>
      <c r="H101" s="8"/>
      <c r="I101" s="29"/>
      <c r="J101" s="233"/>
      <c r="K101" s="8"/>
      <c r="L101" s="29"/>
      <c r="M101" s="24"/>
      <c r="N101" s="8"/>
      <c r="O101" s="25"/>
      <c r="P101" s="82"/>
      <c r="Q101" s="80"/>
    </row>
    <row r="102" spans="1:17" ht="12.75">
      <c r="A102" s="34" t="s">
        <v>76</v>
      </c>
      <c r="B102" s="99"/>
      <c r="C102" s="152"/>
      <c r="D102" s="115">
        <f>20331.46+15000</f>
        <v>35331.46</v>
      </c>
      <c r="E102" s="115"/>
      <c r="F102" s="196">
        <f aca="true" t="shared" si="29" ref="F102:F109">C102+D102+E102</f>
        <v>35331.46</v>
      </c>
      <c r="G102" s="88"/>
      <c r="H102" s="7"/>
      <c r="I102" s="74">
        <f>F102+G102+H102</f>
        <v>35331.46</v>
      </c>
      <c r="J102" s="28"/>
      <c r="K102" s="7"/>
      <c r="L102" s="74">
        <f>I102+J102+K102</f>
        <v>35331.46</v>
      </c>
      <c r="M102" s="22"/>
      <c r="N102" s="7"/>
      <c r="O102" s="23">
        <f>L102+M102+N102</f>
        <v>35331.46</v>
      </c>
      <c r="P102" s="82"/>
      <c r="Q102" s="80">
        <f t="shared" si="27"/>
        <v>35331.46</v>
      </c>
    </row>
    <row r="103" spans="1:17" ht="12.75">
      <c r="A103" s="39" t="s">
        <v>273</v>
      </c>
      <c r="B103" s="99"/>
      <c r="C103" s="152"/>
      <c r="D103" s="115">
        <f>18780</f>
        <v>18780</v>
      </c>
      <c r="E103" s="115"/>
      <c r="F103" s="196">
        <f t="shared" si="29"/>
        <v>18780</v>
      </c>
      <c r="G103" s="88"/>
      <c r="H103" s="7"/>
      <c r="I103" s="74"/>
      <c r="J103" s="28"/>
      <c r="K103" s="7"/>
      <c r="L103" s="74"/>
      <c r="M103" s="22"/>
      <c r="N103" s="7"/>
      <c r="O103" s="23"/>
      <c r="P103" s="82"/>
      <c r="Q103" s="80"/>
    </row>
    <row r="104" spans="1:17" ht="12.75" hidden="1">
      <c r="A104" s="34" t="s">
        <v>62</v>
      </c>
      <c r="B104" s="99"/>
      <c r="C104" s="152"/>
      <c r="D104" s="115"/>
      <c r="E104" s="115"/>
      <c r="F104" s="196">
        <f t="shared" si="29"/>
        <v>0</v>
      </c>
      <c r="G104" s="88"/>
      <c r="H104" s="7"/>
      <c r="I104" s="74"/>
      <c r="J104" s="28"/>
      <c r="K104" s="7"/>
      <c r="L104" s="74"/>
      <c r="M104" s="22"/>
      <c r="N104" s="7"/>
      <c r="O104" s="23"/>
      <c r="P104" s="82"/>
      <c r="Q104" s="80"/>
    </row>
    <row r="105" spans="1:17" ht="12.75" hidden="1">
      <c r="A105" s="35" t="s">
        <v>228</v>
      </c>
      <c r="B105" s="99"/>
      <c r="C105" s="152"/>
      <c r="D105" s="115"/>
      <c r="E105" s="115"/>
      <c r="F105" s="196">
        <f t="shared" si="29"/>
        <v>0</v>
      </c>
      <c r="G105" s="88"/>
      <c r="H105" s="7"/>
      <c r="I105" s="74"/>
      <c r="J105" s="28"/>
      <c r="K105" s="7"/>
      <c r="L105" s="74"/>
      <c r="M105" s="22"/>
      <c r="N105" s="7"/>
      <c r="O105" s="23"/>
      <c r="P105" s="82"/>
      <c r="Q105" s="80"/>
    </row>
    <row r="106" spans="1:17" ht="12.75">
      <c r="A106" s="35" t="s">
        <v>87</v>
      </c>
      <c r="B106" s="99"/>
      <c r="C106" s="152"/>
      <c r="D106" s="115">
        <f>11305</f>
        <v>11305</v>
      </c>
      <c r="E106" s="115"/>
      <c r="F106" s="196">
        <f t="shared" si="29"/>
        <v>11305</v>
      </c>
      <c r="G106" s="88"/>
      <c r="H106" s="7"/>
      <c r="I106" s="74">
        <f>F106+G106+H106</f>
        <v>11305</v>
      </c>
      <c r="J106" s="28"/>
      <c r="K106" s="7"/>
      <c r="L106" s="74">
        <f>I106+J106+K106</f>
        <v>11305</v>
      </c>
      <c r="M106" s="22"/>
      <c r="N106" s="7"/>
      <c r="O106" s="23">
        <f>L106+M106+N106</f>
        <v>11305</v>
      </c>
      <c r="P106" s="82"/>
      <c r="Q106" s="80">
        <f t="shared" si="27"/>
        <v>11305</v>
      </c>
    </row>
    <row r="107" spans="1:17" ht="12.75">
      <c r="A107" s="35" t="s">
        <v>279</v>
      </c>
      <c r="B107" s="99"/>
      <c r="C107" s="152">
        <v>2000</v>
      </c>
      <c r="D107" s="115"/>
      <c r="E107" s="115"/>
      <c r="F107" s="196">
        <f t="shared" si="29"/>
        <v>2000</v>
      </c>
      <c r="G107" s="88"/>
      <c r="H107" s="7"/>
      <c r="I107" s="74"/>
      <c r="J107" s="28"/>
      <c r="K107" s="7"/>
      <c r="L107" s="74"/>
      <c r="M107" s="22"/>
      <c r="N107" s="7"/>
      <c r="O107" s="23"/>
      <c r="P107" s="82"/>
      <c r="Q107" s="80"/>
    </row>
    <row r="108" spans="1:17" ht="12.75">
      <c r="A108" s="43" t="s">
        <v>74</v>
      </c>
      <c r="B108" s="102"/>
      <c r="C108" s="180">
        <v>30000</v>
      </c>
      <c r="D108" s="123">
        <f>30900.34</f>
        <v>30900.34</v>
      </c>
      <c r="E108" s="123"/>
      <c r="F108" s="200">
        <f t="shared" si="29"/>
        <v>60900.34</v>
      </c>
      <c r="G108" s="88"/>
      <c r="H108" s="7"/>
      <c r="I108" s="74">
        <f>F108+G108+H108</f>
        <v>60900.34</v>
      </c>
      <c r="J108" s="28"/>
      <c r="K108" s="7"/>
      <c r="L108" s="74">
        <f>I108+J108+K108</f>
        <v>60900.34</v>
      </c>
      <c r="M108" s="22"/>
      <c r="N108" s="7"/>
      <c r="O108" s="23">
        <f>L108+M108+N108</f>
        <v>60900.34</v>
      </c>
      <c r="P108" s="82"/>
      <c r="Q108" s="80">
        <f t="shared" si="27"/>
        <v>60900.34</v>
      </c>
    </row>
    <row r="109" spans="1:17" ht="12.75" hidden="1">
      <c r="A109" s="43" t="s">
        <v>77</v>
      </c>
      <c r="B109" s="102"/>
      <c r="C109" s="180"/>
      <c r="D109" s="123"/>
      <c r="E109" s="123"/>
      <c r="F109" s="200">
        <f t="shared" si="29"/>
        <v>0</v>
      </c>
      <c r="G109" s="219"/>
      <c r="H109" s="10"/>
      <c r="I109" s="73">
        <f>F109+G109+H109</f>
        <v>0</v>
      </c>
      <c r="J109" s="234"/>
      <c r="K109" s="10"/>
      <c r="L109" s="73">
        <f>I109+J109+K109</f>
        <v>0</v>
      </c>
      <c r="M109" s="26"/>
      <c r="N109" s="10"/>
      <c r="O109" s="27">
        <f>L109+M109+N109</f>
        <v>0</v>
      </c>
      <c r="P109" s="85"/>
      <c r="Q109" s="86">
        <f t="shared" si="27"/>
        <v>0</v>
      </c>
    </row>
    <row r="110" spans="1:17" ht="12.75">
      <c r="A110" s="36" t="s">
        <v>78</v>
      </c>
      <c r="B110" s="103"/>
      <c r="C110" s="145">
        <f>C111+C118</f>
        <v>11546.38</v>
      </c>
      <c r="D110" s="118">
        <f aca="true" t="shared" si="30" ref="D110:Q110">D111+D118</f>
        <v>7947</v>
      </c>
      <c r="E110" s="118">
        <f t="shared" si="30"/>
        <v>0</v>
      </c>
      <c r="F110" s="197">
        <f t="shared" si="30"/>
        <v>19493.38</v>
      </c>
      <c r="G110" s="146">
        <f t="shared" si="30"/>
        <v>0</v>
      </c>
      <c r="H110" s="118">
        <f t="shared" si="30"/>
        <v>0</v>
      </c>
      <c r="I110" s="168">
        <f t="shared" si="30"/>
        <v>17577.82</v>
      </c>
      <c r="J110" s="145">
        <f t="shared" si="30"/>
        <v>0</v>
      </c>
      <c r="K110" s="118">
        <f t="shared" si="30"/>
        <v>0</v>
      </c>
      <c r="L110" s="168">
        <f t="shared" si="30"/>
        <v>17577.82</v>
      </c>
      <c r="M110" s="117">
        <f t="shared" si="30"/>
        <v>0</v>
      </c>
      <c r="N110" s="117">
        <f t="shared" si="30"/>
        <v>0</v>
      </c>
      <c r="O110" s="117">
        <f t="shared" si="30"/>
        <v>17577.82</v>
      </c>
      <c r="P110" s="117">
        <f t="shared" si="30"/>
        <v>0</v>
      </c>
      <c r="Q110" s="250">
        <f t="shared" si="30"/>
        <v>17577.82</v>
      </c>
    </row>
    <row r="111" spans="1:17" ht="12.75">
      <c r="A111" s="41" t="s">
        <v>56</v>
      </c>
      <c r="B111" s="103"/>
      <c r="C111" s="179">
        <f>SUM(C113:C117)</f>
        <v>11546.38</v>
      </c>
      <c r="D111" s="122">
        <f aca="true" t="shared" si="31" ref="D111:Q111">SUM(D113:D117)</f>
        <v>7947</v>
      </c>
      <c r="E111" s="122">
        <f t="shared" si="31"/>
        <v>0</v>
      </c>
      <c r="F111" s="199">
        <f t="shared" si="31"/>
        <v>19493.38</v>
      </c>
      <c r="G111" s="217">
        <f t="shared" si="31"/>
        <v>0</v>
      </c>
      <c r="H111" s="122">
        <f t="shared" si="31"/>
        <v>0</v>
      </c>
      <c r="I111" s="170">
        <f t="shared" si="31"/>
        <v>17577.82</v>
      </c>
      <c r="J111" s="179">
        <f t="shared" si="31"/>
        <v>0</v>
      </c>
      <c r="K111" s="122">
        <f t="shared" si="31"/>
        <v>0</v>
      </c>
      <c r="L111" s="170">
        <f t="shared" si="31"/>
        <v>17577.82</v>
      </c>
      <c r="M111" s="121">
        <f t="shared" si="31"/>
        <v>0</v>
      </c>
      <c r="N111" s="121">
        <f t="shared" si="31"/>
        <v>0</v>
      </c>
      <c r="O111" s="121">
        <f t="shared" si="31"/>
        <v>17577.82</v>
      </c>
      <c r="P111" s="121">
        <f t="shared" si="31"/>
        <v>0</v>
      </c>
      <c r="Q111" s="252">
        <f t="shared" si="31"/>
        <v>17577.82</v>
      </c>
    </row>
    <row r="112" spans="1:17" ht="12.75">
      <c r="A112" s="37" t="s">
        <v>27</v>
      </c>
      <c r="B112" s="99"/>
      <c r="C112" s="152"/>
      <c r="D112" s="115"/>
      <c r="E112" s="115"/>
      <c r="F112" s="174"/>
      <c r="G112" s="88"/>
      <c r="H112" s="7"/>
      <c r="I112" s="70"/>
      <c r="J112" s="28"/>
      <c r="K112" s="7"/>
      <c r="L112" s="70"/>
      <c r="M112" s="22"/>
      <c r="N112" s="7"/>
      <c r="O112" s="21"/>
      <c r="P112" s="82"/>
      <c r="Q112" s="80"/>
    </row>
    <row r="113" spans="1:17" ht="12.75">
      <c r="A113" s="35" t="s">
        <v>58</v>
      </c>
      <c r="B113" s="99"/>
      <c r="C113" s="152">
        <v>10882.38</v>
      </c>
      <c r="D113" s="115">
        <f>2652.44+1200</f>
        <v>3852.44</v>
      </c>
      <c r="E113" s="115"/>
      <c r="F113" s="196">
        <f>C113+D113+E113</f>
        <v>14734.82</v>
      </c>
      <c r="G113" s="88"/>
      <c r="H113" s="7"/>
      <c r="I113" s="74">
        <f>SUM(F113:H113)</f>
        <v>14734.82</v>
      </c>
      <c r="J113" s="28"/>
      <c r="K113" s="7"/>
      <c r="L113" s="74">
        <f>I113+J113+K113</f>
        <v>14734.82</v>
      </c>
      <c r="M113" s="22"/>
      <c r="N113" s="7"/>
      <c r="O113" s="23">
        <f>L113+M113+N113</f>
        <v>14734.82</v>
      </c>
      <c r="P113" s="82"/>
      <c r="Q113" s="80">
        <f t="shared" si="27"/>
        <v>14734.82</v>
      </c>
    </row>
    <row r="114" spans="1:17" ht="12.75">
      <c r="A114" s="48" t="s">
        <v>88</v>
      </c>
      <c r="B114" s="99"/>
      <c r="C114" s="152">
        <v>664</v>
      </c>
      <c r="D114" s="115"/>
      <c r="E114" s="115"/>
      <c r="F114" s="196">
        <f>C114+D114+E114</f>
        <v>664</v>
      </c>
      <c r="G114" s="88"/>
      <c r="H114" s="7"/>
      <c r="I114" s="74"/>
      <c r="J114" s="28"/>
      <c r="K114" s="7"/>
      <c r="L114" s="74"/>
      <c r="M114" s="22"/>
      <c r="N114" s="7"/>
      <c r="O114" s="23"/>
      <c r="P114" s="82"/>
      <c r="Q114" s="80"/>
    </row>
    <row r="115" spans="1:17" ht="12.75">
      <c r="A115" s="39" t="s">
        <v>79</v>
      </c>
      <c r="B115" s="99">
        <v>33166</v>
      </c>
      <c r="C115" s="152"/>
      <c r="D115" s="115">
        <f>2843</f>
        <v>2843</v>
      </c>
      <c r="E115" s="115"/>
      <c r="F115" s="196">
        <f>C115+D115+E115</f>
        <v>2843</v>
      </c>
      <c r="G115" s="88"/>
      <c r="H115" s="7"/>
      <c r="I115" s="74">
        <f>SUM(F115:H115)</f>
        <v>2843</v>
      </c>
      <c r="J115" s="28"/>
      <c r="K115" s="7"/>
      <c r="L115" s="74">
        <f>I115+J115+K115</f>
        <v>2843</v>
      </c>
      <c r="M115" s="22"/>
      <c r="N115" s="7"/>
      <c r="O115" s="23">
        <f>L115+M115+N115</f>
        <v>2843</v>
      </c>
      <c r="P115" s="82"/>
      <c r="Q115" s="80">
        <f t="shared" si="27"/>
        <v>2843</v>
      </c>
    </row>
    <row r="116" spans="1:17" ht="12.75">
      <c r="A116" s="46" t="s">
        <v>333</v>
      </c>
      <c r="B116" s="102">
        <v>33064</v>
      </c>
      <c r="C116" s="180"/>
      <c r="D116" s="123">
        <f>1251.56</f>
        <v>1251.56</v>
      </c>
      <c r="E116" s="123"/>
      <c r="F116" s="200">
        <f>C116+D116+E116</f>
        <v>1251.56</v>
      </c>
      <c r="G116" s="88"/>
      <c r="H116" s="7"/>
      <c r="I116" s="74"/>
      <c r="J116" s="28"/>
      <c r="K116" s="7"/>
      <c r="L116" s="74"/>
      <c r="M116" s="22"/>
      <c r="N116" s="7"/>
      <c r="O116" s="23"/>
      <c r="P116" s="82"/>
      <c r="Q116" s="80"/>
    </row>
    <row r="117" spans="1:17" ht="12.75" hidden="1">
      <c r="A117" s="39" t="s">
        <v>72</v>
      </c>
      <c r="B117" s="99"/>
      <c r="C117" s="152"/>
      <c r="D117" s="115"/>
      <c r="E117" s="115"/>
      <c r="F117" s="196">
        <f>C117+D117+E117</f>
        <v>0</v>
      </c>
      <c r="G117" s="88"/>
      <c r="H117" s="7"/>
      <c r="I117" s="74">
        <f>SUM(F117:H117)</f>
        <v>0</v>
      </c>
      <c r="J117" s="28"/>
      <c r="K117" s="7"/>
      <c r="L117" s="74">
        <f>I117+J117+K117</f>
        <v>0</v>
      </c>
      <c r="M117" s="22"/>
      <c r="N117" s="7"/>
      <c r="O117" s="23">
        <f>L117+M117+N117</f>
        <v>0</v>
      </c>
      <c r="P117" s="82"/>
      <c r="Q117" s="80">
        <f t="shared" si="27"/>
        <v>0</v>
      </c>
    </row>
    <row r="118" spans="1:17" ht="12.75" hidden="1">
      <c r="A118" s="41" t="s">
        <v>61</v>
      </c>
      <c r="B118" s="103"/>
      <c r="C118" s="179">
        <f>C120</f>
        <v>0</v>
      </c>
      <c r="D118" s="122">
        <f aca="true" t="shared" si="32" ref="D118:Q118">D120</f>
        <v>0</v>
      </c>
      <c r="E118" s="122">
        <f t="shared" si="32"/>
        <v>0</v>
      </c>
      <c r="F118" s="199">
        <f t="shared" si="32"/>
        <v>0</v>
      </c>
      <c r="G118" s="217">
        <f t="shared" si="32"/>
        <v>0</v>
      </c>
      <c r="H118" s="122">
        <f t="shared" si="32"/>
        <v>0</v>
      </c>
      <c r="I118" s="170">
        <f t="shared" si="32"/>
        <v>0</v>
      </c>
      <c r="J118" s="179">
        <f t="shared" si="32"/>
        <v>0</v>
      </c>
      <c r="K118" s="122">
        <f t="shared" si="32"/>
        <v>0</v>
      </c>
      <c r="L118" s="170">
        <f t="shared" si="32"/>
        <v>0</v>
      </c>
      <c r="M118" s="121">
        <f t="shared" si="32"/>
        <v>0</v>
      </c>
      <c r="N118" s="121">
        <f t="shared" si="32"/>
        <v>0</v>
      </c>
      <c r="O118" s="121">
        <f t="shared" si="32"/>
        <v>0</v>
      </c>
      <c r="P118" s="121">
        <f t="shared" si="32"/>
        <v>0</v>
      </c>
      <c r="Q118" s="252">
        <f t="shared" si="32"/>
        <v>0</v>
      </c>
    </row>
    <row r="119" spans="1:17" ht="12.75" hidden="1">
      <c r="A119" s="37" t="s">
        <v>27</v>
      </c>
      <c r="B119" s="99"/>
      <c r="C119" s="152"/>
      <c r="D119" s="115"/>
      <c r="E119" s="115"/>
      <c r="F119" s="174"/>
      <c r="G119" s="88"/>
      <c r="H119" s="7"/>
      <c r="I119" s="70"/>
      <c r="J119" s="28"/>
      <c r="K119" s="7"/>
      <c r="L119" s="70"/>
      <c r="M119" s="22"/>
      <c r="N119" s="7"/>
      <c r="O119" s="21"/>
      <c r="P119" s="82"/>
      <c r="Q119" s="80"/>
    </row>
    <row r="120" spans="1:17" ht="12.75" hidden="1">
      <c r="A120" s="38" t="s">
        <v>178</v>
      </c>
      <c r="B120" s="102"/>
      <c r="C120" s="180"/>
      <c r="D120" s="123"/>
      <c r="E120" s="123"/>
      <c r="F120" s="200">
        <f>C120+D120+E120</f>
        <v>0</v>
      </c>
      <c r="G120" s="219"/>
      <c r="H120" s="10"/>
      <c r="I120" s="209"/>
      <c r="J120" s="234"/>
      <c r="K120" s="10"/>
      <c r="L120" s="73">
        <f>I120+J120+K120</f>
        <v>0</v>
      </c>
      <c r="M120" s="26"/>
      <c r="N120" s="10"/>
      <c r="O120" s="27">
        <f>L120+M120+N120</f>
        <v>0</v>
      </c>
      <c r="P120" s="85"/>
      <c r="Q120" s="86">
        <f t="shared" si="27"/>
        <v>0</v>
      </c>
    </row>
    <row r="121" spans="1:17" ht="12.75">
      <c r="A121" s="32" t="s">
        <v>80</v>
      </c>
      <c r="B121" s="103"/>
      <c r="C121" s="159">
        <f>C122+C134</f>
        <v>1255518.96</v>
      </c>
      <c r="D121" s="114">
        <f aca="true" t="shared" si="33" ref="D121:Q121">D122+D134</f>
        <v>340155.16</v>
      </c>
      <c r="E121" s="114">
        <f t="shared" si="33"/>
        <v>0</v>
      </c>
      <c r="F121" s="174">
        <f t="shared" si="33"/>
        <v>1595674.12</v>
      </c>
      <c r="G121" s="160">
        <f t="shared" si="33"/>
        <v>0</v>
      </c>
      <c r="H121" s="114">
        <f t="shared" si="33"/>
        <v>0</v>
      </c>
      <c r="I121" s="142">
        <f t="shared" si="33"/>
        <v>1595674.12</v>
      </c>
      <c r="J121" s="159">
        <f t="shared" si="33"/>
        <v>0</v>
      </c>
      <c r="K121" s="114">
        <f t="shared" si="33"/>
        <v>0</v>
      </c>
      <c r="L121" s="142">
        <f t="shared" si="33"/>
        <v>1595674.12</v>
      </c>
      <c r="M121" s="113">
        <f t="shared" si="33"/>
        <v>0</v>
      </c>
      <c r="N121" s="113">
        <f t="shared" si="33"/>
        <v>0</v>
      </c>
      <c r="O121" s="113">
        <f t="shared" si="33"/>
        <v>1595674.12</v>
      </c>
      <c r="P121" s="113">
        <f t="shared" si="33"/>
        <v>0</v>
      </c>
      <c r="Q121" s="247">
        <f t="shared" si="33"/>
        <v>1595674.12</v>
      </c>
    </row>
    <row r="122" spans="1:17" ht="12.75">
      <c r="A122" s="41" t="s">
        <v>56</v>
      </c>
      <c r="B122" s="103"/>
      <c r="C122" s="179">
        <f>SUM(C125:C133)</f>
        <v>1245518.96</v>
      </c>
      <c r="D122" s="122">
        <f aca="true" t="shared" si="34" ref="D122:Q122">SUM(D125:D133)</f>
        <v>333138.79</v>
      </c>
      <c r="E122" s="122">
        <f t="shared" si="34"/>
        <v>0</v>
      </c>
      <c r="F122" s="199">
        <f t="shared" si="34"/>
        <v>1578657.75</v>
      </c>
      <c r="G122" s="217">
        <f t="shared" si="34"/>
        <v>0</v>
      </c>
      <c r="H122" s="122">
        <f t="shared" si="34"/>
        <v>0</v>
      </c>
      <c r="I122" s="170">
        <f t="shared" si="34"/>
        <v>1578657.75</v>
      </c>
      <c r="J122" s="179">
        <f t="shared" si="34"/>
        <v>0</v>
      </c>
      <c r="K122" s="122">
        <f t="shared" si="34"/>
        <v>0</v>
      </c>
      <c r="L122" s="170">
        <f t="shared" si="34"/>
        <v>1578657.75</v>
      </c>
      <c r="M122" s="121">
        <f t="shared" si="34"/>
        <v>0</v>
      </c>
      <c r="N122" s="121">
        <f t="shared" si="34"/>
        <v>0</v>
      </c>
      <c r="O122" s="121">
        <f t="shared" si="34"/>
        <v>1578657.75</v>
      </c>
      <c r="P122" s="121">
        <f t="shared" si="34"/>
        <v>0</v>
      </c>
      <c r="Q122" s="252">
        <f t="shared" si="34"/>
        <v>1578657.75</v>
      </c>
    </row>
    <row r="123" spans="1:17" ht="12.75">
      <c r="A123" s="37" t="s">
        <v>27</v>
      </c>
      <c r="B123" s="99"/>
      <c r="C123" s="152"/>
      <c r="D123" s="115"/>
      <c r="E123" s="115"/>
      <c r="F123" s="174"/>
      <c r="G123" s="88"/>
      <c r="H123" s="7"/>
      <c r="I123" s="70"/>
      <c r="J123" s="28"/>
      <c r="K123" s="7"/>
      <c r="L123" s="70"/>
      <c r="M123" s="22"/>
      <c r="N123" s="7"/>
      <c r="O123" s="21"/>
      <c r="P123" s="82"/>
      <c r="Q123" s="80"/>
    </row>
    <row r="124" spans="1:17" ht="12.75">
      <c r="A124" s="39" t="s">
        <v>81</v>
      </c>
      <c r="B124" s="99"/>
      <c r="C124" s="152">
        <f>C125+C126</f>
        <v>755573</v>
      </c>
      <c r="D124" s="115">
        <f>D125+D126</f>
        <v>43485.5</v>
      </c>
      <c r="E124" s="115">
        <f>E125+E126</f>
        <v>0</v>
      </c>
      <c r="F124" s="196">
        <f>F125+F126</f>
        <v>799058.5</v>
      </c>
      <c r="G124" s="88"/>
      <c r="H124" s="7"/>
      <c r="I124" s="74">
        <f>I125+I126</f>
        <v>799058.5</v>
      </c>
      <c r="J124" s="28"/>
      <c r="K124" s="7"/>
      <c r="L124" s="74">
        <f>L125+L126</f>
        <v>799058.5</v>
      </c>
      <c r="M124" s="22"/>
      <c r="N124" s="7"/>
      <c r="O124" s="23">
        <f>O125+O126</f>
        <v>799058.5</v>
      </c>
      <c r="P124" s="82"/>
      <c r="Q124" s="80">
        <f t="shared" si="27"/>
        <v>799058.5</v>
      </c>
    </row>
    <row r="125" spans="1:19" ht="12.75">
      <c r="A125" s="39" t="s">
        <v>82</v>
      </c>
      <c r="B125" s="99"/>
      <c r="C125" s="152">
        <v>366000</v>
      </c>
      <c r="D125" s="126">
        <f>39155.23+113.82+4216.45</f>
        <v>43485.5</v>
      </c>
      <c r="E125" s="115"/>
      <c r="F125" s="196">
        <f aca="true" t="shared" si="35" ref="F125:F133">C125+D125+E125</f>
        <v>409485.5</v>
      </c>
      <c r="G125" s="220"/>
      <c r="H125" s="11"/>
      <c r="I125" s="74">
        <f aca="true" t="shared" si="36" ref="I125:I133">F125+G125+H125</f>
        <v>409485.5</v>
      </c>
      <c r="J125" s="28"/>
      <c r="K125" s="7"/>
      <c r="L125" s="74">
        <f aca="true" t="shared" si="37" ref="L125:L133">I125+J125+K125</f>
        <v>409485.5</v>
      </c>
      <c r="M125" s="22"/>
      <c r="N125" s="7"/>
      <c r="O125" s="23">
        <f aca="true" t="shared" si="38" ref="O125:O133">L125+M125+N125</f>
        <v>409485.5</v>
      </c>
      <c r="P125" s="82"/>
      <c r="Q125" s="80">
        <f t="shared" si="27"/>
        <v>409485.5</v>
      </c>
      <c r="S125" s="245"/>
    </row>
    <row r="126" spans="1:17" ht="12.75">
      <c r="A126" s="35" t="s">
        <v>83</v>
      </c>
      <c r="B126" s="99"/>
      <c r="C126" s="152">
        <v>389573</v>
      </c>
      <c r="D126" s="115"/>
      <c r="E126" s="115"/>
      <c r="F126" s="196">
        <f t="shared" si="35"/>
        <v>389573</v>
      </c>
      <c r="G126" s="220"/>
      <c r="H126" s="11"/>
      <c r="I126" s="74">
        <f t="shared" si="36"/>
        <v>389573</v>
      </c>
      <c r="J126" s="28"/>
      <c r="K126" s="7"/>
      <c r="L126" s="74">
        <f t="shared" si="37"/>
        <v>389573</v>
      </c>
      <c r="M126" s="22"/>
      <c r="N126" s="7"/>
      <c r="O126" s="23">
        <f t="shared" si="38"/>
        <v>389573</v>
      </c>
      <c r="P126" s="82"/>
      <c r="Q126" s="80">
        <f t="shared" si="27"/>
        <v>389573</v>
      </c>
    </row>
    <row r="127" spans="1:17" ht="12.75">
      <c r="A127" s="39" t="s">
        <v>84</v>
      </c>
      <c r="B127" s="99"/>
      <c r="C127" s="152">
        <v>22445.96</v>
      </c>
      <c r="D127" s="115"/>
      <c r="E127" s="115"/>
      <c r="F127" s="196">
        <f t="shared" si="35"/>
        <v>22445.96</v>
      </c>
      <c r="G127" s="88"/>
      <c r="H127" s="7"/>
      <c r="I127" s="74">
        <f t="shared" si="36"/>
        <v>22445.96</v>
      </c>
      <c r="J127" s="28"/>
      <c r="K127" s="7"/>
      <c r="L127" s="74">
        <f t="shared" si="37"/>
        <v>22445.96</v>
      </c>
      <c r="M127" s="22"/>
      <c r="N127" s="7"/>
      <c r="O127" s="23">
        <f t="shared" si="38"/>
        <v>22445.96</v>
      </c>
      <c r="P127" s="82"/>
      <c r="Q127" s="80">
        <f t="shared" si="27"/>
        <v>22445.96</v>
      </c>
    </row>
    <row r="128" spans="1:17" ht="12.75" hidden="1">
      <c r="A128" s="35" t="s">
        <v>85</v>
      </c>
      <c r="B128" s="99"/>
      <c r="C128" s="152"/>
      <c r="D128" s="115"/>
      <c r="E128" s="115"/>
      <c r="F128" s="196">
        <f t="shared" si="35"/>
        <v>0</v>
      </c>
      <c r="G128" s="88"/>
      <c r="H128" s="7"/>
      <c r="I128" s="74">
        <f t="shared" si="36"/>
        <v>0</v>
      </c>
      <c r="J128" s="28"/>
      <c r="K128" s="7"/>
      <c r="L128" s="74">
        <f t="shared" si="37"/>
        <v>0</v>
      </c>
      <c r="M128" s="22"/>
      <c r="N128" s="7"/>
      <c r="O128" s="23">
        <f t="shared" si="38"/>
        <v>0</v>
      </c>
      <c r="P128" s="82"/>
      <c r="Q128" s="80">
        <f t="shared" si="27"/>
        <v>0</v>
      </c>
    </row>
    <row r="129" spans="1:17" ht="12.75" hidden="1">
      <c r="A129" s="35" t="s">
        <v>72</v>
      </c>
      <c r="B129" s="99"/>
      <c r="C129" s="152"/>
      <c r="D129" s="115"/>
      <c r="E129" s="115"/>
      <c r="F129" s="196">
        <f t="shared" si="35"/>
        <v>0</v>
      </c>
      <c r="G129" s="88"/>
      <c r="H129" s="7"/>
      <c r="I129" s="74">
        <f t="shared" si="36"/>
        <v>0</v>
      </c>
      <c r="J129" s="28"/>
      <c r="K129" s="7"/>
      <c r="L129" s="74">
        <f t="shared" si="37"/>
        <v>0</v>
      </c>
      <c r="M129" s="22"/>
      <c r="N129" s="7"/>
      <c r="O129" s="23">
        <f t="shared" si="38"/>
        <v>0</v>
      </c>
      <c r="P129" s="82"/>
      <c r="Q129" s="80">
        <f t="shared" si="27"/>
        <v>0</v>
      </c>
    </row>
    <row r="130" spans="1:17" ht="12.75" hidden="1">
      <c r="A130" s="35" t="s">
        <v>86</v>
      </c>
      <c r="B130" s="99">
        <v>91252</v>
      </c>
      <c r="C130" s="152"/>
      <c r="D130" s="115"/>
      <c r="E130" s="115"/>
      <c r="F130" s="196">
        <f t="shared" si="35"/>
        <v>0</v>
      </c>
      <c r="G130" s="88"/>
      <c r="H130" s="7"/>
      <c r="I130" s="74">
        <f t="shared" si="36"/>
        <v>0</v>
      </c>
      <c r="J130" s="28"/>
      <c r="K130" s="7"/>
      <c r="L130" s="74">
        <f t="shared" si="37"/>
        <v>0</v>
      </c>
      <c r="M130" s="22"/>
      <c r="N130" s="7"/>
      <c r="O130" s="23">
        <f t="shared" si="38"/>
        <v>0</v>
      </c>
      <c r="P130" s="82"/>
      <c r="Q130" s="80">
        <f t="shared" si="27"/>
        <v>0</v>
      </c>
    </row>
    <row r="131" spans="1:17" ht="12.75">
      <c r="A131" s="35" t="s">
        <v>154</v>
      </c>
      <c r="B131" s="99">
        <v>27355</v>
      </c>
      <c r="C131" s="152"/>
      <c r="D131" s="115">
        <f>277153.29</f>
        <v>277153.29</v>
      </c>
      <c r="E131" s="115"/>
      <c r="F131" s="196">
        <f t="shared" si="35"/>
        <v>277153.29</v>
      </c>
      <c r="G131" s="88"/>
      <c r="H131" s="7"/>
      <c r="I131" s="74">
        <f t="shared" si="36"/>
        <v>277153.29</v>
      </c>
      <c r="J131" s="28"/>
      <c r="K131" s="7"/>
      <c r="L131" s="74">
        <f t="shared" si="37"/>
        <v>277153.29</v>
      </c>
      <c r="M131" s="22"/>
      <c r="N131" s="7"/>
      <c r="O131" s="23">
        <f t="shared" si="38"/>
        <v>277153.29</v>
      </c>
      <c r="P131" s="82"/>
      <c r="Q131" s="80">
        <f t="shared" si="27"/>
        <v>277153.29</v>
      </c>
    </row>
    <row r="132" spans="1:17" ht="12.75">
      <c r="A132" s="35" t="s">
        <v>58</v>
      </c>
      <c r="B132" s="99"/>
      <c r="C132" s="152">
        <v>467500</v>
      </c>
      <c r="D132" s="115">
        <f>6000+6500</f>
        <v>12500</v>
      </c>
      <c r="E132" s="115"/>
      <c r="F132" s="196">
        <f t="shared" si="35"/>
        <v>480000</v>
      </c>
      <c r="G132" s="88"/>
      <c r="H132" s="7"/>
      <c r="I132" s="74">
        <f t="shared" si="36"/>
        <v>480000</v>
      </c>
      <c r="J132" s="28"/>
      <c r="K132" s="7"/>
      <c r="L132" s="74">
        <f t="shared" si="37"/>
        <v>480000</v>
      </c>
      <c r="M132" s="22"/>
      <c r="N132" s="7"/>
      <c r="O132" s="23">
        <f t="shared" si="38"/>
        <v>480000</v>
      </c>
      <c r="P132" s="82"/>
      <c r="Q132" s="80">
        <f t="shared" si="27"/>
        <v>480000</v>
      </c>
    </row>
    <row r="133" spans="1:17" ht="12" customHeight="1" hidden="1">
      <c r="A133" s="35" t="s">
        <v>87</v>
      </c>
      <c r="B133" s="99"/>
      <c r="C133" s="152"/>
      <c r="D133" s="115"/>
      <c r="E133" s="115"/>
      <c r="F133" s="196">
        <f t="shared" si="35"/>
        <v>0</v>
      </c>
      <c r="G133" s="88"/>
      <c r="H133" s="7"/>
      <c r="I133" s="74">
        <f t="shared" si="36"/>
        <v>0</v>
      </c>
      <c r="J133" s="28"/>
      <c r="K133" s="7"/>
      <c r="L133" s="74">
        <f t="shared" si="37"/>
        <v>0</v>
      </c>
      <c r="M133" s="22"/>
      <c r="N133" s="7"/>
      <c r="O133" s="23">
        <f t="shared" si="38"/>
        <v>0</v>
      </c>
      <c r="P133" s="82"/>
      <c r="Q133" s="80">
        <f t="shared" si="27"/>
        <v>0</v>
      </c>
    </row>
    <row r="134" spans="1:17" ht="12.75">
      <c r="A134" s="42" t="s">
        <v>61</v>
      </c>
      <c r="B134" s="103"/>
      <c r="C134" s="181">
        <f>SUM(C136:C138)</f>
        <v>10000</v>
      </c>
      <c r="D134" s="125">
        <f aca="true" t="shared" si="39" ref="D134:Q134">SUM(D136:D138)</f>
        <v>7016.37</v>
      </c>
      <c r="E134" s="125">
        <f t="shared" si="39"/>
        <v>0</v>
      </c>
      <c r="F134" s="201">
        <f t="shared" si="39"/>
        <v>17016.37</v>
      </c>
      <c r="G134" s="218">
        <f t="shared" si="39"/>
        <v>0</v>
      </c>
      <c r="H134" s="125">
        <f t="shared" si="39"/>
        <v>0</v>
      </c>
      <c r="I134" s="171">
        <f t="shared" si="39"/>
        <v>17016.37</v>
      </c>
      <c r="J134" s="181">
        <f t="shared" si="39"/>
        <v>0</v>
      </c>
      <c r="K134" s="125">
        <f t="shared" si="39"/>
        <v>0</v>
      </c>
      <c r="L134" s="171">
        <f t="shared" si="39"/>
        <v>17016.37</v>
      </c>
      <c r="M134" s="124">
        <f t="shared" si="39"/>
        <v>0</v>
      </c>
      <c r="N134" s="124">
        <f t="shared" si="39"/>
        <v>0</v>
      </c>
      <c r="O134" s="124">
        <f t="shared" si="39"/>
        <v>17016.37</v>
      </c>
      <c r="P134" s="124">
        <f t="shared" si="39"/>
        <v>0</v>
      </c>
      <c r="Q134" s="253">
        <f t="shared" si="39"/>
        <v>17016.37</v>
      </c>
    </row>
    <row r="135" spans="1:17" ht="12.75">
      <c r="A135" s="33" t="s">
        <v>27</v>
      </c>
      <c r="B135" s="99"/>
      <c r="C135" s="145"/>
      <c r="D135" s="118"/>
      <c r="E135" s="118"/>
      <c r="F135" s="197"/>
      <c r="G135" s="215"/>
      <c r="H135" s="8"/>
      <c r="I135" s="29"/>
      <c r="J135" s="233"/>
      <c r="K135" s="8"/>
      <c r="L135" s="29"/>
      <c r="M135" s="24"/>
      <c r="N135" s="8"/>
      <c r="O135" s="25"/>
      <c r="P135" s="82"/>
      <c r="Q135" s="80"/>
    </row>
    <row r="136" spans="1:17" ht="12.75">
      <c r="A136" s="43" t="s">
        <v>62</v>
      </c>
      <c r="B136" s="102"/>
      <c r="C136" s="180">
        <v>10000</v>
      </c>
      <c r="D136" s="123">
        <f>7016.37</f>
        <v>7016.37</v>
      </c>
      <c r="E136" s="123"/>
      <c r="F136" s="200">
        <f>C136+D136+E136</f>
        <v>17016.37</v>
      </c>
      <c r="G136" s="88"/>
      <c r="H136" s="7"/>
      <c r="I136" s="74">
        <f>F136+G136+H136</f>
        <v>17016.37</v>
      </c>
      <c r="J136" s="28"/>
      <c r="K136" s="7"/>
      <c r="L136" s="74">
        <f>I136+J136+K136</f>
        <v>17016.37</v>
      </c>
      <c r="M136" s="22"/>
      <c r="N136" s="7"/>
      <c r="O136" s="23">
        <f>L136+M136+N136</f>
        <v>17016.37</v>
      </c>
      <c r="P136" s="82"/>
      <c r="Q136" s="80">
        <f t="shared" si="27"/>
        <v>17016.37</v>
      </c>
    </row>
    <row r="137" spans="1:17" ht="12.75" hidden="1">
      <c r="A137" s="38" t="s">
        <v>99</v>
      </c>
      <c r="B137" s="102"/>
      <c r="C137" s="180"/>
      <c r="D137" s="123"/>
      <c r="E137" s="123"/>
      <c r="F137" s="200">
        <f>C137+D137+E137</f>
        <v>0</v>
      </c>
      <c r="G137" s="88"/>
      <c r="H137" s="7"/>
      <c r="I137" s="74">
        <f>F137+G137+H137</f>
        <v>0</v>
      </c>
      <c r="J137" s="28"/>
      <c r="K137" s="7"/>
      <c r="L137" s="74">
        <f>I137+J137+K137</f>
        <v>0</v>
      </c>
      <c r="M137" s="22"/>
      <c r="N137" s="7"/>
      <c r="O137" s="23">
        <f>L137+M137+N137</f>
        <v>0</v>
      </c>
      <c r="P137" s="82"/>
      <c r="Q137" s="80">
        <f t="shared" si="27"/>
        <v>0</v>
      </c>
    </row>
    <row r="138" spans="1:17" ht="12.75" hidden="1">
      <c r="A138" s="38" t="s">
        <v>88</v>
      </c>
      <c r="B138" s="102"/>
      <c r="C138" s="180"/>
      <c r="D138" s="123"/>
      <c r="E138" s="123"/>
      <c r="F138" s="200">
        <f>C138+D138+E138</f>
        <v>0</v>
      </c>
      <c r="G138" s="219"/>
      <c r="H138" s="10"/>
      <c r="I138" s="73">
        <f>F138+G138+H138</f>
        <v>0</v>
      </c>
      <c r="J138" s="234"/>
      <c r="K138" s="10"/>
      <c r="L138" s="73">
        <f>I138+J138+K138</f>
        <v>0</v>
      </c>
      <c r="M138" s="26"/>
      <c r="N138" s="10"/>
      <c r="O138" s="27">
        <f>L138+M138+N138</f>
        <v>0</v>
      </c>
      <c r="P138" s="85"/>
      <c r="Q138" s="86">
        <f t="shared" si="27"/>
        <v>0</v>
      </c>
    </row>
    <row r="139" spans="1:17" ht="12.75">
      <c r="A139" s="36" t="s">
        <v>89</v>
      </c>
      <c r="B139" s="103"/>
      <c r="C139" s="145">
        <f>C140+C145</f>
        <v>34397.46</v>
      </c>
      <c r="D139" s="118">
        <f aca="true" t="shared" si="40" ref="D139:Q139">D140+D145</f>
        <v>8600</v>
      </c>
      <c r="E139" s="118">
        <f t="shared" si="40"/>
        <v>0</v>
      </c>
      <c r="F139" s="197">
        <f t="shared" si="40"/>
        <v>42997.46</v>
      </c>
      <c r="G139" s="146">
        <f t="shared" si="40"/>
        <v>0</v>
      </c>
      <c r="H139" s="118">
        <f t="shared" si="40"/>
        <v>0</v>
      </c>
      <c r="I139" s="168">
        <f t="shared" si="40"/>
        <v>42997.46</v>
      </c>
      <c r="J139" s="145">
        <f t="shared" si="40"/>
        <v>0</v>
      </c>
      <c r="K139" s="118">
        <f t="shared" si="40"/>
        <v>0</v>
      </c>
      <c r="L139" s="168">
        <f t="shared" si="40"/>
        <v>42997.46</v>
      </c>
      <c r="M139" s="117">
        <f t="shared" si="40"/>
        <v>0</v>
      </c>
      <c r="N139" s="117">
        <f t="shared" si="40"/>
        <v>0</v>
      </c>
      <c r="O139" s="117">
        <f t="shared" si="40"/>
        <v>42997.46</v>
      </c>
      <c r="P139" s="117">
        <f t="shared" si="40"/>
        <v>0</v>
      </c>
      <c r="Q139" s="250">
        <f t="shared" si="40"/>
        <v>42997.46</v>
      </c>
    </row>
    <row r="140" spans="1:17" ht="12.75">
      <c r="A140" s="41" t="s">
        <v>56</v>
      </c>
      <c r="B140" s="103"/>
      <c r="C140" s="179">
        <f>SUM(C142:C144)</f>
        <v>32397.46</v>
      </c>
      <c r="D140" s="122">
        <f aca="true" t="shared" si="41" ref="D140:Q140">SUM(D142:D144)</f>
        <v>8600</v>
      </c>
      <c r="E140" s="122">
        <f t="shared" si="41"/>
        <v>0</v>
      </c>
      <c r="F140" s="199">
        <f t="shared" si="41"/>
        <v>40997.46</v>
      </c>
      <c r="G140" s="217">
        <f t="shared" si="41"/>
        <v>0</v>
      </c>
      <c r="H140" s="122">
        <f t="shared" si="41"/>
        <v>0</v>
      </c>
      <c r="I140" s="170">
        <f t="shared" si="41"/>
        <v>40997.46</v>
      </c>
      <c r="J140" s="179">
        <f t="shared" si="41"/>
        <v>0</v>
      </c>
      <c r="K140" s="122">
        <f t="shared" si="41"/>
        <v>0</v>
      </c>
      <c r="L140" s="170">
        <f t="shared" si="41"/>
        <v>40997.46</v>
      </c>
      <c r="M140" s="121">
        <f t="shared" si="41"/>
        <v>0</v>
      </c>
      <c r="N140" s="121">
        <f t="shared" si="41"/>
        <v>0</v>
      </c>
      <c r="O140" s="121">
        <f t="shared" si="41"/>
        <v>40997.46</v>
      </c>
      <c r="P140" s="121">
        <f t="shared" si="41"/>
        <v>0</v>
      </c>
      <c r="Q140" s="252">
        <f t="shared" si="41"/>
        <v>40997.46</v>
      </c>
    </row>
    <row r="141" spans="1:17" ht="12.75">
      <c r="A141" s="37" t="s">
        <v>27</v>
      </c>
      <c r="B141" s="99"/>
      <c r="C141" s="152"/>
      <c r="D141" s="115"/>
      <c r="E141" s="115"/>
      <c r="F141" s="174"/>
      <c r="G141" s="88"/>
      <c r="H141" s="7"/>
      <c r="I141" s="70"/>
      <c r="J141" s="28"/>
      <c r="K141" s="7"/>
      <c r="L141" s="70"/>
      <c r="M141" s="22"/>
      <c r="N141" s="7"/>
      <c r="O141" s="21"/>
      <c r="P141" s="82"/>
      <c r="Q141" s="80"/>
    </row>
    <row r="142" spans="1:17" ht="12.75">
      <c r="A142" s="35" t="s">
        <v>58</v>
      </c>
      <c r="B142" s="99"/>
      <c r="C142" s="152">
        <v>8397.46</v>
      </c>
      <c r="D142" s="115">
        <f>8600</f>
        <v>8600</v>
      </c>
      <c r="E142" s="115"/>
      <c r="F142" s="196">
        <f>C142+D142+E142</f>
        <v>16997.46</v>
      </c>
      <c r="G142" s="88"/>
      <c r="H142" s="7"/>
      <c r="I142" s="74">
        <f>F142+G142+H142</f>
        <v>16997.46</v>
      </c>
      <c r="J142" s="28"/>
      <c r="K142" s="7"/>
      <c r="L142" s="74">
        <f>I142+J142+K142</f>
        <v>16997.46</v>
      </c>
      <c r="M142" s="22"/>
      <c r="N142" s="7"/>
      <c r="O142" s="23">
        <f>L142+M142+N142</f>
        <v>16997.46</v>
      </c>
      <c r="P142" s="82"/>
      <c r="Q142" s="80">
        <f t="shared" si="27"/>
        <v>16997.46</v>
      </c>
    </row>
    <row r="143" spans="1:17" ht="12.75" hidden="1">
      <c r="A143" s="35" t="s">
        <v>88</v>
      </c>
      <c r="B143" s="99"/>
      <c r="C143" s="152"/>
      <c r="D143" s="115"/>
      <c r="E143" s="115"/>
      <c r="F143" s="196">
        <f>C143+D143+E143</f>
        <v>0</v>
      </c>
      <c r="G143" s="88"/>
      <c r="H143" s="7"/>
      <c r="I143" s="74"/>
      <c r="J143" s="28"/>
      <c r="K143" s="7"/>
      <c r="L143" s="74"/>
      <c r="M143" s="22"/>
      <c r="N143" s="7"/>
      <c r="O143" s="23">
        <f>L143+M143+N143</f>
        <v>0</v>
      </c>
      <c r="P143" s="82"/>
      <c r="Q143" s="80">
        <f t="shared" si="27"/>
        <v>0</v>
      </c>
    </row>
    <row r="144" spans="1:17" ht="12.75">
      <c r="A144" s="35" t="s">
        <v>90</v>
      </c>
      <c r="B144" s="99"/>
      <c r="C144" s="152">
        <v>24000</v>
      </c>
      <c r="D144" s="115"/>
      <c r="E144" s="115"/>
      <c r="F144" s="196">
        <f>C144+D144+E144</f>
        <v>24000</v>
      </c>
      <c r="G144" s="88"/>
      <c r="H144" s="7"/>
      <c r="I144" s="74">
        <f>F144+G144+H144</f>
        <v>24000</v>
      </c>
      <c r="J144" s="28"/>
      <c r="K144" s="7"/>
      <c r="L144" s="74">
        <f>I144+J144+K144</f>
        <v>24000</v>
      </c>
      <c r="M144" s="22"/>
      <c r="N144" s="7"/>
      <c r="O144" s="23">
        <f>L144+M144+N144</f>
        <v>24000</v>
      </c>
      <c r="P144" s="82"/>
      <c r="Q144" s="80">
        <f>O144+P144</f>
        <v>24000</v>
      </c>
    </row>
    <row r="145" spans="1:17" ht="12.75">
      <c r="A145" s="42" t="s">
        <v>61</v>
      </c>
      <c r="B145" s="103"/>
      <c r="C145" s="181">
        <f>SUM(C147:C150)</f>
        <v>2000</v>
      </c>
      <c r="D145" s="125">
        <f aca="true" t="shared" si="42" ref="D145:Q145">SUM(D147:D150)</f>
        <v>0</v>
      </c>
      <c r="E145" s="125">
        <f t="shared" si="42"/>
        <v>0</v>
      </c>
      <c r="F145" s="201">
        <f t="shared" si="42"/>
        <v>2000</v>
      </c>
      <c r="G145" s="218">
        <f t="shared" si="42"/>
        <v>0</v>
      </c>
      <c r="H145" s="125">
        <f t="shared" si="42"/>
        <v>0</v>
      </c>
      <c r="I145" s="171">
        <f t="shared" si="42"/>
        <v>2000</v>
      </c>
      <c r="J145" s="181">
        <f t="shared" si="42"/>
        <v>0</v>
      </c>
      <c r="K145" s="125">
        <f t="shared" si="42"/>
        <v>0</v>
      </c>
      <c r="L145" s="171">
        <f t="shared" si="42"/>
        <v>2000</v>
      </c>
      <c r="M145" s="124">
        <f t="shared" si="42"/>
        <v>0</v>
      </c>
      <c r="N145" s="124">
        <f t="shared" si="42"/>
        <v>0</v>
      </c>
      <c r="O145" s="124">
        <f t="shared" si="42"/>
        <v>2000</v>
      </c>
      <c r="P145" s="124">
        <f t="shared" si="42"/>
        <v>0</v>
      </c>
      <c r="Q145" s="253">
        <f t="shared" si="42"/>
        <v>2000</v>
      </c>
    </row>
    <row r="146" spans="1:17" ht="12.75">
      <c r="A146" s="33" t="s">
        <v>27</v>
      </c>
      <c r="B146" s="99"/>
      <c r="C146" s="145"/>
      <c r="D146" s="118"/>
      <c r="E146" s="118"/>
      <c r="F146" s="197"/>
      <c r="G146" s="215"/>
      <c r="H146" s="8"/>
      <c r="I146" s="29"/>
      <c r="J146" s="233"/>
      <c r="K146" s="8"/>
      <c r="L146" s="29"/>
      <c r="M146" s="24"/>
      <c r="N146" s="8"/>
      <c r="O146" s="25"/>
      <c r="P146" s="82"/>
      <c r="Q146" s="80"/>
    </row>
    <row r="147" spans="1:17" ht="12.75" hidden="1">
      <c r="A147" s="35" t="s">
        <v>175</v>
      </c>
      <c r="B147" s="99">
        <v>98861</v>
      </c>
      <c r="C147" s="152"/>
      <c r="D147" s="115"/>
      <c r="E147" s="115"/>
      <c r="F147" s="196">
        <f>C147+D147+E147</f>
        <v>0</v>
      </c>
      <c r="G147" s="215"/>
      <c r="H147" s="8"/>
      <c r="I147" s="74"/>
      <c r="J147" s="233"/>
      <c r="K147" s="8"/>
      <c r="L147" s="74"/>
      <c r="M147" s="24"/>
      <c r="N147" s="8"/>
      <c r="O147" s="23">
        <f>L147+M147+N147</f>
        <v>0</v>
      </c>
      <c r="P147" s="82"/>
      <c r="Q147" s="80">
        <f>O147+P147</f>
        <v>0</v>
      </c>
    </row>
    <row r="148" spans="1:17" ht="12.75" hidden="1">
      <c r="A148" s="35" t="s">
        <v>242</v>
      </c>
      <c r="B148" s="99">
        <v>7938</v>
      </c>
      <c r="C148" s="152"/>
      <c r="D148" s="115"/>
      <c r="E148" s="115"/>
      <c r="F148" s="196">
        <f>C148+D148+E148</f>
        <v>0</v>
      </c>
      <c r="G148" s="215"/>
      <c r="H148" s="8"/>
      <c r="I148" s="74"/>
      <c r="J148" s="233"/>
      <c r="K148" s="8"/>
      <c r="L148" s="74"/>
      <c r="M148" s="24"/>
      <c r="N148" s="8"/>
      <c r="O148" s="23"/>
      <c r="P148" s="82"/>
      <c r="Q148" s="80"/>
    </row>
    <row r="149" spans="1:17" ht="12.75" hidden="1">
      <c r="A149" s="35" t="s">
        <v>275</v>
      </c>
      <c r="B149" s="99"/>
      <c r="C149" s="152"/>
      <c r="D149" s="115"/>
      <c r="E149" s="115"/>
      <c r="F149" s="196">
        <f>C149+D149+E149</f>
        <v>0</v>
      </c>
      <c r="G149" s="215"/>
      <c r="H149" s="8"/>
      <c r="I149" s="74"/>
      <c r="J149" s="233"/>
      <c r="K149" s="8"/>
      <c r="L149" s="74"/>
      <c r="M149" s="24"/>
      <c r="N149" s="8"/>
      <c r="O149" s="23"/>
      <c r="P149" s="82"/>
      <c r="Q149" s="80"/>
    </row>
    <row r="150" spans="1:17" ht="12.75">
      <c r="A150" s="46" t="s">
        <v>62</v>
      </c>
      <c r="B150" s="102"/>
      <c r="C150" s="180">
        <v>2000</v>
      </c>
      <c r="D150" s="123"/>
      <c r="E150" s="123"/>
      <c r="F150" s="200">
        <f>C150+D150+E150</f>
        <v>2000</v>
      </c>
      <c r="G150" s="219"/>
      <c r="H150" s="10"/>
      <c r="I150" s="73">
        <f>F150+G150+H150</f>
        <v>2000</v>
      </c>
      <c r="J150" s="234"/>
      <c r="K150" s="10"/>
      <c r="L150" s="73">
        <f>I150+J150+K150</f>
        <v>2000</v>
      </c>
      <c r="M150" s="26"/>
      <c r="N150" s="10"/>
      <c r="O150" s="27">
        <f>L150+M150+N150</f>
        <v>2000</v>
      </c>
      <c r="P150" s="85"/>
      <c r="Q150" s="86">
        <f>O150+P150</f>
        <v>2000</v>
      </c>
    </row>
    <row r="151" spans="1:17" ht="12.75">
      <c r="A151" s="32" t="s">
        <v>298</v>
      </c>
      <c r="B151" s="103"/>
      <c r="C151" s="159">
        <f aca="true" t="shared" si="43" ref="C151:Q151">C152+C166</f>
        <v>4514.7</v>
      </c>
      <c r="D151" s="114">
        <f t="shared" si="43"/>
        <v>137652.71000000002</v>
      </c>
      <c r="E151" s="114">
        <f t="shared" si="43"/>
        <v>0</v>
      </c>
      <c r="F151" s="174">
        <f t="shared" si="43"/>
        <v>142167.41</v>
      </c>
      <c r="G151" s="160">
        <f t="shared" si="43"/>
        <v>0</v>
      </c>
      <c r="H151" s="114">
        <f t="shared" si="43"/>
        <v>0</v>
      </c>
      <c r="I151" s="142">
        <f t="shared" si="43"/>
        <v>10121.36</v>
      </c>
      <c r="J151" s="159">
        <f t="shared" si="43"/>
        <v>0</v>
      </c>
      <c r="K151" s="114">
        <f t="shared" si="43"/>
        <v>0</v>
      </c>
      <c r="L151" s="142">
        <f t="shared" si="43"/>
        <v>10121.36</v>
      </c>
      <c r="M151" s="113">
        <f t="shared" si="43"/>
        <v>0</v>
      </c>
      <c r="N151" s="113">
        <f t="shared" si="43"/>
        <v>0</v>
      </c>
      <c r="O151" s="113">
        <f t="shared" si="43"/>
        <v>10121.36</v>
      </c>
      <c r="P151" s="113">
        <f t="shared" si="43"/>
        <v>0</v>
      </c>
      <c r="Q151" s="247">
        <f t="shared" si="43"/>
        <v>10121.36</v>
      </c>
    </row>
    <row r="152" spans="1:17" ht="12.75">
      <c r="A152" s="41" t="s">
        <v>56</v>
      </c>
      <c r="B152" s="103"/>
      <c r="C152" s="179">
        <f aca="true" t="shared" si="44" ref="C152:Q152">SUM(C154:C165)</f>
        <v>4514.7</v>
      </c>
      <c r="D152" s="122">
        <f t="shared" si="44"/>
        <v>23823.28</v>
      </c>
      <c r="E152" s="122">
        <f t="shared" si="44"/>
        <v>0</v>
      </c>
      <c r="F152" s="199">
        <f t="shared" si="44"/>
        <v>28337.979999999996</v>
      </c>
      <c r="G152" s="217">
        <f t="shared" si="44"/>
        <v>0</v>
      </c>
      <c r="H152" s="122">
        <f t="shared" si="44"/>
        <v>0</v>
      </c>
      <c r="I152" s="170">
        <f t="shared" si="44"/>
        <v>3966.3599999999997</v>
      </c>
      <c r="J152" s="179">
        <f t="shared" si="44"/>
        <v>0</v>
      </c>
      <c r="K152" s="122">
        <f t="shared" si="44"/>
        <v>0</v>
      </c>
      <c r="L152" s="170">
        <f t="shared" si="44"/>
        <v>3966.3599999999997</v>
      </c>
      <c r="M152" s="121">
        <f t="shared" si="44"/>
        <v>0</v>
      </c>
      <c r="N152" s="121">
        <f t="shared" si="44"/>
        <v>0</v>
      </c>
      <c r="O152" s="121">
        <f t="shared" si="44"/>
        <v>3966.3599999999997</v>
      </c>
      <c r="P152" s="121">
        <f t="shared" si="44"/>
        <v>0</v>
      </c>
      <c r="Q152" s="252">
        <f t="shared" si="44"/>
        <v>3966.3599999999997</v>
      </c>
    </row>
    <row r="153" spans="1:17" ht="12.75">
      <c r="A153" s="33" t="s">
        <v>27</v>
      </c>
      <c r="B153" s="99"/>
      <c r="C153" s="145"/>
      <c r="D153" s="118"/>
      <c r="E153" s="118"/>
      <c r="F153" s="197"/>
      <c r="G153" s="215"/>
      <c r="H153" s="8"/>
      <c r="I153" s="29"/>
      <c r="J153" s="233"/>
      <c r="K153" s="8"/>
      <c r="L153" s="29"/>
      <c r="M153" s="24"/>
      <c r="N153" s="8"/>
      <c r="O153" s="25"/>
      <c r="P153" s="82"/>
      <c r="Q153" s="80"/>
    </row>
    <row r="154" spans="1:17" ht="12.75">
      <c r="A154" s="35" t="s">
        <v>58</v>
      </c>
      <c r="B154" s="99"/>
      <c r="C154" s="152">
        <v>3350.7</v>
      </c>
      <c r="D154" s="115"/>
      <c r="E154" s="115"/>
      <c r="F154" s="196">
        <f aca="true" t="shared" si="45" ref="F154:F165">C154+D154+E154</f>
        <v>3350.7</v>
      </c>
      <c r="G154" s="88"/>
      <c r="H154" s="7"/>
      <c r="I154" s="74">
        <f>F154+G154+H154</f>
        <v>3350.7</v>
      </c>
      <c r="J154" s="232"/>
      <c r="K154" s="7"/>
      <c r="L154" s="74">
        <f>I154+J154+K154</f>
        <v>3350.7</v>
      </c>
      <c r="M154" s="31"/>
      <c r="N154" s="7"/>
      <c r="O154" s="23">
        <f>L154+M154+N154</f>
        <v>3350.7</v>
      </c>
      <c r="P154" s="82"/>
      <c r="Q154" s="80">
        <f>O154+P154</f>
        <v>3350.7</v>
      </c>
    </row>
    <row r="155" spans="1:17" ht="12.75">
      <c r="A155" s="100" t="s">
        <v>307</v>
      </c>
      <c r="B155" s="99">
        <v>2042</v>
      </c>
      <c r="C155" s="152"/>
      <c r="D155" s="115">
        <f>570.11+45.55</f>
        <v>615.66</v>
      </c>
      <c r="E155" s="115"/>
      <c r="F155" s="196">
        <f t="shared" si="45"/>
        <v>615.66</v>
      </c>
      <c r="G155" s="88"/>
      <c r="H155" s="7"/>
      <c r="I155" s="74">
        <f>F155+G155+H155</f>
        <v>615.66</v>
      </c>
      <c r="J155" s="28"/>
      <c r="K155" s="7"/>
      <c r="L155" s="74">
        <f>I155+J155+K155</f>
        <v>615.66</v>
      </c>
      <c r="M155" s="22"/>
      <c r="N155" s="7"/>
      <c r="O155" s="23">
        <f>L155+M155+N155</f>
        <v>615.66</v>
      </c>
      <c r="P155" s="82"/>
      <c r="Q155" s="80">
        <f>O155+P155</f>
        <v>615.66</v>
      </c>
    </row>
    <row r="156" spans="1:17" ht="12.75">
      <c r="A156" s="100" t="s">
        <v>308</v>
      </c>
      <c r="B156" s="99">
        <v>2045</v>
      </c>
      <c r="C156" s="152"/>
      <c r="D156" s="115">
        <f>2123.49</f>
        <v>2123.49</v>
      </c>
      <c r="E156" s="115"/>
      <c r="F156" s="196">
        <f t="shared" si="45"/>
        <v>2123.49</v>
      </c>
      <c r="G156" s="88"/>
      <c r="H156" s="7"/>
      <c r="I156" s="74"/>
      <c r="J156" s="28"/>
      <c r="K156" s="7"/>
      <c r="L156" s="74"/>
      <c r="M156" s="22"/>
      <c r="N156" s="7"/>
      <c r="O156" s="23"/>
      <c r="P156" s="82"/>
      <c r="Q156" s="80"/>
    </row>
    <row r="157" spans="1:17" ht="12.75">
      <c r="A157" s="100" t="s">
        <v>309</v>
      </c>
      <c r="B157" s="99">
        <v>2016</v>
      </c>
      <c r="C157" s="152"/>
      <c r="D157" s="115">
        <f>1476.73</f>
        <v>1476.73</v>
      </c>
      <c r="E157" s="115"/>
      <c r="F157" s="196">
        <f t="shared" si="45"/>
        <v>1476.73</v>
      </c>
      <c r="G157" s="88"/>
      <c r="H157" s="7"/>
      <c r="I157" s="74"/>
      <c r="J157" s="28"/>
      <c r="K157" s="7"/>
      <c r="L157" s="74"/>
      <c r="M157" s="22"/>
      <c r="N157" s="7"/>
      <c r="O157" s="23"/>
      <c r="P157" s="82"/>
      <c r="Q157" s="80"/>
    </row>
    <row r="158" spans="1:17" ht="12.75">
      <c r="A158" s="100" t="s">
        <v>310</v>
      </c>
      <c r="B158" s="99">
        <v>2057</v>
      </c>
      <c r="C158" s="152"/>
      <c r="D158" s="115">
        <f>464.67</f>
        <v>464.67</v>
      </c>
      <c r="E158" s="115"/>
      <c r="F158" s="196">
        <f t="shared" si="45"/>
        <v>464.67</v>
      </c>
      <c r="G158" s="88"/>
      <c r="H158" s="7"/>
      <c r="I158" s="74"/>
      <c r="J158" s="28"/>
      <c r="K158" s="7"/>
      <c r="L158" s="74"/>
      <c r="M158" s="22"/>
      <c r="N158" s="7"/>
      <c r="O158" s="23"/>
      <c r="P158" s="82"/>
      <c r="Q158" s="80"/>
    </row>
    <row r="159" spans="1:17" ht="12.75">
      <c r="A159" s="44" t="s">
        <v>311</v>
      </c>
      <c r="B159" s="99">
        <v>2064</v>
      </c>
      <c r="C159" s="152"/>
      <c r="D159" s="115">
        <f>2583.81</f>
        <v>2583.81</v>
      </c>
      <c r="E159" s="115"/>
      <c r="F159" s="196">
        <f t="shared" si="45"/>
        <v>2583.81</v>
      </c>
      <c r="G159" s="88"/>
      <c r="H159" s="7"/>
      <c r="I159" s="74"/>
      <c r="J159" s="28"/>
      <c r="K159" s="7"/>
      <c r="L159" s="74"/>
      <c r="M159" s="22"/>
      <c r="N159" s="7"/>
      <c r="O159" s="23"/>
      <c r="P159" s="82"/>
      <c r="Q159" s="80"/>
    </row>
    <row r="160" spans="1:17" ht="12.75">
      <c r="A160" s="100" t="s">
        <v>302</v>
      </c>
      <c r="B160" s="99"/>
      <c r="C160" s="152"/>
      <c r="D160" s="115">
        <f>1017.81</f>
        <v>1017.81</v>
      </c>
      <c r="E160" s="115"/>
      <c r="F160" s="196">
        <f t="shared" si="45"/>
        <v>1017.81</v>
      </c>
      <c r="G160" s="88"/>
      <c r="H160" s="7"/>
      <c r="I160" s="74"/>
      <c r="J160" s="28"/>
      <c r="K160" s="7"/>
      <c r="L160" s="74"/>
      <c r="M160" s="22"/>
      <c r="N160" s="7"/>
      <c r="O160" s="23"/>
      <c r="P160" s="82"/>
      <c r="Q160" s="80"/>
    </row>
    <row r="161" spans="1:17" ht="12.75">
      <c r="A161" s="44" t="s">
        <v>329</v>
      </c>
      <c r="B161" s="99">
        <v>2067</v>
      </c>
      <c r="C161" s="152"/>
      <c r="D161" s="115">
        <f>918.88</f>
        <v>918.88</v>
      </c>
      <c r="E161" s="115"/>
      <c r="F161" s="196">
        <f t="shared" si="45"/>
        <v>918.88</v>
      </c>
      <c r="G161" s="88"/>
      <c r="H161" s="7"/>
      <c r="I161" s="74"/>
      <c r="J161" s="28"/>
      <c r="K161" s="7"/>
      <c r="L161" s="74"/>
      <c r="M161" s="22"/>
      <c r="N161" s="7"/>
      <c r="O161" s="23"/>
      <c r="P161" s="82"/>
      <c r="Q161" s="80"/>
    </row>
    <row r="162" spans="1:17" ht="12.75">
      <c r="A162" s="44" t="s">
        <v>330</v>
      </c>
      <c r="B162" s="99">
        <v>2074</v>
      </c>
      <c r="C162" s="152"/>
      <c r="D162" s="115">
        <f>2007.86</f>
        <v>2007.86</v>
      </c>
      <c r="E162" s="115"/>
      <c r="F162" s="196">
        <f t="shared" si="45"/>
        <v>2007.86</v>
      </c>
      <c r="G162" s="88"/>
      <c r="H162" s="7"/>
      <c r="I162" s="74"/>
      <c r="J162" s="28"/>
      <c r="K162" s="7"/>
      <c r="L162" s="74"/>
      <c r="M162" s="22"/>
      <c r="N162" s="7"/>
      <c r="O162" s="23"/>
      <c r="P162" s="82"/>
      <c r="Q162" s="80"/>
    </row>
    <row r="163" spans="1:17" ht="12.75">
      <c r="A163" s="100" t="s">
        <v>312</v>
      </c>
      <c r="B163" s="99"/>
      <c r="C163" s="152"/>
      <c r="D163" s="115">
        <f>7.72</f>
        <v>7.72</v>
      </c>
      <c r="E163" s="115"/>
      <c r="F163" s="196">
        <f t="shared" si="45"/>
        <v>7.72</v>
      </c>
      <c r="G163" s="88"/>
      <c r="H163" s="7"/>
      <c r="I163" s="74"/>
      <c r="J163" s="28"/>
      <c r="K163" s="7"/>
      <c r="L163" s="74"/>
      <c r="M163" s="22"/>
      <c r="N163" s="7"/>
      <c r="O163" s="23"/>
      <c r="P163" s="82"/>
      <c r="Q163" s="80"/>
    </row>
    <row r="164" spans="1:17" ht="12.75" hidden="1">
      <c r="A164" s="100" t="s">
        <v>313</v>
      </c>
      <c r="B164" s="99">
        <v>2058</v>
      </c>
      <c r="C164" s="152"/>
      <c r="D164" s="115"/>
      <c r="E164" s="115"/>
      <c r="F164" s="196">
        <f t="shared" si="45"/>
        <v>0</v>
      </c>
      <c r="G164" s="88"/>
      <c r="H164" s="7"/>
      <c r="I164" s="74"/>
      <c r="J164" s="28"/>
      <c r="K164" s="7"/>
      <c r="L164" s="74"/>
      <c r="M164" s="22"/>
      <c r="N164" s="7"/>
      <c r="O164" s="23"/>
      <c r="P164" s="82"/>
      <c r="Q164" s="80"/>
    </row>
    <row r="165" spans="1:17" ht="12.75">
      <c r="A165" s="35" t="s">
        <v>88</v>
      </c>
      <c r="B165" s="99"/>
      <c r="C165" s="152">
        <v>1164</v>
      </c>
      <c r="D165" s="115">
        <f>140.48+264.99+1361.51+3061.14+262.21+4051.42+105+3357.5+2.4</f>
        <v>12606.65</v>
      </c>
      <c r="E165" s="115"/>
      <c r="F165" s="196">
        <f t="shared" si="45"/>
        <v>13770.65</v>
      </c>
      <c r="G165" s="88"/>
      <c r="H165" s="7"/>
      <c r="I165" s="74"/>
      <c r="J165" s="28"/>
      <c r="K165" s="7"/>
      <c r="L165" s="74"/>
      <c r="M165" s="22"/>
      <c r="N165" s="7"/>
      <c r="O165" s="23"/>
      <c r="P165" s="82"/>
      <c r="Q165" s="80"/>
    </row>
    <row r="166" spans="1:17" ht="12.75">
      <c r="A166" s="42" t="s">
        <v>61</v>
      </c>
      <c r="B166" s="103"/>
      <c r="C166" s="181">
        <f>SUM(C168:C173)</f>
        <v>0</v>
      </c>
      <c r="D166" s="125">
        <f aca="true" t="shared" si="46" ref="D166:Q166">SUM(D168:D173)</f>
        <v>113829.43000000001</v>
      </c>
      <c r="E166" s="125">
        <f t="shared" si="46"/>
        <v>0</v>
      </c>
      <c r="F166" s="201">
        <f t="shared" si="46"/>
        <v>113829.43000000001</v>
      </c>
      <c r="G166" s="218">
        <f t="shared" si="46"/>
        <v>0</v>
      </c>
      <c r="H166" s="125">
        <f t="shared" si="46"/>
        <v>0</v>
      </c>
      <c r="I166" s="171">
        <f t="shared" si="46"/>
        <v>6155</v>
      </c>
      <c r="J166" s="181">
        <f t="shared" si="46"/>
        <v>0</v>
      </c>
      <c r="K166" s="125">
        <f t="shared" si="46"/>
        <v>0</v>
      </c>
      <c r="L166" s="171">
        <f t="shared" si="46"/>
        <v>6155</v>
      </c>
      <c r="M166" s="124">
        <f t="shared" si="46"/>
        <v>0</v>
      </c>
      <c r="N166" s="124">
        <f t="shared" si="46"/>
        <v>0</v>
      </c>
      <c r="O166" s="124">
        <f t="shared" si="46"/>
        <v>6155</v>
      </c>
      <c r="P166" s="124">
        <f t="shared" si="46"/>
        <v>0</v>
      </c>
      <c r="Q166" s="253">
        <f t="shared" si="46"/>
        <v>6155</v>
      </c>
    </row>
    <row r="167" spans="1:17" ht="12.75">
      <c r="A167" s="44" t="s">
        <v>27</v>
      </c>
      <c r="B167" s="99"/>
      <c r="C167" s="152"/>
      <c r="D167" s="115"/>
      <c r="E167" s="115"/>
      <c r="F167" s="196"/>
      <c r="G167" s="88"/>
      <c r="H167" s="7"/>
      <c r="I167" s="74"/>
      <c r="J167" s="28"/>
      <c r="K167" s="7"/>
      <c r="L167" s="74"/>
      <c r="M167" s="22"/>
      <c r="N167" s="7"/>
      <c r="O167" s="23"/>
      <c r="P167" s="82"/>
      <c r="Q167" s="80"/>
    </row>
    <row r="168" spans="1:17" ht="12.75">
      <c r="A168" s="100" t="s">
        <v>314</v>
      </c>
      <c r="B168" s="99">
        <v>2057</v>
      </c>
      <c r="C168" s="152"/>
      <c r="D168" s="115">
        <f>5228</f>
        <v>5228</v>
      </c>
      <c r="E168" s="115"/>
      <c r="F168" s="196">
        <f aca="true" t="shared" si="47" ref="F168:F173">C168+D168+E168</f>
        <v>5228</v>
      </c>
      <c r="G168" s="88"/>
      <c r="H168" s="7"/>
      <c r="I168" s="74">
        <f>F168+G168+H168</f>
        <v>5228</v>
      </c>
      <c r="J168" s="28"/>
      <c r="K168" s="7"/>
      <c r="L168" s="74">
        <f>I168+J168+K168</f>
        <v>5228</v>
      </c>
      <c r="M168" s="22"/>
      <c r="N168" s="7"/>
      <c r="O168" s="23">
        <f>L168+M168+N168</f>
        <v>5228</v>
      </c>
      <c r="P168" s="82"/>
      <c r="Q168" s="80">
        <f aca="true" t="shared" si="48" ref="Q168:Q219">O168+P168</f>
        <v>5228</v>
      </c>
    </row>
    <row r="169" spans="1:17" ht="12.75">
      <c r="A169" s="44" t="s">
        <v>311</v>
      </c>
      <c r="B169" s="99">
        <v>2064</v>
      </c>
      <c r="C169" s="152"/>
      <c r="D169" s="115">
        <v>77636.19</v>
      </c>
      <c r="E169" s="115"/>
      <c r="F169" s="196">
        <f t="shared" si="47"/>
        <v>77636.19</v>
      </c>
      <c r="G169" s="88"/>
      <c r="H169" s="7"/>
      <c r="I169" s="74"/>
      <c r="J169" s="28"/>
      <c r="K169" s="7"/>
      <c r="L169" s="74"/>
      <c r="M169" s="22"/>
      <c r="N169" s="7"/>
      <c r="O169" s="23"/>
      <c r="P169" s="82"/>
      <c r="Q169" s="80"/>
    </row>
    <row r="170" spans="1:17" ht="12.75">
      <c r="A170" s="100" t="s">
        <v>302</v>
      </c>
      <c r="B170" s="99"/>
      <c r="C170" s="152"/>
      <c r="D170" s="115">
        <f>30038.24</f>
        <v>30038.24</v>
      </c>
      <c r="E170" s="115"/>
      <c r="F170" s="196">
        <f t="shared" si="47"/>
        <v>30038.24</v>
      </c>
      <c r="G170" s="88"/>
      <c r="H170" s="7"/>
      <c r="I170" s="74"/>
      <c r="J170" s="28"/>
      <c r="K170" s="7"/>
      <c r="L170" s="74"/>
      <c r="M170" s="22"/>
      <c r="N170" s="7"/>
      <c r="O170" s="23"/>
      <c r="P170" s="82"/>
      <c r="Q170" s="80"/>
    </row>
    <row r="171" spans="1:17" ht="12.75" hidden="1">
      <c r="A171" s="35" t="s">
        <v>76</v>
      </c>
      <c r="B171" s="99"/>
      <c r="C171" s="152"/>
      <c r="D171" s="115"/>
      <c r="E171" s="115"/>
      <c r="F171" s="196">
        <f t="shared" si="47"/>
        <v>0</v>
      </c>
      <c r="G171" s="88"/>
      <c r="H171" s="7"/>
      <c r="I171" s="74">
        <f>F171+G171+H171</f>
        <v>0</v>
      </c>
      <c r="J171" s="28"/>
      <c r="K171" s="7"/>
      <c r="L171" s="74">
        <f>I171+J171+K171</f>
        <v>0</v>
      </c>
      <c r="M171" s="22"/>
      <c r="N171" s="7"/>
      <c r="O171" s="23">
        <f>L171+M171+N171</f>
        <v>0</v>
      </c>
      <c r="P171" s="82"/>
      <c r="Q171" s="80">
        <f t="shared" si="48"/>
        <v>0</v>
      </c>
    </row>
    <row r="172" spans="1:17" ht="12.75">
      <c r="A172" s="38" t="s">
        <v>62</v>
      </c>
      <c r="B172" s="102"/>
      <c r="C172" s="180"/>
      <c r="D172" s="123">
        <f>807+120</f>
        <v>927</v>
      </c>
      <c r="E172" s="123"/>
      <c r="F172" s="200">
        <f t="shared" si="47"/>
        <v>927</v>
      </c>
      <c r="G172" s="88"/>
      <c r="H172" s="7"/>
      <c r="I172" s="74">
        <f>F172+G172+H172</f>
        <v>927</v>
      </c>
      <c r="J172" s="28"/>
      <c r="K172" s="7"/>
      <c r="L172" s="74">
        <f>I172+J172+K172</f>
        <v>927</v>
      </c>
      <c r="M172" s="22"/>
      <c r="N172" s="7"/>
      <c r="O172" s="23">
        <f>L172+M172+N172</f>
        <v>927</v>
      </c>
      <c r="P172" s="82"/>
      <c r="Q172" s="80">
        <f t="shared" si="48"/>
        <v>927</v>
      </c>
    </row>
    <row r="173" spans="1:17" ht="12.75" hidden="1">
      <c r="A173" s="38" t="s">
        <v>88</v>
      </c>
      <c r="B173" s="102"/>
      <c r="C173" s="180"/>
      <c r="D173" s="123"/>
      <c r="E173" s="123"/>
      <c r="F173" s="200">
        <f t="shared" si="47"/>
        <v>0</v>
      </c>
      <c r="G173" s="219"/>
      <c r="H173" s="10"/>
      <c r="I173" s="73">
        <f>F173+G173+H173</f>
        <v>0</v>
      </c>
      <c r="J173" s="234"/>
      <c r="K173" s="10"/>
      <c r="L173" s="73">
        <f>I173+J173+K173</f>
        <v>0</v>
      </c>
      <c r="M173" s="26"/>
      <c r="N173" s="10"/>
      <c r="O173" s="27">
        <f>L173+M173+N173</f>
        <v>0</v>
      </c>
      <c r="P173" s="85"/>
      <c r="Q173" s="86">
        <f t="shared" si="48"/>
        <v>0</v>
      </c>
    </row>
    <row r="174" spans="1:17" ht="12.75">
      <c r="A174" s="32" t="s">
        <v>93</v>
      </c>
      <c r="B174" s="103"/>
      <c r="C174" s="159">
        <f aca="true" t="shared" si="49" ref="C174:Q174">C175+C211</f>
        <v>371870.46</v>
      </c>
      <c r="D174" s="114">
        <f t="shared" si="49"/>
        <v>7069090.17</v>
      </c>
      <c r="E174" s="114">
        <f t="shared" si="49"/>
        <v>0</v>
      </c>
      <c r="F174" s="174">
        <f t="shared" si="49"/>
        <v>7440960.630000001</v>
      </c>
      <c r="G174" s="160">
        <f t="shared" si="49"/>
        <v>0</v>
      </c>
      <c r="H174" s="114">
        <f t="shared" si="49"/>
        <v>0</v>
      </c>
      <c r="I174" s="142">
        <f t="shared" si="49"/>
        <v>7289096.880000002</v>
      </c>
      <c r="J174" s="159">
        <f t="shared" si="49"/>
        <v>0</v>
      </c>
      <c r="K174" s="114">
        <f t="shared" si="49"/>
        <v>0</v>
      </c>
      <c r="L174" s="142">
        <f t="shared" si="49"/>
        <v>7289096.880000002</v>
      </c>
      <c r="M174" s="113">
        <f t="shared" si="49"/>
        <v>0</v>
      </c>
      <c r="N174" s="113">
        <f t="shared" si="49"/>
        <v>0</v>
      </c>
      <c r="O174" s="113">
        <f t="shared" si="49"/>
        <v>7289096.880000002</v>
      </c>
      <c r="P174" s="113">
        <f t="shared" si="49"/>
        <v>0</v>
      </c>
      <c r="Q174" s="247">
        <f t="shared" si="49"/>
        <v>7289096.880000002</v>
      </c>
    </row>
    <row r="175" spans="1:17" ht="12.75">
      <c r="A175" s="41" t="s">
        <v>56</v>
      </c>
      <c r="B175" s="103"/>
      <c r="C175" s="179">
        <f aca="true" t="shared" si="50" ref="C175:Q175">SUM(C177:C210)</f>
        <v>371315.46</v>
      </c>
      <c r="D175" s="122">
        <f t="shared" si="50"/>
        <v>7064824.61</v>
      </c>
      <c r="E175" s="122">
        <f t="shared" si="50"/>
        <v>0</v>
      </c>
      <c r="F175" s="199">
        <f t="shared" si="50"/>
        <v>7436140.070000001</v>
      </c>
      <c r="G175" s="217">
        <f t="shared" si="50"/>
        <v>0</v>
      </c>
      <c r="H175" s="122">
        <f t="shared" si="50"/>
        <v>0</v>
      </c>
      <c r="I175" s="170">
        <f t="shared" si="50"/>
        <v>7287292.150000001</v>
      </c>
      <c r="J175" s="179">
        <f t="shared" si="50"/>
        <v>0</v>
      </c>
      <c r="K175" s="122">
        <f t="shared" si="50"/>
        <v>0</v>
      </c>
      <c r="L175" s="170">
        <f t="shared" si="50"/>
        <v>7287292.150000001</v>
      </c>
      <c r="M175" s="121">
        <f t="shared" si="50"/>
        <v>0</v>
      </c>
      <c r="N175" s="121">
        <f t="shared" si="50"/>
        <v>0</v>
      </c>
      <c r="O175" s="121">
        <f t="shared" si="50"/>
        <v>7287292.150000001</v>
      </c>
      <c r="P175" s="121">
        <f t="shared" si="50"/>
        <v>0</v>
      </c>
      <c r="Q175" s="252">
        <f t="shared" si="50"/>
        <v>7287292.150000001</v>
      </c>
    </row>
    <row r="176" spans="1:17" ht="12.75">
      <c r="A176" s="33" t="s">
        <v>27</v>
      </c>
      <c r="B176" s="99"/>
      <c r="C176" s="152"/>
      <c r="D176" s="115"/>
      <c r="E176" s="115"/>
      <c r="F176" s="196"/>
      <c r="G176" s="88"/>
      <c r="H176" s="7"/>
      <c r="I176" s="74"/>
      <c r="J176" s="28"/>
      <c r="K176" s="7"/>
      <c r="L176" s="74"/>
      <c r="M176" s="22"/>
      <c r="N176" s="7"/>
      <c r="O176" s="23"/>
      <c r="P176" s="82"/>
      <c r="Q176" s="80"/>
    </row>
    <row r="177" spans="1:17" ht="12.75">
      <c r="A177" s="39" t="s">
        <v>84</v>
      </c>
      <c r="B177" s="99"/>
      <c r="C177" s="152">
        <v>342145.78</v>
      </c>
      <c r="D177" s="115">
        <f>1000+450+19208.21</f>
        <v>20658.21</v>
      </c>
      <c r="E177" s="115"/>
      <c r="F177" s="196">
        <f aca="true" t="shared" si="51" ref="F177:F210">C177+D177+E177</f>
        <v>362803.99000000005</v>
      </c>
      <c r="G177" s="88"/>
      <c r="H177" s="7"/>
      <c r="I177" s="74">
        <f>F177+G177+H177</f>
        <v>362803.99000000005</v>
      </c>
      <c r="J177" s="28"/>
      <c r="K177" s="7"/>
      <c r="L177" s="74">
        <f>I177+J177+K177</f>
        <v>362803.99000000005</v>
      </c>
      <c r="M177" s="22"/>
      <c r="N177" s="7"/>
      <c r="O177" s="23">
        <f>L177+M177+N177</f>
        <v>362803.99000000005</v>
      </c>
      <c r="P177" s="82"/>
      <c r="Q177" s="80">
        <f t="shared" si="48"/>
        <v>362803.99000000005</v>
      </c>
    </row>
    <row r="178" spans="1:17" ht="12.75">
      <c r="A178" s="39" t="s">
        <v>256</v>
      </c>
      <c r="B178" s="99"/>
      <c r="C178" s="152"/>
      <c r="D178" s="115"/>
      <c r="E178" s="115"/>
      <c r="F178" s="196"/>
      <c r="G178" s="88"/>
      <c r="H178" s="7"/>
      <c r="I178" s="74"/>
      <c r="J178" s="28"/>
      <c r="K178" s="7"/>
      <c r="L178" s="74"/>
      <c r="M178" s="22"/>
      <c r="N178" s="7"/>
      <c r="O178" s="23"/>
      <c r="P178" s="82"/>
      <c r="Q178" s="80"/>
    </row>
    <row r="179" spans="1:17" ht="12.75">
      <c r="A179" s="39" t="s">
        <v>94</v>
      </c>
      <c r="B179" s="99">
        <v>33353</v>
      </c>
      <c r="C179" s="152"/>
      <c r="D179" s="126">
        <f>2051533.29</f>
        <v>2051533.29</v>
      </c>
      <c r="E179" s="115"/>
      <c r="F179" s="196">
        <f t="shared" si="51"/>
        <v>2051533.29</v>
      </c>
      <c r="G179" s="88"/>
      <c r="H179" s="7"/>
      <c r="I179" s="74">
        <f aca="true" t="shared" si="52" ref="I179:I210">F179+G179+H179</f>
        <v>2051533.29</v>
      </c>
      <c r="J179" s="28"/>
      <c r="K179" s="7"/>
      <c r="L179" s="74">
        <f aca="true" t="shared" si="53" ref="L179:L210">I179+J179+K179</f>
        <v>2051533.29</v>
      </c>
      <c r="M179" s="22"/>
      <c r="N179" s="7"/>
      <c r="O179" s="23">
        <f aca="true" t="shared" si="54" ref="O179:O210">L179+M179+N179</f>
        <v>2051533.29</v>
      </c>
      <c r="P179" s="82"/>
      <c r="Q179" s="80">
        <f t="shared" si="48"/>
        <v>2051533.29</v>
      </c>
    </row>
    <row r="180" spans="1:19" ht="13.5" thickBot="1">
      <c r="A180" s="262" t="s">
        <v>96</v>
      </c>
      <c r="B180" s="150">
        <v>33353</v>
      </c>
      <c r="C180" s="182"/>
      <c r="D180" s="151">
        <f>4745059.11</f>
        <v>4745059.11</v>
      </c>
      <c r="E180" s="151"/>
      <c r="F180" s="202">
        <f t="shared" si="51"/>
        <v>4745059.11</v>
      </c>
      <c r="G180" s="88"/>
      <c r="H180" s="7"/>
      <c r="I180" s="74">
        <f t="shared" si="52"/>
        <v>4745059.11</v>
      </c>
      <c r="J180" s="28"/>
      <c r="K180" s="7"/>
      <c r="L180" s="74">
        <f t="shared" si="53"/>
        <v>4745059.11</v>
      </c>
      <c r="M180" s="22"/>
      <c r="N180" s="7"/>
      <c r="O180" s="23">
        <f t="shared" si="54"/>
        <v>4745059.11</v>
      </c>
      <c r="P180" s="82"/>
      <c r="Q180" s="80">
        <f t="shared" si="48"/>
        <v>4745059.11</v>
      </c>
      <c r="S180" s="71"/>
    </row>
    <row r="181" spans="1:17" ht="12.75">
      <c r="A181" s="39" t="s">
        <v>95</v>
      </c>
      <c r="B181" s="99">
        <v>33155</v>
      </c>
      <c r="C181" s="152"/>
      <c r="D181" s="126">
        <f>82582.99</f>
        <v>82582.99</v>
      </c>
      <c r="E181" s="115"/>
      <c r="F181" s="196">
        <f t="shared" si="51"/>
        <v>82582.99</v>
      </c>
      <c r="G181" s="88"/>
      <c r="H181" s="7"/>
      <c r="I181" s="74">
        <f t="shared" si="52"/>
        <v>82582.99</v>
      </c>
      <c r="J181" s="28"/>
      <c r="K181" s="7"/>
      <c r="L181" s="74">
        <f t="shared" si="53"/>
        <v>82582.99</v>
      </c>
      <c r="M181" s="22"/>
      <c r="N181" s="7"/>
      <c r="O181" s="23">
        <f t="shared" si="54"/>
        <v>82582.99</v>
      </c>
      <c r="P181" s="82"/>
      <c r="Q181" s="80">
        <f t="shared" si="48"/>
        <v>82582.99</v>
      </c>
    </row>
    <row r="182" spans="1:17" ht="12.75" hidden="1">
      <c r="A182" s="39" t="s">
        <v>97</v>
      </c>
      <c r="B182" s="99" t="s">
        <v>240</v>
      </c>
      <c r="C182" s="152"/>
      <c r="D182" s="115"/>
      <c r="E182" s="115"/>
      <c r="F182" s="196">
        <f t="shared" si="51"/>
        <v>0</v>
      </c>
      <c r="G182" s="88"/>
      <c r="H182" s="7"/>
      <c r="I182" s="74">
        <f t="shared" si="52"/>
        <v>0</v>
      </c>
      <c r="J182" s="28"/>
      <c r="K182" s="7"/>
      <c r="L182" s="74">
        <f t="shared" si="53"/>
        <v>0</v>
      </c>
      <c r="M182" s="22"/>
      <c r="N182" s="7"/>
      <c r="O182" s="23">
        <f t="shared" si="54"/>
        <v>0</v>
      </c>
      <c r="P182" s="82"/>
      <c r="Q182" s="80">
        <f t="shared" si="48"/>
        <v>0</v>
      </c>
    </row>
    <row r="183" spans="1:17" ht="12.75" hidden="1">
      <c r="A183" s="39" t="s">
        <v>152</v>
      </c>
      <c r="B183" s="99"/>
      <c r="C183" s="152"/>
      <c r="D183" s="115"/>
      <c r="E183" s="115"/>
      <c r="F183" s="196">
        <f t="shared" si="51"/>
        <v>0</v>
      </c>
      <c r="G183" s="88"/>
      <c r="H183" s="7"/>
      <c r="I183" s="74">
        <f t="shared" si="52"/>
        <v>0</v>
      </c>
      <c r="J183" s="28"/>
      <c r="K183" s="7"/>
      <c r="L183" s="74">
        <f t="shared" si="53"/>
        <v>0</v>
      </c>
      <c r="M183" s="22"/>
      <c r="N183" s="7"/>
      <c r="O183" s="23">
        <f t="shared" si="54"/>
        <v>0</v>
      </c>
      <c r="P183" s="82"/>
      <c r="Q183" s="80">
        <f t="shared" si="48"/>
        <v>0</v>
      </c>
    </row>
    <row r="184" spans="1:17" ht="12.75" hidden="1">
      <c r="A184" s="39" t="s">
        <v>236</v>
      </c>
      <c r="B184" s="99">
        <v>33215</v>
      </c>
      <c r="C184" s="152"/>
      <c r="D184" s="115"/>
      <c r="E184" s="115"/>
      <c r="F184" s="196">
        <f t="shared" si="51"/>
        <v>0</v>
      </c>
      <c r="G184" s="88"/>
      <c r="H184" s="7"/>
      <c r="I184" s="74">
        <f t="shared" si="52"/>
        <v>0</v>
      </c>
      <c r="J184" s="28"/>
      <c r="K184" s="7"/>
      <c r="L184" s="74">
        <f t="shared" si="53"/>
        <v>0</v>
      </c>
      <c r="M184" s="22"/>
      <c r="N184" s="7"/>
      <c r="O184" s="23">
        <f t="shared" si="54"/>
        <v>0</v>
      </c>
      <c r="P184" s="82"/>
      <c r="Q184" s="80">
        <f t="shared" si="48"/>
        <v>0</v>
      </c>
    </row>
    <row r="185" spans="1:17" ht="12.75" hidden="1">
      <c r="A185" s="39" t="s">
        <v>237</v>
      </c>
      <c r="B185" s="99">
        <v>33457</v>
      </c>
      <c r="C185" s="152"/>
      <c r="D185" s="115"/>
      <c r="E185" s="115"/>
      <c r="F185" s="196">
        <f t="shared" si="51"/>
        <v>0</v>
      </c>
      <c r="G185" s="88"/>
      <c r="H185" s="7"/>
      <c r="I185" s="74">
        <f t="shared" si="52"/>
        <v>0</v>
      </c>
      <c r="J185" s="28"/>
      <c r="K185" s="7"/>
      <c r="L185" s="74">
        <f t="shared" si="53"/>
        <v>0</v>
      </c>
      <c r="M185" s="22"/>
      <c r="N185" s="7"/>
      <c r="O185" s="23">
        <f t="shared" si="54"/>
        <v>0</v>
      </c>
      <c r="P185" s="82"/>
      <c r="Q185" s="80">
        <f t="shared" si="48"/>
        <v>0</v>
      </c>
    </row>
    <row r="186" spans="1:17" ht="12.75" hidden="1">
      <c r="A186" s="57" t="s">
        <v>216</v>
      </c>
      <c r="B186" s="99">
        <v>33052</v>
      </c>
      <c r="C186" s="152"/>
      <c r="D186" s="115"/>
      <c r="E186" s="115"/>
      <c r="F186" s="196">
        <f t="shared" si="51"/>
        <v>0</v>
      </c>
      <c r="G186" s="88"/>
      <c r="H186" s="7"/>
      <c r="I186" s="74">
        <f t="shared" si="52"/>
        <v>0</v>
      </c>
      <c r="J186" s="28"/>
      <c r="K186" s="7"/>
      <c r="L186" s="74">
        <f t="shared" si="53"/>
        <v>0</v>
      </c>
      <c r="M186" s="22"/>
      <c r="N186" s="7"/>
      <c r="O186" s="23">
        <f t="shared" si="54"/>
        <v>0</v>
      </c>
      <c r="P186" s="82"/>
      <c r="Q186" s="80">
        <f t="shared" si="48"/>
        <v>0</v>
      </c>
    </row>
    <row r="187" spans="1:17" ht="12.75">
      <c r="A187" s="57" t="s">
        <v>321</v>
      </c>
      <c r="B187" s="99">
        <v>33076</v>
      </c>
      <c r="C187" s="152"/>
      <c r="D187" s="115">
        <f>114637.51</f>
        <v>114637.51</v>
      </c>
      <c r="E187" s="115"/>
      <c r="F187" s="196">
        <f t="shared" si="51"/>
        <v>114637.51</v>
      </c>
      <c r="G187" s="88"/>
      <c r="H187" s="7"/>
      <c r="I187" s="74"/>
      <c r="J187" s="28"/>
      <c r="K187" s="7"/>
      <c r="L187" s="74"/>
      <c r="M187" s="22"/>
      <c r="N187" s="7"/>
      <c r="O187" s="23"/>
      <c r="P187" s="82"/>
      <c r="Q187" s="80"/>
    </row>
    <row r="188" spans="1:17" ht="12.75">
      <c r="A188" s="57" t="s">
        <v>257</v>
      </c>
      <c r="B188" s="99">
        <v>33069</v>
      </c>
      <c r="C188" s="152"/>
      <c r="D188" s="115">
        <f>11285.15</f>
        <v>11285.15</v>
      </c>
      <c r="E188" s="115"/>
      <c r="F188" s="196">
        <f t="shared" si="51"/>
        <v>11285.15</v>
      </c>
      <c r="G188" s="88"/>
      <c r="H188" s="7"/>
      <c r="I188" s="74"/>
      <c r="J188" s="28"/>
      <c r="K188" s="7"/>
      <c r="L188" s="74"/>
      <c r="M188" s="22"/>
      <c r="N188" s="7"/>
      <c r="O188" s="23"/>
      <c r="P188" s="82"/>
      <c r="Q188" s="80"/>
    </row>
    <row r="189" spans="1:17" ht="12.75">
      <c r="A189" s="57" t="s">
        <v>297</v>
      </c>
      <c r="B189" s="99">
        <v>33070</v>
      </c>
      <c r="C189" s="152"/>
      <c r="D189" s="115">
        <f>2348.06</f>
        <v>2348.06</v>
      </c>
      <c r="E189" s="115"/>
      <c r="F189" s="196">
        <f t="shared" si="51"/>
        <v>2348.06</v>
      </c>
      <c r="G189" s="88"/>
      <c r="H189" s="7"/>
      <c r="I189" s="74"/>
      <c r="J189" s="28"/>
      <c r="K189" s="7"/>
      <c r="L189" s="74"/>
      <c r="M189" s="22"/>
      <c r="N189" s="7"/>
      <c r="O189" s="23"/>
      <c r="P189" s="82"/>
      <c r="Q189" s="80"/>
    </row>
    <row r="190" spans="1:17" ht="12.75">
      <c r="A190" s="39" t="s">
        <v>289</v>
      </c>
      <c r="B190" s="99">
        <v>33071</v>
      </c>
      <c r="C190" s="152"/>
      <c r="D190" s="115">
        <f>612.5</f>
        <v>612.5</v>
      </c>
      <c r="E190" s="115"/>
      <c r="F190" s="196">
        <f t="shared" si="51"/>
        <v>612.5</v>
      </c>
      <c r="G190" s="88"/>
      <c r="H190" s="7"/>
      <c r="I190" s="74">
        <f t="shared" si="52"/>
        <v>612.5</v>
      </c>
      <c r="J190" s="28"/>
      <c r="K190" s="7"/>
      <c r="L190" s="74">
        <f t="shared" si="53"/>
        <v>612.5</v>
      </c>
      <c r="M190" s="22"/>
      <c r="N190" s="7"/>
      <c r="O190" s="23">
        <f t="shared" si="54"/>
        <v>612.5</v>
      </c>
      <c r="P190" s="82"/>
      <c r="Q190" s="80">
        <f t="shared" si="48"/>
        <v>612.5</v>
      </c>
    </row>
    <row r="191" spans="1:17" ht="12.75" hidden="1">
      <c r="A191" s="39" t="s">
        <v>217</v>
      </c>
      <c r="B191" s="99">
        <v>33050</v>
      </c>
      <c r="C191" s="152"/>
      <c r="D191" s="115"/>
      <c r="E191" s="115"/>
      <c r="F191" s="196">
        <f t="shared" si="51"/>
        <v>0</v>
      </c>
      <c r="G191" s="88"/>
      <c r="H191" s="7"/>
      <c r="I191" s="74"/>
      <c r="J191" s="28"/>
      <c r="K191" s="7"/>
      <c r="L191" s="74">
        <f t="shared" si="53"/>
        <v>0</v>
      </c>
      <c r="M191" s="22"/>
      <c r="N191" s="7"/>
      <c r="O191" s="23">
        <f t="shared" si="54"/>
        <v>0</v>
      </c>
      <c r="P191" s="82"/>
      <c r="Q191" s="80">
        <f t="shared" si="48"/>
        <v>0</v>
      </c>
    </row>
    <row r="192" spans="1:17" ht="12.75" hidden="1">
      <c r="A192" s="39" t="s">
        <v>164</v>
      </c>
      <c r="B192" s="99">
        <v>33435</v>
      </c>
      <c r="C192" s="152"/>
      <c r="D192" s="115"/>
      <c r="E192" s="115"/>
      <c r="F192" s="196">
        <f t="shared" si="51"/>
        <v>0</v>
      </c>
      <c r="G192" s="88"/>
      <c r="H192" s="7"/>
      <c r="I192" s="74">
        <f t="shared" si="52"/>
        <v>0</v>
      </c>
      <c r="J192" s="28"/>
      <c r="K192" s="7"/>
      <c r="L192" s="74">
        <f t="shared" si="53"/>
        <v>0</v>
      </c>
      <c r="M192" s="22"/>
      <c r="N192" s="7"/>
      <c r="O192" s="23">
        <f t="shared" si="54"/>
        <v>0</v>
      </c>
      <c r="P192" s="82"/>
      <c r="Q192" s="80">
        <f t="shared" si="48"/>
        <v>0</v>
      </c>
    </row>
    <row r="193" spans="1:17" ht="12.75" hidden="1">
      <c r="A193" s="39" t="s">
        <v>243</v>
      </c>
      <c r="B193" s="99">
        <v>33049</v>
      </c>
      <c r="C193" s="152"/>
      <c r="D193" s="115"/>
      <c r="E193" s="115"/>
      <c r="F193" s="196">
        <f t="shared" si="51"/>
        <v>0</v>
      </c>
      <c r="G193" s="88"/>
      <c r="H193" s="7"/>
      <c r="I193" s="74"/>
      <c r="J193" s="28"/>
      <c r="K193" s="7"/>
      <c r="L193" s="74"/>
      <c r="M193" s="22"/>
      <c r="N193" s="7"/>
      <c r="O193" s="23"/>
      <c r="P193" s="82"/>
      <c r="Q193" s="80"/>
    </row>
    <row r="194" spans="1:17" ht="12.75" hidden="1">
      <c r="A194" s="39" t="s">
        <v>218</v>
      </c>
      <c r="B194" s="99">
        <v>33044</v>
      </c>
      <c r="C194" s="152"/>
      <c r="D194" s="115"/>
      <c r="E194" s="115"/>
      <c r="F194" s="196">
        <f t="shared" si="51"/>
        <v>0</v>
      </c>
      <c r="G194" s="88"/>
      <c r="H194" s="7"/>
      <c r="I194" s="74"/>
      <c r="J194" s="28"/>
      <c r="K194" s="7"/>
      <c r="L194" s="74">
        <f t="shared" si="53"/>
        <v>0</v>
      </c>
      <c r="M194" s="22"/>
      <c r="N194" s="7"/>
      <c r="O194" s="23">
        <f t="shared" si="54"/>
        <v>0</v>
      </c>
      <c r="P194" s="82"/>
      <c r="Q194" s="80">
        <f t="shared" si="48"/>
        <v>0</v>
      </c>
    </row>
    <row r="195" spans="1:17" ht="12.75" hidden="1">
      <c r="A195" s="39" t="s">
        <v>224</v>
      </c>
      <c r="B195" s="99">
        <v>33024</v>
      </c>
      <c r="C195" s="152"/>
      <c r="D195" s="115"/>
      <c r="E195" s="115"/>
      <c r="F195" s="196">
        <f t="shared" si="51"/>
        <v>0</v>
      </c>
      <c r="G195" s="88"/>
      <c r="H195" s="7"/>
      <c r="I195" s="74"/>
      <c r="J195" s="28"/>
      <c r="K195" s="7"/>
      <c r="L195" s="74"/>
      <c r="M195" s="22"/>
      <c r="N195" s="7"/>
      <c r="O195" s="23"/>
      <c r="P195" s="82"/>
      <c r="Q195" s="80"/>
    </row>
    <row r="196" spans="1:17" ht="12.75" hidden="1">
      <c r="A196" s="57" t="s">
        <v>169</v>
      </c>
      <c r="B196" s="99">
        <v>33018</v>
      </c>
      <c r="C196" s="152"/>
      <c r="D196" s="115"/>
      <c r="E196" s="115"/>
      <c r="F196" s="196">
        <f t="shared" si="51"/>
        <v>0</v>
      </c>
      <c r="G196" s="88"/>
      <c r="H196" s="7"/>
      <c r="I196" s="74"/>
      <c r="J196" s="28"/>
      <c r="K196" s="7"/>
      <c r="L196" s="74">
        <f t="shared" si="53"/>
        <v>0</v>
      </c>
      <c r="M196" s="22"/>
      <c r="N196" s="7"/>
      <c r="O196" s="23">
        <f t="shared" si="54"/>
        <v>0</v>
      </c>
      <c r="P196" s="82"/>
      <c r="Q196" s="80">
        <f t="shared" si="48"/>
        <v>0</v>
      </c>
    </row>
    <row r="197" spans="1:17" ht="12.75" hidden="1">
      <c r="A197" s="37" t="s">
        <v>170</v>
      </c>
      <c r="B197" s="99"/>
      <c r="C197" s="152"/>
      <c r="D197" s="115"/>
      <c r="E197" s="115"/>
      <c r="F197" s="196">
        <f t="shared" si="51"/>
        <v>0</v>
      </c>
      <c r="G197" s="88"/>
      <c r="H197" s="7"/>
      <c r="I197" s="74"/>
      <c r="J197" s="28"/>
      <c r="K197" s="7"/>
      <c r="L197" s="74">
        <f t="shared" si="53"/>
        <v>0</v>
      </c>
      <c r="M197" s="22"/>
      <c r="N197" s="7"/>
      <c r="O197" s="23">
        <f t="shared" si="54"/>
        <v>0</v>
      </c>
      <c r="P197" s="82"/>
      <c r="Q197" s="80">
        <f t="shared" si="48"/>
        <v>0</v>
      </c>
    </row>
    <row r="198" spans="1:17" ht="12.75" hidden="1">
      <c r="A198" s="57" t="s">
        <v>195</v>
      </c>
      <c r="B198" s="99">
        <v>33160</v>
      </c>
      <c r="C198" s="152"/>
      <c r="D198" s="115"/>
      <c r="E198" s="115"/>
      <c r="F198" s="196">
        <f t="shared" si="51"/>
        <v>0</v>
      </c>
      <c r="G198" s="88"/>
      <c r="H198" s="7"/>
      <c r="I198" s="74">
        <f t="shared" si="52"/>
        <v>0</v>
      </c>
      <c r="J198" s="28"/>
      <c r="K198" s="7"/>
      <c r="L198" s="74">
        <f t="shared" si="53"/>
        <v>0</v>
      </c>
      <c r="M198" s="22"/>
      <c r="N198" s="7"/>
      <c r="O198" s="23">
        <f t="shared" si="54"/>
        <v>0</v>
      </c>
      <c r="P198" s="82"/>
      <c r="Q198" s="80">
        <f t="shared" si="48"/>
        <v>0</v>
      </c>
    </row>
    <row r="199" spans="1:17" ht="12.75" hidden="1">
      <c r="A199" s="39" t="s">
        <v>157</v>
      </c>
      <c r="B199" s="99"/>
      <c r="C199" s="152"/>
      <c r="D199" s="115"/>
      <c r="E199" s="115"/>
      <c r="F199" s="196">
        <f t="shared" si="51"/>
        <v>0</v>
      </c>
      <c r="G199" s="88"/>
      <c r="H199" s="7"/>
      <c r="I199" s="74">
        <f t="shared" si="52"/>
        <v>0</v>
      </c>
      <c r="J199" s="28"/>
      <c r="K199" s="7"/>
      <c r="L199" s="74">
        <f t="shared" si="53"/>
        <v>0</v>
      </c>
      <c r="M199" s="22"/>
      <c r="N199" s="7"/>
      <c r="O199" s="23">
        <f t="shared" si="54"/>
        <v>0</v>
      </c>
      <c r="P199" s="82"/>
      <c r="Q199" s="80">
        <f t="shared" si="48"/>
        <v>0</v>
      </c>
    </row>
    <row r="200" spans="1:17" ht="12.75" hidden="1">
      <c r="A200" s="57" t="s">
        <v>147</v>
      </c>
      <c r="B200" s="99"/>
      <c r="C200" s="152"/>
      <c r="D200" s="115"/>
      <c r="E200" s="115"/>
      <c r="F200" s="196">
        <f t="shared" si="51"/>
        <v>0</v>
      </c>
      <c r="G200" s="88"/>
      <c r="H200" s="7"/>
      <c r="I200" s="74">
        <f t="shared" si="52"/>
        <v>0</v>
      </c>
      <c r="J200" s="28"/>
      <c r="K200" s="7"/>
      <c r="L200" s="74">
        <f t="shared" si="53"/>
        <v>0</v>
      </c>
      <c r="M200" s="22"/>
      <c r="N200" s="7"/>
      <c r="O200" s="23">
        <f t="shared" si="54"/>
        <v>0</v>
      </c>
      <c r="P200" s="82"/>
      <c r="Q200" s="80">
        <f t="shared" si="48"/>
        <v>0</v>
      </c>
    </row>
    <row r="201" spans="1:17" ht="12.75" hidden="1">
      <c r="A201" s="57" t="s">
        <v>156</v>
      </c>
      <c r="B201" s="99"/>
      <c r="C201" s="152"/>
      <c r="D201" s="115"/>
      <c r="E201" s="115"/>
      <c r="F201" s="196">
        <f t="shared" si="51"/>
        <v>0</v>
      </c>
      <c r="G201" s="88"/>
      <c r="H201" s="7"/>
      <c r="I201" s="74">
        <f t="shared" si="52"/>
        <v>0</v>
      </c>
      <c r="J201" s="28"/>
      <c r="K201" s="7"/>
      <c r="L201" s="74">
        <f t="shared" si="53"/>
        <v>0</v>
      </c>
      <c r="M201" s="22"/>
      <c r="N201" s="7"/>
      <c r="O201" s="23">
        <f t="shared" si="54"/>
        <v>0</v>
      </c>
      <c r="P201" s="82"/>
      <c r="Q201" s="80">
        <f t="shared" si="48"/>
        <v>0</v>
      </c>
    </row>
    <row r="202" spans="1:17" ht="12.75" hidden="1">
      <c r="A202" s="39" t="s">
        <v>98</v>
      </c>
      <c r="B202" s="99">
        <v>33025</v>
      </c>
      <c r="C202" s="152"/>
      <c r="D202" s="115"/>
      <c r="E202" s="115"/>
      <c r="F202" s="196">
        <f t="shared" si="51"/>
        <v>0</v>
      </c>
      <c r="G202" s="88"/>
      <c r="H202" s="7"/>
      <c r="I202" s="74">
        <f t="shared" si="52"/>
        <v>0</v>
      </c>
      <c r="J202" s="28"/>
      <c r="K202" s="7"/>
      <c r="L202" s="74">
        <f t="shared" si="53"/>
        <v>0</v>
      </c>
      <c r="M202" s="22"/>
      <c r="N202" s="7"/>
      <c r="O202" s="23">
        <f t="shared" si="54"/>
        <v>0</v>
      </c>
      <c r="P202" s="82"/>
      <c r="Q202" s="80">
        <f t="shared" si="48"/>
        <v>0</v>
      </c>
    </row>
    <row r="203" spans="1:17" ht="12.75" hidden="1">
      <c r="A203" s="39" t="s">
        <v>179</v>
      </c>
      <c r="B203" s="99">
        <v>33038</v>
      </c>
      <c r="C203" s="152"/>
      <c r="D203" s="115"/>
      <c r="E203" s="115"/>
      <c r="F203" s="196">
        <f t="shared" si="51"/>
        <v>0</v>
      </c>
      <c r="G203" s="88"/>
      <c r="H203" s="7"/>
      <c r="I203" s="74">
        <f t="shared" si="52"/>
        <v>0</v>
      </c>
      <c r="J203" s="28"/>
      <c r="K203" s="7"/>
      <c r="L203" s="74">
        <f t="shared" si="53"/>
        <v>0</v>
      </c>
      <c r="M203" s="22"/>
      <c r="N203" s="7"/>
      <c r="O203" s="23">
        <f t="shared" si="54"/>
        <v>0</v>
      </c>
      <c r="P203" s="82"/>
      <c r="Q203" s="80">
        <f t="shared" si="48"/>
        <v>0</v>
      </c>
    </row>
    <row r="204" spans="1:17" ht="12.75">
      <c r="A204" s="39" t="s">
        <v>322</v>
      </c>
      <c r="B204" s="99">
        <v>33063</v>
      </c>
      <c r="C204" s="152"/>
      <c r="D204" s="115">
        <f>445.26+568.9+104.38+1500</f>
        <v>2618.54</v>
      </c>
      <c r="E204" s="115"/>
      <c r="F204" s="196">
        <f t="shared" si="51"/>
        <v>2618.54</v>
      </c>
      <c r="G204" s="88"/>
      <c r="H204" s="7"/>
      <c r="I204" s="74"/>
      <c r="J204" s="28"/>
      <c r="K204" s="7"/>
      <c r="L204" s="74"/>
      <c r="M204" s="22"/>
      <c r="N204" s="7"/>
      <c r="O204" s="23"/>
      <c r="P204" s="82"/>
      <c r="Q204" s="80"/>
    </row>
    <row r="205" spans="1:17" ht="12.75" hidden="1">
      <c r="A205" s="39" t="s">
        <v>303</v>
      </c>
      <c r="B205" s="99" t="s">
        <v>304</v>
      </c>
      <c r="C205" s="152"/>
      <c r="D205" s="115"/>
      <c r="E205" s="115"/>
      <c r="F205" s="196">
        <f t="shared" si="51"/>
        <v>0</v>
      </c>
      <c r="G205" s="88"/>
      <c r="H205" s="7"/>
      <c r="I205" s="74"/>
      <c r="J205" s="28"/>
      <c r="K205" s="7"/>
      <c r="L205" s="74"/>
      <c r="M205" s="22"/>
      <c r="N205" s="7"/>
      <c r="O205" s="23"/>
      <c r="P205" s="82"/>
      <c r="Q205" s="80"/>
    </row>
    <row r="206" spans="1:17" ht="12.75">
      <c r="A206" s="39" t="s">
        <v>315</v>
      </c>
      <c r="B206" s="99">
        <v>2054</v>
      </c>
      <c r="C206" s="152"/>
      <c r="D206" s="115">
        <f>858.66</f>
        <v>858.66</v>
      </c>
      <c r="E206" s="115"/>
      <c r="F206" s="196">
        <f t="shared" si="51"/>
        <v>858.66</v>
      </c>
      <c r="G206" s="88"/>
      <c r="H206" s="7"/>
      <c r="I206" s="74"/>
      <c r="J206" s="28"/>
      <c r="K206" s="7"/>
      <c r="L206" s="74"/>
      <c r="M206" s="22"/>
      <c r="N206" s="7"/>
      <c r="O206" s="23"/>
      <c r="P206" s="82"/>
      <c r="Q206" s="80"/>
    </row>
    <row r="207" spans="1:17" ht="12.75">
      <c r="A207" s="39" t="s">
        <v>316</v>
      </c>
      <c r="B207" s="99"/>
      <c r="C207" s="152"/>
      <c r="D207" s="115">
        <f>15.79</f>
        <v>15.79</v>
      </c>
      <c r="E207" s="115"/>
      <c r="F207" s="196">
        <f t="shared" si="51"/>
        <v>15.79</v>
      </c>
      <c r="G207" s="88"/>
      <c r="H207" s="7"/>
      <c r="I207" s="74">
        <f t="shared" si="52"/>
        <v>15.79</v>
      </c>
      <c r="J207" s="28"/>
      <c r="K207" s="7"/>
      <c r="L207" s="74">
        <f t="shared" si="53"/>
        <v>15.79</v>
      </c>
      <c r="M207" s="22"/>
      <c r="N207" s="7"/>
      <c r="O207" s="23">
        <f t="shared" si="54"/>
        <v>15.79</v>
      </c>
      <c r="P207" s="82"/>
      <c r="Q207" s="80">
        <f t="shared" si="48"/>
        <v>15.79</v>
      </c>
    </row>
    <row r="208" spans="1:17" ht="12.75">
      <c r="A208" s="39" t="s">
        <v>335</v>
      </c>
      <c r="B208" s="99"/>
      <c r="C208" s="152"/>
      <c r="D208" s="115">
        <f>17100</f>
        <v>17100</v>
      </c>
      <c r="E208" s="115"/>
      <c r="F208" s="196">
        <f t="shared" si="51"/>
        <v>17100</v>
      </c>
      <c r="G208" s="88"/>
      <c r="H208" s="7"/>
      <c r="I208" s="74"/>
      <c r="J208" s="28"/>
      <c r="K208" s="7"/>
      <c r="L208" s="74"/>
      <c r="M208" s="22"/>
      <c r="N208" s="7"/>
      <c r="O208" s="23"/>
      <c r="P208" s="82"/>
      <c r="Q208" s="80"/>
    </row>
    <row r="209" spans="1:17" ht="12.75">
      <c r="A209" s="39" t="s">
        <v>87</v>
      </c>
      <c r="B209" s="239" t="s">
        <v>300</v>
      </c>
      <c r="C209" s="152"/>
      <c r="D209" s="115">
        <f>2247.75+3424.25+643.14+7183.85</f>
        <v>13498.990000000002</v>
      </c>
      <c r="E209" s="115"/>
      <c r="F209" s="196">
        <f t="shared" si="51"/>
        <v>13498.990000000002</v>
      </c>
      <c r="G209" s="88"/>
      <c r="H209" s="7"/>
      <c r="I209" s="74">
        <f t="shared" si="52"/>
        <v>13498.990000000002</v>
      </c>
      <c r="J209" s="28"/>
      <c r="K209" s="7"/>
      <c r="L209" s="74">
        <f t="shared" si="53"/>
        <v>13498.990000000002</v>
      </c>
      <c r="M209" s="31"/>
      <c r="N209" s="7"/>
      <c r="O209" s="23">
        <f t="shared" si="54"/>
        <v>13498.990000000002</v>
      </c>
      <c r="P209" s="82"/>
      <c r="Q209" s="80">
        <f t="shared" si="48"/>
        <v>13498.990000000002</v>
      </c>
    </row>
    <row r="210" spans="1:17" ht="12.75">
      <c r="A210" s="39" t="s">
        <v>58</v>
      </c>
      <c r="B210" s="99"/>
      <c r="C210" s="152">
        <v>29169.68</v>
      </c>
      <c r="D210" s="115">
        <f>830.69+17566-16380.88</f>
        <v>2015.8099999999995</v>
      </c>
      <c r="E210" s="115"/>
      <c r="F210" s="196">
        <f t="shared" si="51"/>
        <v>31185.489999999998</v>
      </c>
      <c r="G210" s="88"/>
      <c r="H210" s="7"/>
      <c r="I210" s="74">
        <f t="shared" si="52"/>
        <v>31185.489999999998</v>
      </c>
      <c r="J210" s="28"/>
      <c r="K210" s="7"/>
      <c r="L210" s="74">
        <f t="shared" si="53"/>
        <v>31185.489999999998</v>
      </c>
      <c r="M210" s="31"/>
      <c r="N210" s="7"/>
      <c r="O210" s="23">
        <f t="shared" si="54"/>
        <v>31185.489999999998</v>
      </c>
      <c r="P210" s="82"/>
      <c r="Q210" s="80">
        <f t="shared" si="48"/>
        <v>31185.489999999998</v>
      </c>
    </row>
    <row r="211" spans="1:17" ht="12.75">
      <c r="A211" s="42" t="s">
        <v>61</v>
      </c>
      <c r="B211" s="103"/>
      <c r="C211" s="181">
        <f>SUM(C213:C219)</f>
        <v>555</v>
      </c>
      <c r="D211" s="125">
        <f aca="true" t="shared" si="55" ref="D211:Q211">SUM(D213:D219)</f>
        <v>4265.56</v>
      </c>
      <c r="E211" s="125">
        <f t="shared" si="55"/>
        <v>0</v>
      </c>
      <c r="F211" s="201">
        <f t="shared" si="55"/>
        <v>4820.56</v>
      </c>
      <c r="G211" s="218">
        <f t="shared" si="55"/>
        <v>0</v>
      </c>
      <c r="H211" s="125">
        <f t="shared" si="55"/>
        <v>0</v>
      </c>
      <c r="I211" s="171">
        <f t="shared" si="55"/>
        <v>1804.73</v>
      </c>
      <c r="J211" s="181">
        <f t="shared" si="55"/>
        <v>0</v>
      </c>
      <c r="K211" s="125">
        <f t="shared" si="55"/>
        <v>0</v>
      </c>
      <c r="L211" s="171">
        <f t="shared" si="55"/>
        <v>1804.73</v>
      </c>
      <c r="M211" s="124">
        <f t="shared" si="55"/>
        <v>0</v>
      </c>
      <c r="N211" s="124">
        <f t="shared" si="55"/>
        <v>0</v>
      </c>
      <c r="O211" s="124">
        <f t="shared" si="55"/>
        <v>1804.73</v>
      </c>
      <c r="P211" s="124">
        <f t="shared" si="55"/>
        <v>0</v>
      </c>
      <c r="Q211" s="253">
        <f t="shared" si="55"/>
        <v>1804.73</v>
      </c>
    </row>
    <row r="212" spans="1:17" ht="12.75">
      <c r="A212" s="37" t="s">
        <v>27</v>
      </c>
      <c r="B212" s="99"/>
      <c r="C212" s="152"/>
      <c r="D212" s="115"/>
      <c r="E212" s="115"/>
      <c r="F212" s="196"/>
      <c r="G212" s="88"/>
      <c r="H212" s="7"/>
      <c r="I212" s="70"/>
      <c r="J212" s="28"/>
      <c r="K212" s="7"/>
      <c r="L212" s="70"/>
      <c r="M212" s="22"/>
      <c r="N212" s="7"/>
      <c r="O212" s="21"/>
      <c r="P212" s="82"/>
      <c r="Q212" s="80"/>
    </row>
    <row r="213" spans="1:17" ht="12.75">
      <c r="A213" s="39" t="s">
        <v>99</v>
      </c>
      <c r="B213" s="99"/>
      <c r="C213" s="152">
        <v>555</v>
      </c>
      <c r="D213" s="115">
        <f>434+662.8</f>
        <v>1096.8</v>
      </c>
      <c r="E213" s="115"/>
      <c r="F213" s="196">
        <f aca="true" t="shared" si="56" ref="F213:F219">C213+D213+E213</f>
        <v>1651.8</v>
      </c>
      <c r="G213" s="88"/>
      <c r="H213" s="7"/>
      <c r="I213" s="74">
        <f>F213+G213+H213</f>
        <v>1651.8</v>
      </c>
      <c r="J213" s="28"/>
      <c r="K213" s="7"/>
      <c r="L213" s="74">
        <f>I213+J213+K213</f>
        <v>1651.8</v>
      </c>
      <c r="M213" s="22"/>
      <c r="N213" s="7"/>
      <c r="O213" s="23">
        <f>L213+M213+N213</f>
        <v>1651.8</v>
      </c>
      <c r="P213" s="82"/>
      <c r="Q213" s="80">
        <f t="shared" si="48"/>
        <v>1651.8</v>
      </c>
    </row>
    <row r="214" spans="1:17" ht="12.75" hidden="1">
      <c r="A214" s="39" t="s">
        <v>303</v>
      </c>
      <c r="B214" s="99" t="s">
        <v>305</v>
      </c>
      <c r="C214" s="152"/>
      <c r="D214" s="115"/>
      <c r="E214" s="115"/>
      <c r="F214" s="196">
        <f t="shared" si="56"/>
        <v>0</v>
      </c>
      <c r="G214" s="88"/>
      <c r="H214" s="7"/>
      <c r="I214" s="74"/>
      <c r="J214" s="28"/>
      <c r="K214" s="7"/>
      <c r="L214" s="74"/>
      <c r="M214" s="22"/>
      <c r="N214" s="7"/>
      <c r="O214" s="23"/>
      <c r="P214" s="82"/>
      <c r="Q214" s="80"/>
    </row>
    <row r="215" spans="1:17" ht="12.75">
      <c r="A215" s="39" t="s">
        <v>335</v>
      </c>
      <c r="B215" s="99"/>
      <c r="C215" s="152"/>
      <c r="D215" s="115">
        <f>3015.83</f>
        <v>3015.83</v>
      </c>
      <c r="E215" s="115"/>
      <c r="F215" s="196">
        <f t="shared" si="56"/>
        <v>3015.83</v>
      </c>
      <c r="G215" s="88"/>
      <c r="H215" s="7"/>
      <c r="I215" s="74"/>
      <c r="J215" s="28"/>
      <c r="K215" s="7"/>
      <c r="L215" s="74"/>
      <c r="M215" s="22"/>
      <c r="N215" s="7"/>
      <c r="O215" s="23"/>
      <c r="P215" s="82"/>
      <c r="Q215" s="80"/>
    </row>
    <row r="216" spans="1:17" ht="12.75" hidden="1">
      <c r="A216" s="39" t="s">
        <v>76</v>
      </c>
      <c r="B216" s="99"/>
      <c r="C216" s="152"/>
      <c r="D216" s="115"/>
      <c r="E216" s="115"/>
      <c r="F216" s="196">
        <f t="shared" si="56"/>
        <v>0</v>
      </c>
      <c r="G216" s="88"/>
      <c r="H216" s="7"/>
      <c r="I216" s="74">
        <f>F216+G216+H216</f>
        <v>0</v>
      </c>
      <c r="J216" s="28"/>
      <c r="K216" s="7"/>
      <c r="L216" s="74">
        <f>I216+J216+K216</f>
        <v>0</v>
      </c>
      <c r="M216" s="22"/>
      <c r="N216" s="7"/>
      <c r="O216" s="23">
        <f>L216+M216+N216</f>
        <v>0</v>
      </c>
      <c r="P216" s="82"/>
      <c r="Q216" s="80">
        <f t="shared" si="48"/>
        <v>0</v>
      </c>
    </row>
    <row r="217" spans="1:17" ht="12.75" hidden="1">
      <c r="A217" s="39" t="s">
        <v>100</v>
      </c>
      <c r="B217" s="99"/>
      <c r="C217" s="152"/>
      <c r="D217" s="115"/>
      <c r="E217" s="115"/>
      <c r="F217" s="196">
        <f t="shared" si="56"/>
        <v>0</v>
      </c>
      <c r="G217" s="88"/>
      <c r="H217" s="7"/>
      <c r="I217" s="74">
        <f>F217+G217+H217</f>
        <v>0</v>
      </c>
      <c r="J217" s="28"/>
      <c r="K217" s="7"/>
      <c r="L217" s="74">
        <f>I217+J217+K217</f>
        <v>0</v>
      </c>
      <c r="M217" s="22"/>
      <c r="N217" s="7"/>
      <c r="O217" s="23">
        <f>L217+M217+N217</f>
        <v>0</v>
      </c>
      <c r="P217" s="82"/>
      <c r="Q217" s="80">
        <f t="shared" si="48"/>
        <v>0</v>
      </c>
    </row>
    <row r="218" spans="1:17" ht="12.75" hidden="1">
      <c r="A218" s="39" t="s">
        <v>62</v>
      </c>
      <c r="B218" s="99"/>
      <c r="C218" s="152"/>
      <c r="D218" s="115"/>
      <c r="E218" s="115"/>
      <c r="F218" s="196">
        <f t="shared" si="56"/>
        <v>0</v>
      </c>
      <c r="G218" s="88"/>
      <c r="H218" s="7"/>
      <c r="I218" s="74">
        <f>F218+G218+H218</f>
        <v>0</v>
      </c>
      <c r="J218" s="28"/>
      <c r="K218" s="9"/>
      <c r="L218" s="74">
        <f>I218+J218+K218</f>
        <v>0</v>
      </c>
      <c r="M218" s="22"/>
      <c r="N218" s="7"/>
      <c r="O218" s="23">
        <f>L218+M218+N218</f>
        <v>0</v>
      </c>
      <c r="P218" s="82"/>
      <c r="Q218" s="80">
        <f t="shared" si="48"/>
        <v>0</v>
      </c>
    </row>
    <row r="219" spans="1:17" ht="12.75">
      <c r="A219" s="46" t="s">
        <v>87</v>
      </c>
      <c r="B219" s="102"/>
      <c r="C219" s="180"/>
      <c r="D219" s="123">
        <f>152.93</f>
        <v>152.93</v>
      </c>
      <c r="E219" s="123"/>
      <c r="F219" s="200">
        <f t="shared" si="56"/>
        <v>152.93</v>
      </c>
      <c r="G219" s="219"/>
      <c r="H219" s="10"/>
      <c r="I219" s="73">
        <f>F219+G219+H219</f>
        <v>152.93</v>
      </c>
      <c r="J219" s="234"/>
      <c r="K219" s="69"/>
      <c r="L219" s="73">
        <f>I219+J219+K219</f>
        <v>152.93</v>
      </c>
      <c r="M219" s="26"/>
      <c r="N219" s="10"/>
      <c r="O219" s="27">
        <f>L219+M219+N219</f>
        <v>152.93</v>
      </c>
      <c r="P219" s="85"/>
      <c r="Q219" s="86">
        <f t="shared" si="48"/>
        <v>152.93</v>
      </c>
    </row>
    <row r="220" spans="1:17" ht="12.75">
      <c r="A220" s="32" t="s">
        <v>101</v>
      </c>
      <c r="B220" s="103"/>
      <c r="C220" s="159">
        <f aca="true" t="shared" si="57" ref="C220:Q220">C221+C232</f>
        <v>563855.9999999999</v>
      </c>
      <c r="D220" s="114">
        <f t="shared" si="57"/>
        <v>30144.68</v>
      </c>
      <c r="E220" s="114">
        <f t="shared" si="57"/>
        <v>0</v>
      </c>
      <c r="F220" s="174">
        <f t="shared" si="57"/>
        <v>594000.6799999999</v>
      </c>
      <c r="G220" s="160">
        <f t="shared" si="57"/>
        <v>0</v>
      </c>
      <c r="H220" s="114">
        <f t="shared" si="57"/>
        <v>0</v>
      </c>
      <c r="I220" s="142">
        <f t="shared" si="57"/>
        <v>456779.18</v>
      </c>
      <c r="J220" s="159">
        <f t="shared" si="57"/>
        <v>0</v>
      </c>
      <c r="K220" s="114">
        <f t="shared" si="57"/>
        <v>0</v>
      </c>
      <c r="L220" s="142">
        <f t="shared" si="57"/>
        <v>456779.18</v>
      </c>
      <c r="M220" s="113">
        <f t="shared" si="57"/>
        <v>0</v>
      </c>
      <c r="N220" s="113">
        <f t="shared" si="57"/>
        <v>0</v>
      </c>
      <c r="O220" s="113">
        <f t="shared" si="57"/>
        <v>456779.18</v>
      </c>
      <c r="P220" s="113">
        <f t="shared" si="57"/>
        <v>0</v>
      </c>
      <c r="Q220" s="247">
        <f t="shared" si="57"/>
        <v>456779.18</v>
      </c>
    </row>
    <row r="221" spans="1:17" ht="12.75">
      <c r="A221" s="41" t="s">
        <v>56</v>
      </c>
      <c r="B221" s="103"/>
      <c r="C221" s="179">
        <f aca="true" t="shared" si="58" ref="C221:Q221">SUM(C223:C231)</f>
        <v>563585.9999999999</v>
      </c>
      <c r="D221" s="122">
        <f t="shared" si="58"/>
        <v>30214.68</v>
      </c>
      <c r="E221" s="122">
        <f t="shared" si="58"/>
        <v>0</v>
      </c>
      <c r="F221" s="199">
        <f t="shared" si="58"/>
        <v>593800.6799999999</v>
      </c>
      <c r="G221" s="217">
        <f t="shared" si="58"/>
        <v>0</v>
      </c>
      <c r="H221" s="122">
        <f t="shared" si="58"/>
        <v>0</v>
      </c>
      <c r="I221" s="170">
        <f t="shared" si="58"/>
        <v>456779.18</v>
      </c>
      <c r="J221" s="179">
        <f t="shared" si="58"/>
        <v>0</v>
      </c>
      <c r="K221" s="122">
        <f t="shared" si="58"/>
        <v>0</v>
      </c>
      <c r="L221" s="170">
        <f t="shared" si="58"/>
        <v>456779.18</v>
      </c>
      <c r="M221" s="121">
        <f t="shared" si="58"/>
        <v>0</v>
      </c>
      <c r="N221" s="121">
        <f t="shared" si="58"/>
        <v>0</v>
      </c>
      <c r="O221" s="121">
        <f t="shared" si="58"/>
        <v>456779.18</v>
      </c>
      <c r="P221" s="121">
        <f t="shared" si="58"/>
        <v>0</v>
      </c>
      <c r="Q221" s="252">
        <f t="shared" si="58"/>
        <v>456779.18</v>
      </c>
    </row>
    <row r="222" spans="1:17" ht="12.75">
      <c r="A222" s="37" t="s">
        <v>27</v>
      </c>
      <c r="B222" s="99"/>
      <c r="C222" s="152"/>
      <c r="D222" s="115"/>
      <c r="E222" s="115"/>
      <c r="F222" s="174"/>
      <c r="G222" s="88"/>
      <c r="H222" s="7"/>
      <c r="I222" s="70"/>
      <c r="J222" s="28"/>
      <c r="K222" s="7"/>
      <c r="L222" s="70"/>
      <c r="M222" s="22"/>
      <c r="N222" s="7"/>
      <c r="O222" s="21"/>
      <c r="P222" s="82"/>
      <c r="Q222" s="80"/>
    </row>
    <row r="223" spans="1:17" ht="12.75">
      <c r="A223" s="34" t="s">
        <v>84</v>
      </c>
      <c r="B223" s="99"/>
      <c r="C223" s="152">
        <v>278140.66</v>
      </c>
      <c r="D223" s="115"/>
      <c r="E223" s="115"/>
      <c r="F223" s="196">
        <f aca="true" t="shared" si="59" ref="F223:F231">C223+D223+E223</f>
        <v>278140.66</v>
      </c>
      <c r="G223" s="88"/>
      <c r="H223" s="7"/>
      <c r="I223" s="74">
        <f aca="true" t="shared" si="60" ref="I223:I231">F223+G223+H223</f>
        <v>278140.66</v>
      </c>
      <c r="J223" s="28"/>
      <c r="K223" s="7"/>
      <c r="L223" s="74">
        <f aca="true" t="shared" si="61" ref="L223:L231">I223+J223+K223</f>
        <v>278140.66</v>
      </c>
      <c r="M223" s="22"/>
      <c r="N223" s="7"/>
      <c r="O223" s="23">
        <f aca="true" t="shared" si="62" ref="O223:O231">L223+M223+N223</f>
        <v>278140.66</v>
      </c>
      <c r="P223" s="82"/>
      <c r="Q223" s="80">
        <f>O223+P223</f>
        <v>278140.66</v>
      </c>
    </row>
    <row r="224" spans="1:17" ht="12.75">
      <c r="A224" s="100" t="s">
        <v>232</v>
      </c>
      <c r="B224" s="99"/>
      <c r="C224" s="152">
        <v>35000</v>
      </c>
      <c r="D224" s="115">
        <f>16021.5</f>
        <v>16021.5</v>
      </c>
      <c r="E224" s="115"/>
      <c r="F224" s="196">
        <f t="shared" si="59"/>
        <v>51021.5</v>
      </c>
      <c r="G224" s="88"/>
      <c r="H224" s="7"/>
      <c r="I224" s="74"/>
      <c r="J224" s="28"/>
      <c r="K224" s="7"/>
      <c r="L224" s="74"/>
      <c r="M224" s="22"/>
      <c r="N224" s="7"/>
      <c r="O224" s="23"/>
      <c r="P224" s="82"/>
      <c r="Q224" s="80"/>
    </row>
    <row r="225" spans="1:17" ht="12.75">
      <c r="A225" s="39" t="s">
        <v>71</v>
      </c>
      <c r="B225" s="99"/>
      <c r="C225" s="152">
        <v>140000</v>
      </c>
      <c r="D225" s="115"/>
      <c r="E225" s="115"/>
      <c r="F225" s="196">
        <f t="shared" si="59"/>
        <v>140000</v>
      </c>
      <c r="G225" s="88"/>
      <c r="H225" s="7"/>
      <c r="I225" s="74">
        <f t="shared" si="60"/>
        <v>140000</v>
      </c>
      <c r="J225" s="28"/>
      <c r="K225" s="7"/>
      <c r="L225" s="74">
        <f t="shared" si="61"/>
        <v>140000</v>
      </c>
      <c r="M225" s="22"/>
      <c r="N225" s="7"/>
      <c r="O225" s="23">
        <f t="shared" si="62"/>
        <v>140000</v>
      </c>
      <c r="P225" s="82"/>
      <c r="Q225" s="80">
        <f>O225+P225</f>
        <v>140000</v>
      </c>
    </row>
    <row r="226" spans="1:17" ht="12.75">
      <c r="A226" s="39" t="s">
        <v>189</v>
      </c>
      <c r="B226" s="99"/>
      <c r="C226" s="152">
        <v>84000</v>
      </c>
      <c r="D226" s="126"/>
      <c r="E226" s="115"/>
      <c r="F226" s="196">
        <f t="shared" si="59"/>
        <v>84000</v>
      </c>
      <c r="G226" s="88"/>
      <c r="H226" s="7"/>
      <c r="I226" s="74"/>
      <c r="J226" s="28"/>
      <c r="K226" s="7"/>
      <c r="L226" s="74"/>
      <c r="M226" s="22"/>
      <c r="N226" s="7"/>
      <c r="O226" s="23"/>
      <c r="P226" s="82"/>
      <c r="Q226" s="80"/>
    </row>
    <row r="227" spans="1:17" ht="12.75">
      <c r="A227" s="39" t="s">
        <v>58</v>
      </c>
      <c r="B227" s="99"/>
      <c r="C227" s="154">
        <v>26445.34</v>
      </c>
      <c r="D227" s="115">
        <f>10799+70+967</f>
        <v>11836</v>
      </c>
      <c r="E227" s="115"/>
      <c r="F227" s="196">
        <f t="shared" si="59"/>
        <v>38281.34</v>
      </c>
      <c r="G227" s="88"/>
      <c r="H227" s="7"/>
      <c r="I227" s="74">
        <f t="shared" si="60"/>
        <v>38281.34</v>
      </c>
      <c r="J227" s="28"/>
      <c r="K227" s="7"/>
      <c r="L227" s="74">
        <f t="shared" si="61"/>
        <v>38281.34</v>
      </c>
      <c r="M227" s="22"/>
      <c r="N227" s="7"/>
      <c r="O227" s="23">
        <f t="shared" si="62"/>
        <v>38281.34</v>
      </c>
      <c r="P227" s="82"/>
      <c r="Q227" s="80">
        <f>O227+P227</f>
        <v>38281.34</v>
      </c>
    </row>
    <row r="228" spans="1:17" ht="12.75" hidden="1">
      <c r="A228" s="39" t="s">
        <v>88</v>
      </c>
      <c r="B228" s="99"/>
      <c r="C228" s="154"/>
      <c r="D228" s="115"/>
      <c r="E228" s="115"/>
      <c r="F228" s="196">
        <f t="shared" si="59"/>
        <v>0</v>
      </c>
      <c r="G228" s="88"/>
      <c r="H228" s="7"/>
      <c r="I228" s="74">
        <f t="shared" si="60"/>
        <v>0</v>
      </c>
      <c r="J228" s="28"/>
      <c r="K228" s="7"/>
      <c r="L228" s="74">
        <f t="shared" si="61"/>
        <v>0</v>
      </c>
      <c r="M228" s="22"/>
      <c r="N228" s="7"/>
      <c r="O228" s="23">
        <f t="shared" si="62"/>
        <v>0</v>
      </c>
      <c r="P228" s="82"/>
      <c r="Q228" s="80">
        <f>O228+P228</f>
        <v>0</v>
      </c>
    </row>
    <row r="229" spans="1:17" ht="12.75">
      <c r="A229" s="39" t="s">
        <v>332</v>
      </c>
      <c r="B229" s="99"/>
      <c r="C229" s="154"/>
      <c r="D229" s="115">
        <f>2000</f>
        <v>2000</v>
      </c>
      <c r="E229" s="115"/>
      <c r="F229" s="196">
        <f t="shared" si="59"/>
        <v>2000</v>
      </c>
      <c r="G229" s="88"/>
      <c r="H229" s="7"/>
      <c r="I229" s="74"/>
      <c r="J229" s="28"/>
      <c r="K229" s="7"/>
      <c r="L229" s="74"/>
      <c r="M229" s="22"/>
      <c r="N229" s="7"/>
      <c r="O229" s="23"/>
      <c r="P229" s="82"/>
      <c r="Q229" s="80"/>
    </row>
    <row r="230" spans="1:17" ht="12.75">
      <c r="A230" s="39" t="s">
        <v>323</v>
      </c>
      <c r="B230" s="99"/>
      <c r="C230" s="154"/>
      <c r="D230" s="115">
        <f>19.89+337.29</f>
        <v>357.18</v>
      </c>
      <c r="E230" s="115"/>
      <c r="F230" s="196">
        <f t="shared" si="59"/>
        <v>357.18</v>
      </c>
      <c r="G230" s="88"/>
      <c r="H230" s="7"/>
      <c r="I230" s="74">
        <f t="shared" si="60"/>
        <v>357.18</v>
      </c>
      <c r="J230" s="28"/>
      <c r="K230" s="7"/>
      <c r="L230" s="74">
        <f t="shared" si="61"/>
        <v>357.18</v>
      </c>
      <c r="M230" s="22"/>
      <c r="N230" s="7"/>
      <c r="O230" s="23">
        <f t="shared" si="62"/>
        <v>357.18</v>
      </c>
      <c r="P230" s="82"/>
      <c r="Q230" s="80">
        <f>O230+P230</f>
        <v>357.18</v>
      </c>
    </row>
    <row r="231" spans="1:17" ht="12.75" hidden="1">
      <c r="A231" s="39" t="s">
        <v>102</v>
      </c>
      <c r="B231" s="99"/>
      <c r="C231" s="152"/>
      <c r="D231" s="115"/>
      <c r="E231" s="115"/>
      <c r="F231" s="196">
        <f t="shared" si="59"/>
        <v>0</v>
      </c>
      <c r="G231" s="88"/>
      <c r="H231" s="7"/>
      <c r="I231" s="74">
        <f t="shared" si="60"/>
        <v>0</v>
      </c>
      <c r="J231" s="28"/>
      <c r="K231" s="7"/>
      <c r="L231" s="74">
        <f t="shared" si="61"/>
        <v>0</v>
      </c>
      <c r="M231" s="22"/>
      <c r="N231" s="7"/>
      <c r="O231" s="23">
        <f t="shared" si="62"/>
        <v>0</v>
      </c>
      <c r="P231" s="82"/>
      <c r="Q231" s="80">
        <f>O231+P231</f>
        <v>0</v>
      </c>
    </row>
    <row r="232" spans="1:17" ht="12.75">
      <c r="A232" s="41" t="s">
        <v>61</v>
      </c>
      <c r="B232" s="103"/>
      <c r="C232" s="179">
        <f>SUM(C234:C238)</f>
        <v>270</v>
      </c>
      <c r="D232" s="122">
        <f aca="true" t="shared" si="63" ref="D232:Q232">SUM(D234:D238)</f>
        <v>-70</v>
      </c>
      <c r="E232" s="122">
        <f t="shared" si="63"/>
        <v>0</v>
      </c>
      <c r="F232" s="199">
        <f t="shared" si="63"/>
        <v>200</v>
      </c>
      <c r="G232" s="217">
        <f t="shared" si="63"/>
        <v>0</v>
      </c>
      <c r="H232" s="122">
        <f t="shared" si="63"/>
        <v>0</v>
      </c>
      <c r="I232" s="170">
        <f t="shared" si="63"/>
        <v>0</v>
      </c>
      <c r="J232" s="179">
        <f t="shared" si="63"/>
        <v>0</v>
      </c>
      <c r="K232" s="122">
        <f t="shared" si="63"/>
        <v>0</v>
      </c>
      <c r="L232" s="170">
        <f t="shared" si="63"/>
        <v>0</v>
      </c>
      <c r="M232" s="121">
        <f t="shared" si="63"/>
        <v>0</v>
      </c>
      <c r="N232" s="121">
        <f t="shared" si="63"/>
        <v>0</v>
      </c>
      <c r="O232" s="121">
        <f t="shared" si="63"/>
        <v>0</v>
      </c>
      <c r="P232" s="121">
        <f t="shared" si="63"/>
        <v>0</v>
      </c>
      <c r="Q232" s="252">
        <f t="shared" si="63"/>
        <v>0</v>
      </c>
    </row>
    <row r="233" spans="1:17" ht="12.75">
      <c r="A233" s="37" t="s">
        <v>27</v>
      </c>
      <c r="B233" s="99"/>
      <c r="C233" s="152"/>
      <c r="D233" s="115"/>
      <c r="E233" s="115"/>
      <c r="F233" s="196"/>
      <c r="G233" s="88"/>
      <c r="H233" s="7"/>
      <c r="I233" s="74"/>
      <c r="J233" s="28"/>
      <c r="K233" s="7"/>
      <c r="L233" s="74"/>
      <c r="M233" s="22"/>
      <c r="N233" s="7"/>
      <c r="O233" s="23"/>
      <c r="P233" s="82"/>
      <c r="Q233" s="80"/>
    </row>
    <row r="234" spans="1:17" ht="12.75">
      <c r="A234" s="46" t="s">
        <v>62</v>
      </c>
      <c r="B234" s="102"/>
      <c r="C234" s="180">
        <v>270</v>
      </c>
      <c r="D234" s="123">
        <f>-70</f>
        <v>-70</v>
      </c>
      <c r="E234" s="123"/>
      <c r="F234" s="200">
        <f>C234+D234+E234</f>
        <v>200</v>
      </c>
      <c r="G234" s="88"/>
      <c r="H234" s="7"/>
      <c r="I234" s="74"/>
      <c r="J234" s="28"/>
      <c r="K234" s="7"/>
      <c r="L234" s="74"/>
      <c r="M234" s="22"/>
      <c r="N234" s="7"/>
      <c r="O234" s="23"/>
      <c r="P234" s="82"/>
      <c r="Q234" s="80"/>
    </row>
    <row r="235" spans="1:17" ht="12.75" hidden="1">
      <c r="A235" s="39" t="s">
        <v>272</v>
      </c>
      <c r="B235" s="99"/>
      <c r="C235" s="152"/>
      <c r="D235" s="115"/>
      <c r="E235" s="115"/>
      <c r="F235" s="196">
        <f>C235+D235+E235</f>
        <v>0</v>
      </c>
      <c r="G235" s="88"/>
      <c r="H235" s="7"/>
      <c r="I235" s="74"/>
      <c r="J235" s="28"/>
      <c r="K235" s="7"/>
      <c r="L235" s="74"/>
      <c r="M235" s="22"/>
      <c r="N235" s="7"/>
      <c r="O235" s="23"/>
      <c r="P235" s="82"/>
      <c r="Q235" s="80"/>
    </row>
    <row r="236" spans="1:17" ht="12.75" hidden="1">
      <c r="A236" s="39" t="s">
        <v>76</v>
      </c>
      <c r="B236" s="99"/>
      <c r="C236" s="152"/>
      <c r="D236" s="115"/>
      <c r="E236" s="115"/>
      <c r="F236" s="196">
        <f>C236+D236+E236</f>
        <v>0</v>
      </c>
      <c r="G236" s="88"/>
      <c r="H236" s="7"/>
      <c r="I236" s="74">
        <f>F236+G236+H236</f>
        <v>0</v>
      </c>
      <c r="J236" s="28"/>
      <c r="K236" s="7"/>
      <c r="L236" s="74">
        <f>I236+J236+K236</f>
        <v>0</v>
      </c>
      <c r="M236" s="22"/>
      <c r="N236" s="7"/>
      <c r="O236" s="23">
        <f>L236+M236+N236</f>
        <v>0</v>
      </c>
      <c r="P236" s="82"/>
      <c r="Q236" s="80">
        <f>O236+P236</f>
        <v>0</v>
      </c>
    </row>
    <row r="237" spans="1:17" ht="12.75" hidden="1">
      <c r="A237" s="39" t="s">
        <v>238</v>
      </c>
      <c r="B237" s="99"/>
      <c r="C237" s="152"/>
      <c r="D237" s="115"/>
      <c r="E237" s="115"/>
      <c r="F237" s="196">
        <f>C237+D237+E237</f>
        <v>0</v>
      </c>
      <c r="G237" s="219"/>
      <c r="H237" s="10"/>
      <c r="I237" s="73">
        <f>F237+G237+H237</f>
        <v>0</v>
      </c>
      <c r="J237" s="234"/>
      <c r="K237" s="10"/>
      <c r="L237" s="73">
        <f>I237+J237+K237</f>
        <v>0</v>
      </c>
      <c r="M237" s="26"/>
      <c r="N237" s="10"/>
      <c r="O237" s="27">
        <f>L237+M237+N237</f>
        <v>0</v>
      </c>
      <c r="P237" s="85"/>
      <c r="Q237" s="86">
        <f>O237+P237</f>
        <v>0</v>
      </c>
    </row>
    <row r="238" spans="1:17" ht="12.75" hidden="1">
      <c r="A238" s="38" t="s">
        <v>88</v>
      </c>
      <c r="B238" s="102"/>
      <c r="C238" s="180"/>
      <c r="D238" s="123"/>
      <c r="E238" s="123"/>
      <c r="F238" s="200">
        <f>C238+D238+E238</f>
        <v>0</v>
      </c>
      <c r="G238" s="219"/>
      <c r="H238" s="10"/>
      <c r="I238" s="73">
        <f>F238+G238+H238</f>
        <v>0</v>
      </c>
      <c r="J238" s="234"/>
      <c r="K238" s="10"/>
      <c r="L238" s="73">
        <f>I238+J238+K238</f>
        <v>0</v>
      </c>
      <c r="M238" s="26"/>
      <c r="N238" s="10"/>
      <c r="O238" s="27">
        <f>L238+M238+N238</f>
        <v>0</v>
      </c>
      <c r="P238" s="85"/>
      <c r="Q238" s="86">
        <f>O238+P238</f>
        <v>0</v>
      </c>
    </row>
    <row r="239" spans="1:17" ht="12.75">
      <c r="A239" s="47" t="s">
        <v>103</v>
      </c>
      <c r="B239" s="104"/>
      <c r="C239" s="145">
        <f>C240+C249</f>
        <v>215953.59999999998</v>
      </c>
      <c r="D239" s="118">
        <f aca="true" t="shared" si="64" ref="D239:Q239">D240+D249</f>
        <v>15209.2</v>
      </c>
      <c r="E239" s="118">
        <f t="shared" si="64"/>
        <v>0</v>
      </c>
      <c r="F239" s="197">
        <f t="shared" si="64"/>
        <v>231162.8</v>
      </c>
      <c r="G239" s="146">
        <f t="shared" si="64"/>
        <v>0</v>
      </c>
      <c r="H239" s="118">
        <f t="shared" si="64"/>
        <v>0</v>
      </c>
      <c r="I239" s="168">
        <f t="shared" si="64"/>
        <v>227292.8</v>
      </c>
      <c r="J239" s="145">
        <f t="shared" si="64"/>
        <v>0</v>
      </c>
      <c r="K239" s="118">
        <f t="shared" si="64"/>
        <v>0</v>
      </c>
      <c r="L239" s="168">
        <f t="shared" si="64"/>
        <v>227292.8</v>
      </c>
      <c r="M239" s="117">
        <f t="shared" si="64"/>
        <v>0</v>
      </c>
      <c r="N239" s="117">
        <f t="shared" si="64"/>
        <v>0</v>
      </c>
      <c r="O239" s="117">
        <f t="shared" si="64"/>
        <v>227292.8</v>
      </c>
      <c r="P239" s="117">
        <f t="shared" si="64"/>
        <v>0</v>
      </c>
      <c r="Q239" s="250">
        <f t="shared" si="64"/>
        <v>227292.8</v>
      </c>
    </row>
    <row r="240" spans="1:17" ht="12.75">
      <c r="A240" s="41" t="s">
        <v>56</v>
      </c>
      <c r="B240" s="103"/>
      <c r="C240" s="179">
        <f>SUM(C242:C248)</f>
        <v>206254.59999999998</v>
      </c>
      <c r="D240" s="122">
        <f aca="true" t="shared" si="65" ref="D240:Q240">SUM(D242:D248)</f>
        <v>16609.2</v>
      </c>
      <c r="E240" s="122">
        <f t="shared" si="65"/>
        <v>0</v>
      </c>
      <c r="F240" s="199">
        <f t="shared" si="65"/>
        <v>222863.8</v>
      </c>
      <c r="G240" s="217">
        <f t="shared" si="65"/>
        <v>0</v>
      </c>
      <c r="H240" s="122">
        <f t="shared" si="65"/>
        <v>0</v>
      </c>
      <c r="I240" s="170">
        <f t="shared" si="65"/>
        <v>222863.8</v>
      </c>
      <c r="J240" s="179">
        <f t="shared" si="65"/>
        <v>0</v>
      </c>
      <c r="K240" s="122">
        <f t="shared" si="65"/>
        <v>0</v>
      </c>
      <c r="L240" s="170">
        <f t="shared" si="65"/>
        <v>222863.8</v>
      </c>
      <c r="M240" s="121">
        <f t="shared" si="65"/>
        <v>0</v>
      </c>
      <c r="N240" s="121">
        <f t="shared" si="65"/>
        <v>0</v>
      </c>
      <c r="O240" s="121">
        <f t="shared" si="65"/>
        <v>222863.8</v>
      </c>
      <c r="P240" s="121">
        <f t="shared" si="65"/>
        <v>0</v>
      </c>
      <c r="Q240" s="252">
        <f t="shared" si="65"/>
        <v>222863.8</v>
      </c>
    </row>
    <row r="241" spans="1:17" ht="12.75">
      <c r="A241" s="37" t="s">
        <v>27</v>
      </c>
      <c r="B241" s="99"/>
      <c r="C241" s="152"/>
      <c r="D241" s="115"/>
      <c r="E241" s="115"/>
      <c r="F241" s="196"/>
      <c r="G241" s="88"/>
      <c r="H241" s="7"/>
      <c r="I241" s="74"/>
      <c r="J241" s="28"/>
      <c r="K241" s="7"/>
      <c r="L241" s="74"/>
      <c r="M241" s="22"/>
      <c r="N241" s="7"/>
      <c r="O241" s="23"/>
      <c r="P241" s="82"/>
      <c r="Q241" s="80"/>
    </row>
    <row r="242" spans="1:17" ht="12.75">
      <c r="A242" s="39" t="s">
        <v>84</v>
      </c>
      <c r="B242" s="99"/>
      <c r="C242" s="152">
        <v>177241.3</v>
      </c>
      <c r="D242" s="115">
        <f>6300+8252.85-1700</f>
        <v>12852.85</v>
      </c>
      <c r="E242" s="115"/>
      <c r="F242" s="196">
        <f aca="true" t="shared" si="66" ref="F242:F248">C242+D242+E242</f>
        <v>190094.15</v>
      </c>
      <c r="G242" s="88"/>
      <c r="H242" s="7"/>
      <c r="I242" s="74">
        <f>F242+G242+H242</f>
        <v>190094.15</v>
      </c>
      <c r="J242" s="28"/>
      <c r="K242" s="7"/>
      <c r="L242" s="74">
        <f>I242+J242+K242</f>
        <v>190094.15</v>
      </c>
      <c r="M242" s="22"/>
      <c r="N242" s="7"/>
      <c r="O242" s="23">
        <f>L242+M242+N242</f>
        <v>190094.15</v>
      </c>
      <c r="P242" s="82"/>
      <c r="Q242" s="80">
        <f aca="true" t="shared" si="67" ref="Q242:Q248">O242+P242</f>
        <v>190094.15</v>
      </c>
    </row>
    <row r="243" spans="1:17" ht="12.75">
      <c r="A243" s="39" t="s">
        <v>58</v>
      </c>
      <c r="B243" s="99"/>
      <c r="C243" s="152">
        <v>25694.3</v>
      </c>
      <c r="D243" s="115">
        <f>-5451-1130+422.35-69+96+2048+1000</f>
        <v>-3083.6499999999996</v>
      </c>
      <c r="E243" s="115"/>
      <c r="F243" s="196">
        <f t="shared" si="66"/>
        <v>22610.65</v>
      </c>
      <c r="G243" s="88"/>
      <c r="H243" s="7"/>
      <c r="I243" s="74">
        <f aca="true" t="shared" si="68" ref="I243:I248">F243+G243+H243</f>
        <v>22610.65</v>
      </c>
      <c r="J243" s="28"/>
      <c r="K243" s="7"/>
      <c r="L243" s="74">
        <f aca="true" t="shared" si="69" ref="L243:L248">I243+J243+K243</f>
        <v>22610.65</v>
      </c>
      <c r="M243" s="22"/>
      <c r="N243" s="7"/>
      <c r="O243" s="23">
        <f aca="true" t="shared" si="70" ref="O243:O248">L243+M243+N243</f>
        <v>22610.65</v>
      </c>
      <c r="P243" s="82"/>
      <c r="Q243" s="80">
        <f t="shared" si="67"/>
        <v>22610.65</v>
      </c>
    </row>
    <row r="244" spans="1:17" ht="12.75">
      <c r="A244" s="39" t="s">
        <v>145</v>
      </c>
      <c r="B244" s="99"/>
      <c r="C244" s="152">
        <v>3319</v>
      </c>
      <c r="D244" s="115">
        <f>69</f>
        <v>69</v>
      </c>
      <c r="E244" s="115"/>
      <c r="F244" s="196">
        <f t="shared" si="66"/>
        <v>3388</v>
      </c>
      <c r="G244" s="88"/>
      <c r="H244" s="7"/>
      <c r="I244" s="74">
        <f t="shared" si="68"/>
        <v>3388</v>
      </c>
      <c r="J244" s="28"/>
      <c r="K244" s="7"/>
      <c r="L244" s="74">
        <f t="shared" si="69"/>
        <v>3388</v>
      </c>
      <c r="M244" s="22"/>
      <c r="N244" s="7"/>
      <c r="O244" s="23">
        <f t="shared" si="70"/>
        <v>3388</v>
      </c>
      <c r="P244" s="82"/>
      <c r="Q244" s="80">
        <f t="shared" si="67"/>
        <v>3388</v>
      </c>
    </row>
    <row r="245" spans="1:17" ht="12.75">
      <c r="A245" s="39" t="s">
        <v>72</v>
      </c>
      <c r="B245" s="99"/>
      <c r="C245" s="152"/>
      <c r="D245" s="115">
        <f>5451+1130+190</f>
        <v>6771</v>
      </c>
      <c r="E245" s="115"/>
      <c r="F245" s="196">
        <f t="shared" si="66"/>
        <v>6771</v>
      </c>
      <c r="G245" s="88"/>
      <c r="H245" s="7"/>
      <c r="I245" s="74">
        <f t="shared" si="68"/>
        <v>6771</v>
      </c>
      <c r="J245" s="28"/>
      <c r="K245" s="7"/>
      <c r="L245" s="74">
        <f t="shared" si="69"/>
        <v>6771</v>
      </c>
      <c r="M245" s="22"/>
      <c r="N245" s="7"/>
      <c r="O245" s="23">
        <f t="shared" si="70"/>
        <v>6771</v>
      </c>
      <c r="P245" s="82"/>
      <c r="Q245" s="80">
        <f t="shared" si="67"/>
        <v>6771</v>
      </c>
    </row>
    <row r="246" spans="1:17" ht="12.75" hidden="1">
      <c r="A246" s="39" t="s">
        <v>104</v>
      </c>
      <c r="B246" s="99">
        <v>34070</v>
      </c>
      <c r="C246" s="152"/>
      <c r="D246" s="115"/>
      <c r="E246" s="115"/>
      <c r="F246" s="196">
        <f t="shared" si="66"/>
        <v>0</v>
      </c>
      <c r="G246" s="88"/>
      <c r="H246" s="7"/>
      <c r="I246" s="74">
        <f t="shared" si="68"/>
        <v>0</v>
      </c>
      <c r="J246" s="28"/>
      <c r="K246" s="7"/>
      <c r="L246" s="74">
        <f t="shared" si="69"/>
        <v>0</v>
      </c>
      <c r="M246" s="22"/>
      <c r="N246" s="7"/>
      <c r="O246" s="23">
        <f t="shared" si="70"/>
        <v>0</v>
      </c>
      <c r="P246" s="82"/>
      <c r="Q246" s="80">
        <f t="shared" si="67"/>
        <v>0</v>
      </c>
    </row>
    <row r="247" spans="1:17" ht="12.75" hidden="1">
      <c r="A247" s="39" t="s">
        <v>105</v>
      </c>
      <c r="B247" s="99">
        <v>34053</v>
      </c>
      <c r="C247" s="152"/>
      <c r="D247" s="115"/>
      <c r="E247" s="115"/>
      <c r="F247" s="196">
        <f t="shared" si="66"/>
        <v>0</v>
      </c>
      <c r="G247" s="88"/>
      <c r="H247" s="7"/>
      <c r="I247" s="74">
        <f t="shared" si="68"/>
        <v>0</v>
      </c>
      <c r="J247" s="28"/>
      <c r="K247" s="7"/>
      <c r="L247" s="74">
        <f t="shared" si="69"/>
        <v>0</v>
      </c>
      <c r="M247" s="22"/>
      <c r="N247" s="7"/>
      <c r="O247" s="23">
        <f t="shared" si="70"/>
        <v>0</v>
      </c>
      <c r="P247" s="82"/>
      <c r="Q247" s="80">
        <f t="shared" si="67"/>
        <v>0</v>
      </c>
    </row>
    <row r="248" spans="1:17" ht="12.75" hidden="1">
      <c r="A248" s="39" t="s">
        <v>88</v>
      </c>
      <c r="B248" s="99"/>
      <c r="C248" s="152"/>
      <c r="D248" s="115"/>
      <c r="E248" s="115"/>
      <c r="F248" s="196">
        <f t="shared" si="66"/>
        <v>0</v>
      </c>
      <c r="G248" s="88"/>
      <c r="H248" s="7"/>
      <c r="I248" s="74">
        <f t="shared" si="68"/>
        <v>0</v>
      </c>
      <c r="J248" s="28"/>
      <c r="K248" s="7"/>
      <c r="L248" s="74">
        <f t="shared" si="69"/>
        <v>0</v>
      </c>
      <c r="M248" s="22"/>
      <c r="N248" s="7"/>
      <c r="O248" s="23">
        <f t="shared" si="70"/>
        <v>0</v>
      </c>
      <c r="P248" s="82"/>
      <c r="Q248" s="80">
        <f t="shared" si="67"/>
        <v>0</v>
      </c>
    </row>
    <row r="249" spans="1:17" ht="12.75">
      <c r="A249" s="41" t="s">
        <v>61</v>
      </c>
      <c r="B249" s="103"/>
      <c r="C249" s="179">
        <f>SUM(C251:C254)</f>
        <v>9699</v>
      </c>
      <c r="D249" s="122">
        <f aca="true" t="shared" si="71" ref="D249:Q249">SUM(D251:D254)</f>
        <v>-1400</v>
      </c>
      <c r="E249" s="122">
        <f t="shared" si="71"/>
        <v>0</v>
      </c>
      <c r="F249" s="199">
        <f t="shared" si="71"/>
        <v>8299</v>
      </c>
      <c r="G249" s="217">
        <f t="shared" si="71"/>
        <v>0</v>
      </c>
      <c r="H249" s="122">
        <f t="shared" si="71"/>
        <v>0</v>
      </c>
      <c r="I249" s="170">
        <f t="shared" si="71"/>
        <v>4429</v>
      </c>
      <c r="J249" s="179">
        <f t="shared" si="71"/>
        <v>0</v>
      </c>
      <c r="K249" s="122">
        <f t="shared" si="71"/>
        <v>0</v>
      </c>
      <c r="L249" s="170">
        <f t="shared" si="71"/>
        <v>4429</v>
      </c>
      <c r="M249" s="121">
        <f t="shared" si="71"/>
        <v>0</v>
      </c>
      <c r="N249" s="121">
        <f t="shared" si="71"/>
        <v>0</v>
      </c>
      <c r="O249" s="121">
        <f t="shared" si="71"/>
        <v>4429</v>
      </c>
      <c r="P249" s="121">
        <f t="shared" si="71"/>
        <v>0</v>
      </c>
      <c r="Q249" s="252">
        <f t="shared" si="71"/>
        <v>4429</v>
      </c>
    </row>
    <row r="250" spans="1:17" ht="12.75">
      <c r="A250" s="37" t="s">
        <v>27</v>
      </c>
      <c r="B250" s="99"/>
      <c r="C250" s="152"/>
      <c r="D250" s="115"/>
      <c r="E250" s="115"/>
      <c r="F250" s="196"/>
      <c r="G250" s="88"/>
      <c r="H250" s="7"/>
      <c r="I250" s="74"/>
      <c r="J250" s="28"/>
      <c r="K250" s="7"/>
      <c r="L250" s="74"/>
      <c r="M250" s="22"/>
      <c r="N250" s="7"/>
      <c r="O250" s="23"/>
      <c r="P250" s="82"/>
      <c r="Q250" s="80"/>
    </row>
    <row r="251" spans="1:17" ht="12.75" hidden="1">
      <c r="A251" s="39" t="s">
        <v>105</v>
      </c>
      <c r="B251" s="99">
        <v>34544</v>
      </c>
      <c r="C251" s="152"/>
      <c r="D251" s="115"/>
      <c r="E251" s="115"/>
      <c r="F251" s="196">
        <f>C251+D251+E251</f>
        <v>0</v>
      </c>
      <c r="G251" s="88"/>
      <c r="H251" s="7"/>
      <c r="I251" s="74"/>
      <c r="J251" s="28"/>
      <c r="K251" s="7"/>
      <c r="L251" s="74">
        <f>I251+J251+K251</f>
        <v>0</v>
      </c>
      <c r="M251" s="22"/>
      <c r="N251" s="7"/>
      <c r="O251" s="23">
        <f>L251+M251+N251</f>
        <v>0</v>
      </c>
      <c r="P251" s="82"/>
      <c r="Q251" s="80">
        <f>O251+P251</f>
        <v>0</v>
      </c>
    </row>
    <row r="252" spans="1:17" ht="12.75">
      <c r="A252" s="97" t="s">
        <v>99</v>
      </c>
      <c r="B252" s="99"/>
      <c r="C252" s="152">
        <v>2729</v>
      </c>
      <c r="D252" s="115">
        <f>1700</f>
        <v>1700</v>
      </c>
      <c r="E252" s="115"/>
      <c r="F252" s="196">
        <f>C252+D252+E252</f>
        <v>4429</v>
      </c>
      <c r="G252" s="88"/>
      <c r="H252" s="7"/>
      <c r="I252" s="74">
        <f>F252+G252+H252</f>
        <v>4429</v>
      </c>
      <c r="J252" s="28"/>
      <c r="K252" s="7"/>
      <c r="L252" s="74">
        <f>I252+J252+K252</f>
        <v>4429</v>
      </c>
      <c r="M252" s="22"/>
      <c r="N252" s="7"/>
      <c r="O252" s="23">
        <f>L252+M252+N252</f>
        <v>4429</v>
      </c>
      <c r="P252" s="82"/>
      <c r="Q252" s="80">
        <f>O252+P252</f>
        <v>4429</v>
      </c>
    </row>
    <row r="253" spans="1:17" ht="12.75">
      <c r="A253" s="246" t="s">
        <v>62</v>
      </c>
      <c r="B253" s="102"/>
      <c r="C253" s="180">
        <v>6970</v>
      </c>
      <c r="D253" s="123">
        <f>-3100</f>
        <v>-3100</v>
      </c>
      <c r="E253" s="123"/>
      <c r="F253" s="200">
        <f>C253+D253+E253</f>
        <v>3870</v>
      </c>
      <c r="G253" s="88"/>
      <c r="H253" s="7"/>
      <c r="I253" s="74"/>
      <c r="J253" s="28"/>
      <c r="K253" s="7"/>
      <c r="L253" s="74">
        <f>I253+J253+K253</f>
        <v>0</v>
      </c>
      <c r="M253" s="22"/>
      <c r="N253" s="7"/>
      <c r="O253" s="23">
        <f>L253+M253+N253</f>
        <v>0</v>
      </c>
      <c r="P253" s="82"/>
      <c r="Q253" s="80">
        <f>O253+P253</f>
        <v>0</v>
      </c>
    </row>
    <row r="254" spans="1:17" ht="12.75" hidden="1">
      <c r="A254" s="46" t="s">
        <v>88</v>
      </c>
      <c r="B254" s="102"/>
      <c r="C254" s="180"/>
      <c r="D254" s="123"/>
      <c r="E254" s="123"/>
      <c r="F254" s="200">
        <f>C254+D254+E254</f>
        <v>0</v>
      </c>
      <c r="G254" s="219"/>
      <c r="H254" s="10"/>
      <c r="I254" s="73">
        <f>F254+G254+H254</f>
        <v>0</v>
      </c>
      <c r="J254" s="234"/>
      <c r="K254" s="10"/>
      <c r="L254" s="73">
        <f>I254+J254+K254</f>
        <v>0</v>
      </c>
      <c r="M254" s="77"/>
      <c r="N254" s="10"/>
      <c r="O254" s="27">
        <f>L254+M254+N254</f>
        <v>0</v>
      </c>
      <c r="P254" s="85"/>
      <c r="Q254" s="86">
        <f>O254+P254</f>
        <v>0</v>
      </c>
    </row>
    <row r="255" spans="1:17" ht="12.75">
      <c r="A255" s="32" t="s">
        <v>55</v>
      </c>
      <c r="B255" s="101"/>
      <c r="C255" s="159">
        <f aca="true" t="shared" si="72" ref="C255:Q255">C256+C267</f>
        <v>60706.65</v>
      </c>
      <c r="D255" s="114">
        <f t="shared" si="72"/>
        <v>6305.6</v>
      </c>
      <c r="E255" s="114">
        <f t="shared" si="72"/>
        <v>0</v>
      </c>
      <c r="F255" s="174">
        <f t="shared" si="72"/>
        <v>67012.25</v>
      </c>
      <c r="G255" s="160">
        <f t="shared" si="72"/>
        <v>0</v>
      </c>
      <c r="H255" s="114">
        <f t="shared" si="72"/>
        <v>0</v>
      </c>
      <c r="I255" s="142">
        <f t="shared" si="72"/>
        <v>52286.55</v>
      </c>
      <c r="J255" s="159">
        <f t="shared" si="72"/>
        <v>0</v>
      </c>
      <c r="K255" s="114">
        <f t="shared" si="72"/>
        <v>0</v>
      </c>
      <c r="L255" s="142">
        <f t="shared" si="72"/>
        <v>52286.55</v>
      </c>
      <c r="M255" s="113">
        <f t="shared" si="72"/>
        <v>0</v>
      </c>
      <c r="N255" s="113">
        <f t="shared" si="72"/>
        <v>0</v>
      </c>
      <c r="O255" s="113">
        <f t="shared" si="72"/>
        <v>52286.55</v>
      </c>
      <c r="P255" s="113">
        <f t="shared" si="72"/>
        <v>0</v>
      </c>
      <c r="Q255" s="247">
        <f t="shared" si="72"/>
        <v>52286.55</v>
      </c>
    </row>
    <row r="256" spans="1:17" ht="12.75">
      <c r="A256" s="41" t="s">
        <v>56</v>
      </c>
      <c r="B256" s="101"/>
      <c r="C256" s="179">
        <f aca="true" t="shared" si="73" ref="C256:Q256">SUM(C258:C266)</f>
        <v>60706.65</v>
      </c>
      <c r="D256" s="122">
        <f t="shared" si="73"/>
        <v>4955.6</v>
      </c>
      <c r="E256" s="122">
        <f t="shared" si="73"/>
        <v>0</v>
      </c>
      <c r="F256" s="199">
        <f t="shared" si="73"/>
        <v>65662.25</v>
      </c>
      <c r="G256" s="217">
        <f t="shared" si="73"/>
        <v>0</v>
      </c>
      <c r="H256" s="122">
        <f t="shared" si="73"/>
        <v>0</v>
      </c>
      <c r="I256" s="170">
        <f t="shared" si="73"/>
        <v>52036.55</v>
      </c>
      <c r="J256" s="179">
        <f t="shared" si="73"/>
        <v>0</v>
      </c>
      <c r="K256" s="122">
        <f t="shared" si="73"/>
        <v>0</v>
      </c>
      <c r="L256" s="170">
        <f t="shared" si="73"/>
        <v>52036.55</v>
      </c>
      <c r="M256" s="121">
        <f t="shared" si="73"/>
        <v>0</v>
      </c>
      <c r="N256" s="121">
        <f t="shared" si="73"/>
        <v>0</v>
      </c>
      <c r="O256" s="121">
        <f t="shared" si="73"/>
        <v>52036.55</v>
      </c>
      <c r="P256" s="121">
        <f t="shared" si="73"/>
        <v>0</v>
      </c>
      <c r="Q256" s="252">
        <f t="shared" si="73"/>
        <v>52036.55</v>
      </c>
    </row>
    <row r="257" spans="1:17" ht="12.75">
      <c r="A257" s="37" t="s">
        <v>27</v>
      </c>
      <c r="B257" s="72"/>
      <c r="C257" s="152"/>
      <c r="D257" s="115"/>
      <c r="E257" s="115"/>
      <c r="F257" s="196"/>
      <c r="G257" s="88"/>
      <c r="H257" s="7"/>
      <c r="I257" s="74"/>
      <c r="J257" s="28"/>
      <c r="K257" s="7"/>
      <c r="L257" s="74"/>
      <c r="M257" s="22"/>
      <c r="N257" s="7"/>
      <c r="O257" s="23"/>
      <c r="P257" s="82"/>
      <c r="Q257" s="80"/>
    </row>
    <row r="258" spans="1:17" ht="12.75">
      <c r="A258" s="35" t="s">
        <v>149</v>
      </c>
      <c r="B258" s="99"/>
      <c r="C258" s="152">
        <v>27295.94</v>
      </c>
      <c r="D258" s="115"/>
      <c r="E258" s="115"/>
      <c r="F258" s="196">
        <f aca="true" t="shared" si="74" ref="F258:F266">C258+D258+E258</f>
        <v>27295.94</v>
      </c>
      <c r="G258" s="88"/>
      <c r="H258" s="7"/>
      <c r="I258" s="74">
        <f>F258+G258+H258</f>
        <v>27295.94</v>
      </c>
      <c r="J258" s="28"/>
      <c r="K258" s="7"/>
      <c r="L258" s="74">
        <f>I258+J258+K258</f>
        <v>27295.94</v>
      </c>
      <c r="M258" s="22"/>
      <c r="N258" s="7"/>
      <c r="O258" s="23">
        <f>L258+M258+N258</f>
        <v>27295.94</v>
      </c>
      <c r="P258" s="82"/>
      <c r="Q258" s="80">
        <f>O258+P258</f>
        <v>27295.94</v>
      </c>
    </row>
    <row r="259" spans="1:17" ht="12.75">
      <c r="A259" s="35" t="s">
        <v>57</v>
      </c>
      <c r="B259" s="99"/>
      <c r="C259" s="152">
        <v>7685.31</v>
      </c>
      <c r="D259" s="115"/>
      <c r="E259" s="115"/>
      <c r="F259" s="196">
        <f t="shared" si="74"/>
        <v>7685.31</v>
      </c>
      <c r="G259" s="88"/>
      <c r="H259" s="7"/>
      <c r="I259" s="74">
        <f>F259+G259+H259</f>
        <v>7685.31</v>
      </c>
      <c r="J259" s="28"/>
      <c r="K259" s="7"/>
      <c r="L259" s="74">
        <f>I259+J259+K259</f>
        <v>7685.31</v>
      </c>
      <c r="M259" s="22"/>
      <c r="N259" s="7"/>
      <c r="O259" s="23">
        <f>L259+M259+N259</f>
        <v>7685.31</v>
      </c>
      <c r="P259" s="82"/>
      <c r="Q259" s="80">
        <f>O259+P259</f>
        <v>7685.31</v>
      </c>
    </row>
    <row r="260" spans="1:17" ht="12.75">
      <c r="A260" s="35" t="s">
        <v>280</v>
      </c>
      <c r="B260" s="99"/>
      <c r="C260" s="152">
        <v>1450</v>
      </c>
      <c r="D260" s="115"/>
      <c r="E260" s="115"/>
      <c r="F260" s="196">
        <f t="shared" si="74"/>
        <v>1450</v>
      </c>
      <c r="G260" s="88"/>
      <c r="H260" s="7"/>
      <c r="I260" s="74">
        <f>F260+G260+H260</f>
        <v>1450</v>
      </c>
      <c r="J260" s="28"/>
      <c r="K260" s="7"/>
      <c r="L260" s="74">
        <f>I260+J260+K260</f>
        <v>1450</v>
      </c>
      <c r="M260" s="22"/>
      <c r="N260" s="7"/>
      <c r="O260" s="23">
        <f>L260+M260+N260</f>
        <v>1450</v>
      </c>
      <c r="P260" s="82"/>
      <c r="Q260" s="80">
        <f>O260+P260</f>
        <v>1450</v>
      </c>
    </row>
    <row r="261" spans="1:17" ht="12.75">
      <c r="A261" s="35" t="s">
        <v>58</v>
      </c>
      <c r="B261" s="99"/>
      <c r="C261" s="152">
        <v>14175.4</v>
      </c>
      <c r="D261" s="115">
        <f>-70.1+1000</f>
        <v>929.9</v>
      </c>
      <c r="E261" s="115"/>
      <c r="F261" s="196">
        <f t="shared" si="74"/>
        <v>15105.3</v>
      </c>
      <c r="G261" s="88"/>
      <c r="H261" s="7"/>
      <c r="I261" s="74">
        <f>F261+G261+H261</f>
        <v>15105.3</v>
      </c>
      <c r="J261" s="28"/>
      <c r="K261" s="7"/>
      <c r="L261" s="74">
        <f>I261+J261+K261</f>
        <v>15105.3</v>
      </c>
      <c r="M261" s="22"/>
      <c r="N261" s="7"/>
      <c r="O261" s="23">
        <f>L261+M261+N261</f>
        <v>15105.3</v>
      </c>
      <c r="P261" s="82"/>
      <c r="Q261" s="80">
        <f>O261+P261</f>
        <v>15105.3</v>
      </c>
    </row>
    <row r="262" spans="1:17" ht="12.75" hidden="1">
      <c r="A262" s="35" t="s">
        <v>88</v>
      </c>
      <c r="B262" s="99"/>
      <c r="C262" s="152"/>
      <c r="D262" s="115"/>
      <c r="E262" s="115"/>
      <c r="F262" s="196">
        <f t="shared" si="74"/>
        <v>0</v>
      </c>
      <c r="G262" s="88"/>
      <c r="H262" s="7"/>
      <c r="I262" s="74"/>
      <c r="J262" s="28"/>
      <c r="K262" s="7"/>
      <c r="L262" s="74"/>
      <c r="M262" s="22"/>
      <c r="N262" s="7"/>
      <c r="O262" s="23"/>
      <c r="P262" s="82"/>
      <c r="Q262" s="80"/>
    </row>
    <row r="263" spans="1:17" ht="12.75">
      <c r="A263" s="35" t="s">
        <v>59</v>
      </c>
      <c r="B263" s="99"/>
      <c r="C263" s="152">
        <v>500</v>
      </c>
      <c r="D263" s="115"/>
      <c r="E263" s="115"/>
      <c r="F263" s="196">
        <f t="shared" si="74"/>
        <v>500</v>
      </c>
      <c r="G263" s="88"/>
      <c r="H263" s="7"/>
      <c r="I263" s="74">
        <f>F263+G263+H263</f>
        <v>500</v>
      </c>
      <c r="J263" s="28"/>
      <c r="K263" s="7"/>
      <c r="L263" s="74">
        <f>I263+J263+K263</f>
        <v>500</v>
      </c>
      <c r="M263" s="22"/>
      <c r="N263" s="7"/>
      <c r="O263" s="23">
        <f>L263+M263+N263</f>
        <v>500</v>
      </c>
      <c r="P263" s="82"/>
      <c r="Q263" s="80">
        <f>O263+P263</f>
        <v>500</v>
      </c>
    </row>
    <row r="264" spans="1:17" ht="12.75">
      <c r="A264" s="35" t="s">
        <v>281</v>
      </c>
      <c r="B264" s="99"/>
      <c r="C264" s="152">
        <v>9000</v>
      </c>
      <c r="D264" s="115">
        <f>1300</f>
        <v>1300</v>
      </c>
      <c r="E264" s="115"/>
      <c r="F264" s="196">
        <f t="shared" si="74"/>
        <v>10300</v>
      </c>
      <c r="G264" s="88"/>
      <c r="H264" s="7"/>
      <c r="I264" s="74"/>
      <c r="J264" s="28"/>
      <c r="K264" s="7"/>
      <c r="L264" s="74"/>
      <c r="M264" s="22"/>
      <c r="N264" s="7"/>
      <c r="O264" s="23"/>
      <c r="P264" s="82"/>
      <c r="Q264" s="80"/>
    </row>
    <row r="265" spans="1:17" ht="12.75">
      <c r="A265" s="35" t="s">
        <v>282</v>
      </c>
      <c r="B265" s="99"/>
      <c r="C265" s="152">
        <v>600</v>
      </c>
      <c r="D265" s="115">
        <f>2725.7</f>
        <v>2725.7</v>
      </c>
      <c r="E265" s="115"/>
      <c r="F265" s="196">
        <f t="shared" si="74"/>
        <v>3325.7</v>
      </c>
      <c r="G265" s="88"/>
      <c r="H265" s="7"/>
      <c r="I265" s="74"/>
      <c r="J265" s="28"/>
      <c r="K265" s="7"/>
      <c r="L265" s="74"/>
      <c r="M265" s="22"/>
      <c r="N265" s="7"/>
      <c r="O265" s="23"/>
      <c r="P265" s="82"/>
      <c r="Q265" s="80"/>
    </row>
    <row r="266" spans="1:17" ht="12.75" hidden="1">
      <c r="A266" s="35" t="s">
        <v>60</v>
      </c>
      <c r="B266" s="99"/>
      <c r="C266" s="152"/>
      <c r="D266" s="115"/>
      <c r="E266" s="115"/>
      <c r="F266" s="196">
        <f t="shared" si="74"/>
        <v>0</v>
      </c>
      <c r="G266" s="88"/>
      <c r="H266" s="7"/>
      <c r="I266" s="74">
        <f>F266+G266+H266</f>
        <v>0</v>
      </c>
      <c r="J266" s="28"/>
      <c r="K266" s="7"/>
      <c r="L266" s="74">
        <f>I266+J266+K266</f>
        <v>0</v>
      </c>
      <c r="M266" s="22"/>
      <c r="N266" s="7"/>
      <c r="O266" s="23">
        <f>L266+M266+N266</f>
        <v>0</v>
      </c>
      <c r="P266" s="82"/>
      <c r="Q266" s="80">
        <f>O266+P266</f>
        <v>0</v>
      </c>
    </row>
    <row r="267" spans="1:17" ht="12.75">
      <c r="A267" s="42" t="s">
        <v>61</v>
      </c>
      <c r="B267" s="103"/>
      <c r="C267" s="181">
        <f aca="true" t="shared" si="75" ref="C267:Q267">SUM(C269:C273)</f>
        <v>0</v>
      </c>
      <c r="D267" s="125">
        <f t="shared" si="75"/>
        <v>1350</v>
      </c>
      <c r="E267" s="125">
        <f t="shared" si="75"/>
        <v>0</v>
      </c>
      <c r="F267" s="201">
        <f t="shared" si="75"/>
        <v>1350</v>
      </c>
      <c r="G267" s="218">
        <f t="shared" si="75"/>
        <v>0</v>
      </c>
      <c r="H267" s="125">
        <f t="shared" si="75"/>
        <v>0</v>
      </c>
      <c r="I267" s="171">
        <f t="shared" si="75"/>
        <v>250</v>
      </c>
      <c r="J267" s="181">
        <f t="shared" si="75"/>
        <v>0</v>
      </c>
      <c r="K267" s="125">
        <f t="shared" si="75"/>
        <v>0</v>
      </c>
      <c r="L267" s="171">
        <f t="shared" si="75"/>
        <v>250</v>
      </c>
      <c r="M267" s="124">
        <f t="shared" si="75"/>
        <v>0</v>
      </c>
      <c r="N267" s="124">
        <f t="shared" si="75"/>
        <v>0</v>
      </c>
      <c r="O267" s="124">
        <f t="shared" si="75"/>
        <v>250</v>
      </c>
      <c r="P267" s="124">
        <f t="shared" si="75"/>
        <v>0</v>
      </c>
      <c r="Q267" s="253">
        <f t="shared" si="75"/>
        <v>250</v>
      </c>
    </row>
    <row r="268" spans="1:17" ht="12.75">
      <c r="A268" s="33" t="s">
        <v>27</v>
      </c>
      <c r="B268" s="99"/>
      <c r="C268" s="145"/>
      <c r="D268" s="118"/>
      <c r="E268" s="118"/>
      <c r="F268" s="197"/>
      <c r="G268" s="215"/>
      <c r="H268" s="8"/>
      <c r="I268" s="29"/>
      <c r="J268" s="233"/>
      <c r="K268" s="8"/>
      <c r="L268" s="29"/>
      <c r="M268" s="24"/>
      <c r="N268" s="8"/>
      <c r="O268" s="25"/>
      <c r="P268" s="82"/>
      <c r="Q268" s="80"/>
    </row>
    <row r="269" spans="1:17" ht="12.75" hidden="1">
      <c r="A269" s="35" t="s">
        <v>168</v>
      </c>
      <c r="B269" s="99"/>
      <c r="C269" s="152"/>
      <c r="D269" s="115"/>
      <c r="E269" s="115"/>
      <c r="F269" s="196">
        <f>C269+D269+E269</f>
        <v>0</v>
      </c>
      <c r="G269" s="88"/>
      <c r="H269" s="7"/>
      <c r="I269" s="74">
        <f>F269+G269+H269</f>
        <v>0</v>
      </c>
      <c r="J269" s="28"/>
      <c r="K269" s="7"/>
      <c r="L269" s="74">
        <f>I269+J269+K269</f>
        <v>0</v>
      </c>
      <c r="M269" s="22"/>
      <c r="N269" s="7"/>
      <c r="O269" s="23">
        <f>L269+M269+N269</f>
        <v>0</v>
      </c>
      <c r="P269" s="82"/>
      <c r="Q269" s="80">
        <f>O269+P269</f>
        <v>0</v>
      </c>
    </row>
    <row r="270" spans="1:17" ht="12.75">
      <c r="A270" s="35" t="s">
        <v>281</v>
      </c>
      <c r="B270" s="99"/>
      <c r="C270" s="152"/>
      <c r="D270" s="115">
        <f>800</f>
        <v>800</v>
      </c>
      <c r="E270" s="115"/>
      <c r="F270" s="196">
        <f>C270+D270+E270</f>
        <v>800</v>
      </c>
      <c r="G270" s="88"/>
      <c r="H270" s="7"/>
      <c r="I270" s="74"/>
      <c r="J270" s="28"/>
      <c r="K270" s="7"/>
      <c r="L270" s="74"/>
      <c r="M270" s="22"/>
      <c r="N270" s="7"/>
      <c r="O270" s="23"/>
      <c r="P270" s="82"/>
      <c r="Q270" s="80"/>
    </row>
    <row r="271" spans="1:17" ht="12.75">
      <c r="A271" s="35" t="s">
        <v>282</v>
      </c>
      <c r="B271" s="99"/>
      <c r="C271" s="152"/>
      <c r="D271" s="115">
        <f>300</f>
        <v>300</v>
      </c>
      <c r="E271" s="115"/>
      <c r="F271" s="196">
        <f>C271+D271+E271</f>
        <v>300</v>
      </c>
      <c r="G271" s="88"/>
      <c r="H271" s="7"/>
      <c r="I271" s="74"/>
      <c r="J271" s="28"/>
      <c r="K271" s="7"/>
      <c r="L271" s="74"/>
      <c r="M271" s="22"/>
      <c r="N271" s="7"/>
      <c r="O271" s="23"/>
      <c r="P271" s="82"/>
      <c r="Q271" s="80"/>
    </row>
    <row r="272" spans="1:17" ht="12.75" hidden="1">
      <c r="A272" s="35" t="s">
        <v>60</v>
      </c>
      <c r="B272" s="99"/>
      <c r="C272" s="152"/>
      <c r="D272" s="115"/>
      <c r="E272" s="115"/>
      <c r="F272" s="196">
        <f>C272+D272+E272</f>
        <v>0</v>
      </c>
      <c r="G272" s="219"/>
      <c r="H272" s="10"/>
      <c r="I272" s="73">
        <f>F272+G272+H272</f>
        <v>0</v>
      </c>
      <c r="J272" s="234"/>
      <c r="K272" s="10"/>
      <c r="L272" s="73">
        <f>I272+J272+K272</f>
        <v>0</v>
      </c>
      <c r="M272" s="26"/>
      <c r="N272" s="10"/>
      <c r="O272" s="27">
        <f>L272+M272+N272</f>
        <v>0</v>
      </c>
      <c r="P272" s="85"/>
      <c r="Q272" s="86">
        <f>O272+P272</f>
        <v>0</v>
      </c>
    </row>
    <row r="273" spans="1:17" ht="12.75">
      <c r="A273" s="38" t="s">
        <v>62</v>
      </c>
      <c r="B273" s="102"/>
      <c r="C273" s="180"/>
      <c r="D273" s="123">
        <f>250</f>
        <v>250</v>
      </c>
      <c r="E273" s="123"/>
      <c r="F273" s="200">
        <f>C273+D273+E273</f>
        <v>250</v>
      </c>
      <c r="G273" s="219"/>
      <c r="H273" s="10"/>
      <c r="I273" s="73">
        <f>F273+G273+H273</f>
        <v>250</v>
      </c>
      <c r="J273" s="234"/>
      <c r="K273" s="10"/>
      <c r="L273" s="73">
        <f>I273+J273+K273</f>
        <v>250</v>
      </c>
      <c r="M273" s="26"/>
      <c r="N273" s="10"/>
      <c r="O273" s="27">
        <f>L273+M273+N273</f>
        <v>250</v>
      </c>
      <c r="P273" s="82"/>
      <c r="Q273" s="80">
        <f>O273+P273</f>
        <v>250</v>
      </c>
    </row>
    <row r="274" spans="1:17" ht="12.75">
      <c r="A274" s="32" t="s">
        <v>288</v>
      </c>
      <c r="B274" s="103"/>
      <c r="C274" s="159">
        <f aca="true" t="shared" si="76" ref="C274:Q274">C275+C292</f>
        <v>419866.13</v>
      </c>
      <c r="D274" s="114">
        <f t="shared" si="76"/>
        <v>24051.07</v>
      </c>
      <c r="E274" s="114">
        <f t="shared" si="76"/>
        <v>0</v>
      </c>
      <c r="F274" s="174">
        <f t="shared" si="76"/>
        <v>443917.19999999995</v>
      </c>
      <c r="G274" s="160">
        <f t="shared" si="76"/>
        <v>0</v>
      </c>
      <c r="H274" s="114">
        <f t="shared" si="76"/>
        <v>0</v>
      </c>
      <c r="I274" s="142">
        <f t="shared" si="76"/>
        <v>443917.19999999995</v>
      </c>
      <c r="J274" s="159">
        <f t="shared" si="76"/>
        <v>0</v>
      </c>
      <c r="K274" s="114">
        <f t="shared" si="76"/>
        <v>0</v>
      </c>
      <c r="L274" s="142">
        <f t="shared" si="76"/>
        <v>443917.19999999995</v>
      </c>
      <c r="M274" s="113">
        <f t="shared" si="76"/>
        <v>0</v>
      </c>
      <c r="N274" s="113">
        <f t="shared" si="76"/>
        <v>0</v>
      </c>
      <c r="O274" s="113">
        <f t="shared" si="76"/>
        <v>443917.19999999995</v>
      </c>
      <c r="P274" s="113">
        <f t="shared" si="76"/>
        <v>0</v>
      </c>
      <c r="Q274" s="247">
        <f t="shared" si="76"/>
        <v>443917.19999999995</v>
      </c>
    </row>
    <row r="275" spans="1:17" ht="12.75">
      <c r="A275" s="41" t="s">
        <v>56</v>
      </c>
      <c r="B275" s="103"/>
      <c r="C275" s="179">
        <f aca="true" t="shared" si="77" ref="C275:Q275">SUM(C277:C291)</f>
        <v>419866.13</v>
      </c>
      <c r="D275" s="122">
        <f t="shared" si="77"/>
        <v>14411.85</v>
      </c>
      <c r="E275" s="122">
        <f t="shared" si="77"/>
        <v>0</v>
      </c>
      <c r="F275" s="199">
        <f t="shared" si="77"/>
        <v>434277.98</v>
      </c>
      <c r="G275" s="217">
        <f t="shared" si="77"/>
        <v>0</v>
      </c>
      <c r="H275" s="122">
        <f t="shared" si="77"/>
        <v>0</v>
      </c>
      <c r="I275" s="170">
        <f t="shared" si="77"/>
        <v>434277.98</v>
      </c>
      <c r="J275" s="179">
        <f t="shared" si="77"/>
        <v>0</v>
      </c>
      <c r="K275" s="122">
        <f t="shared" si="77"/>
        <v>0</v>
      </c>
      <c r="L275" s="170">
        <f t="shared" si="77"/>
        <v>434277.98</v>
      </c>
      <c r="M275" s="121">
        <f t="shared" si="77"/>
        <v>0</v>
      </c>
      <c r="N275" s="121">
        <f t="shared" si="77"/>
        <v>0</v>
      </c>
      <c r="O275" s="121">
        <f t="shared" si="77"/>
        <v>434277.98</v>
      </c>
      <c r="P275" s="121">
        <f t="shared" si="77"/>
        <v>0</v>
      </c>
      <c r="Q275" s="252">
        <f t="shared" si="77"/>
        <v>434277.98</v>
      </c>
    </row>
    <row r="276" spans="1:17" ht="12.75">
      <c r="A276" s="37" t="s">
        <v>27</v>
      </c>
      <c r="B276" s="99"/>
      <c r="C276" s="152"/>
      <c r="D276" s="115"/>
      <c r="E276" s="115"/>
      <c r="F276" s="196"/>
      <c r="G276" s="88"/>
      <c r="H276" s="7"/>
      <c r="I276" s="74"/>
      <c r="J276" s="28"/>
      <c r="K276" s="7"/>
      <c r="L276" s="74"/>
      <c r="M276" s="22"/>
      <c r="N276" s="7"/>
      <c r="O276" s="23"/>
      <c r="P276" s="82"/>
      <c r="Q276" s="80"/>
    </row>
    <row r="277" spans="1:17" ht="12.75">
      <c r="A277" s="44" t="s">
        <v>150</v>
      </c>
      <c r="B277" s="99"/>
      <c r="C277" s="152">
        <v>217305.11</v>
      </c>
      <c r="D277" s="115">
        <f>1753.37</f>
        <v>1753.37</v>
      </c>
      <c r="E277" s="115"/>
      <c r="F277" s="196">
        <f aca="true" t="shared" si="78" ref="F277:F291">C277+D277+E277</f>
        <v>219058.47999999998</v>
      </c>
      <c r="G277" s="88"/>
      <c r="H277" s="7"/>
      <c r="I277" s="74">
        <f>F277+G277+H277</f>
        <v>219058.47999999998</v>
      </c>
      <c r="J277" s="28"/>
      <c r="K277" s="7"/>
      <c r="L277" s="74">
        <f>I277+J277+K277</f>
        <v>219058.47999999998</v>
      </c>
      <c r="M277" s="22"/>
      <c r="N277" s="7"/>
      <c r="O277" s="23">
        <f>L277+M277+N277</f>
        <v>219058.47999999998</v>
      </c>
      <c r="P277" s="82"/>
      <c r="Q277" s="80">
        <f aca="true" t="shared" si="79" ref="Q277:Q284">O277+P277</f>
        <v>219058.47999999998</v>
      </c>
    </row>
    <row r="278" spans="1:17" ht="12.75">
      <c r="A278" s="35" t="s">
        <v>57</v>
      </c>
      <c r="B278" s="99"/>
      <c r="C278" s="152">
        <v>74147.88</v>
      </c>
      <c r="D278" s="115">
        <f>603.6</f>
        <v>603.6</v>
      </c>
      <c r="E278" s="115"/>
      <c r="F278" s="196">
        <f t="shared" si="78"/>
        <v>74751.48000000001</v>
      </c>
      <c r="G278" s="88"/>
      <c r="H278" s="7"/>
      <c r="I278" s="74">
        <f aca="true" t="shared" si="80" ref="I278:I284">F278+G278+H278</f>
        <v>74751.48000000001</v>
      </c>
      <c r="J278" s="28"/>
      <c r="K278" s="7"/>
      <c r="L278" s="74">
        <f aca="true" t="shared" si="81" ref="L278:L284">I278+J278+K278</f>
        <v>74751.48000000001</v>
      </c>
      <c r="M278" s="22"/>
      <c r="N278" s="7"/>
      <c r="O278" s="23">
        <f aca="true" t="shared" si="82" ref="O278:O284">L278+M278+N278</f>
        <v>74751.48000000001</v>
      </c>
      <c r="P278" s="82"/>
      <c r="Q278" s="80">
        <f t="shared" si="79"/>
        <v>74751.48000000001</v>
      </c>
    </row>
    <row r="279" spans="1:17" ht="12.75">
      <c r="A279" s="35" t="s">
        <v>280</v>
      </c>
      <c r="B279" s="99"/>
      <c r="C279" s="152">
        <v>200</v>
      </c>
      <c r="D279" s="115"/>
      <c r="E279" s="115"/>
      <c r="F279" s="196">
        <f t="shared" si="78"/>
        <v>200</v>
      </c>
      <c r="G279" s="88"/>
      <c r="H279" s="7"/>
      <c r="I279" s="74">
        <f t="shared" si="80"/>
        <v>200</v>
      </c>
      <c r="J279" s="28"/>
      <c r="K279" s="7"/>
      <c r="L279" s="74">
        <f t="shared" si="81"/>
        <v>200</v>
      </c>
      <c r="M279" s="22"/>
      <c r="N279" s="7"/>
      <c r="O279" s="23">
        <f t="shared" si="82"/>
        <v>200</v>
      </c>
      <c r="P279" s="82"/>
      <c r="Q279" s="80">
        <f t="shared" si="79"/>
        <v>200</v>
      </c>
    </row>
    <row r="280" spans="1:17" ht="13.5" thickBot="1">
      <c r="A280" s="241" t="s">
        <v>58</v>
      </c>
      <c r="B280" s="150"/>
      <c r="C280" s="182">
        <v>62887.14</v>
      </c>
      <c r="D280" s="263">
        <f>80+11174+200+61.36</f>
        <v>11515.36</v>
      </c>
      <c r="E280" s="151"/>
      <c r="F280" s="202">
        <f t="shared" si="78"/>
        <v>74402.5</v>
      </c>
      <c r="G280" s="88"/>
      <c r="H280" s="7"/>
      <c r="I280" s="74">
        <f t="shared" si="80"/>
        <v>74402.5</v>
      </c>
      <c r="J280" s="28"/>
      <c r="K280" s="7"/>
      <c r="L280" s="74">
        <f t="shared" si="81"/>
        <v>74402.5</v>
      </c>
      <c r="M280" s="22"/>
      <c r="N280" s="7"/>
      <c r="O280" s="23">
        <f t="shared" si="82"/>
        <v>74402.5</v>
      </c>
      <c r="P280" s="82"/>
      <c r="Q280" s="80">
        <f t="shared" si="79"/>
        <v>74402.5</v>
      </c>
    </row>
    <row r="281" spans="1:17" ht="12.75">
      <c r="A281" s="35" t="s">
        <v>63</v>
      </c>
      <c r="B281" s="99">
        <v>1115</v>
      </c>
      <c r="C281" s="152">
        <v>462</v>
      </c>
      <c r="D281" s="115"/>
      <c r="E281" s="115"/>
      <c r="F281" s="196">
        <f t="shared" si="78"/>
        <v>462</v>
      </c>
      <c r="G281" s="88"/>
      <c r="H281" s="7"/>
      <c r="I281" s="74">
        <f t="shared" si="80"/>
        <v>462</v>
      </c>
      <c r="J281" s="28"/>
      <c r="K281" s="7"/>
      <c r="L281" s="74">
        <f t="shared" si="81"/>
        <v>462</v>
      </c>
      <c r="M281" s="22"/>
      <c r="N281" s="7"/>
      <c r="O281" s="23">
        <f t="shared" si="82"/>
        <v>462</v>
      </c>
      <c r="P281" s="82"/>
      <c r="Q281" s="80">
        <f t="shared" si="79"/>
        <v>462</v>
      </c>
    </row>
    <row r="282" spans="1:17" ht="12.75" hidden="1">
      <c r="A282" s="35" t="s">
        <v>64</v>
      </c>
      <c r="B282" s="99"/>
      <c r="C282" s="152"/>
      <c r="D282" s="115"/>
      <c r="E282" s="115"/>
      <c r="F282" s="196">
        <f t="shared" si="78"/>
        <v>0</v>
      </c>
      <c r="G282" s="88"/>
      <c r="H282" s="7"/>
      <c r="I282" s="74">
        <f t="shared" si="80"/>
        <v>0</v>
      </c>
      <c r="J282" s="28"/>
      <c r="K282" s="7"/>
      <c r="L282" s="74">
        <f t="shared" si="81"/>
        <v>0</v>
      </c>
      <c r="M282" s="22"/>
      <c r="N282" s="7"/>
      <c r="O282" s="23">
        <f t="shared" si="82"/>
        <v>0</v>
      </c>
      <c r="P282" s="82"/>
      <c r="Q282" s="80">
        <f t="shared" si="79"/>
        <v>0</v>
      </c>
    </row>
    <row r="283" spans="1:17" ht="12.75">
      <c r="A283" s="35" t="s">
        <v>65</v>
      </c>
      <c r="B283" s="99">
        <v>51</v>
      </c>
      <c r="C283" s="152">
        <v>64864</v>
      </c>
      <c r="D283" s="115"/>
      <c r="E283" s="115"/>
      <c r="F283" s="196">
        <f t="shared" si="78"/>
        <v>64864</v>
      </c>
      <c r="G283" s="88"/>
      <c r="H283" s="7"/>
      <c r="I283" s="74">
        <f t="shared" si="80"/>
        <v>64864</v>
      </c>
      <c r="J283" s="28"/>
      <c r="K283" s="7"/>
      <c r="L283" s="74">
        <f t="shared" si="81"/>
        <v>64864</v>
      </c>
      <c r="M283" s="22"/>
      <c r="N283" s="7"/>
      <c r="O283" s="23">
        <f t="shared" si="82"/>
        <v>64864</v>
      </c>
      <c r="P283" s="82"/>
      <c r="Q283" s="80">
        <f t="shared" si="79"/>
        <v>64864</v>
      </c>
    </row>
    <row r="284" spans="1:17" ht="12.75">
      <c r="A284" s="35" t="s">
        <v>87</v>
      </c>
      <c r="B284" s="99"/>
      <c r="C284" s="152"/>
      <c r="D284" s="115">
        <f>475+49.52</f>
        <v>524.52</v>
      </c>
      <c r="E284" s="115"/>
      <c r="F284" s="196">
        <f t="shared" si="78"/>
        <v>524.52</v>
      </c>
      <c r="G284" s="88"/>
      <c r="H284" s="7"/>
      <c r="I284" s="74">
        <f t="shared" si="80"/>
        <v>524.52</v>
      </c>
      <c r="J284" s="28"/>
      <c r="K284" s="7"/>
      <c r="L284" s="74">
        <f t="shared" si="81"/>
        <v>524.52</v>
      </c>
      <c r="M284" s="22"/>
      <c r="N284" s="7"/>
      <c r="O284" s="23">
        <f t="shared" si="82"/>
        <v>524.52</v>
      </c>
      <c r="P284" s="82"/>
      <c r="Q284" s="80">
        <f t="shared" si="79"/>
        <v>524.52</v>
      </c>
    </row>
    <row r="285" spans="1:17" ht="12.75" hidden="1">
      <c r="A285" s="35" t="s">
        <v>223</v>
      </c>
      <c r="B285" s="99">
        <v>13234</v>
      </c>
      <c r="C285" s="152"/>
      <c r="D285" s="115"/>
      <c r="E285" s="115"/>
      <c r="F285" s="196">
        <f t="shared" si="78"/>
        <v>0</v>
      </c>
      <c r="G285" s="88"/>
      <c r="H285" s="7"/>
      <c r="I285" s="74"/>
      <c r="J285" s="28"/>
      <c r="K285" s="7"/>
      <c r="L285" s="74"/>
      <c r="M285" s="22"/>
      <c r="N285" s="7"/>
      <c r="O285" s="23"/>
      <c r="P285" s="82"/>
      <c r="Q285" s="80"/>
    </row>
    <row r="286" spans="1:17" ht="12.75" hidden="1">
      <c r="A286" s="35" t="s">
        <v>66</v>
      </c>
      <c r="B286" s="99"/>
      <c r="C286" s="152"/>
      <c r="D286" s="115"/>
      <c r="E286" s="115"/>
      <c r="F286" s="196">
        <f t="shared" si="78"/>
        <v>0</v>
      </c>
      <c r="G286" s="88"/>
      <c r="H286" s="7"/>
      <c r="I286" s="74">
        <f>F286+G286+H286</f>
        <v>0</v>
      </c>
      <c r="J286" s="28"/>
      <c r="K286" s="7"/>
      <c r="L286" s="74">
        <f>I286+J286+K286</f>
        <v>0</v>
      </c>
      <c r="M286" s="22"/>
      <c r="N286" s="7"/>
      <c r="O286" s="23">
        <f>L286+M286+N286</f>
        <v>0</v>
      </c>
      <c r="P286" s="82"/>
      <c r="Q286" s="80">
        <f>O286+P286</f>
        <v>0</v>
      </c>
    </row>
    <row r="287" spans="1:17" ht="12.75" hidden="1">
      <c r="A287" s="35" t="s">
        <v>291</v>
      </c>
      <c r="B287" s="99">
        <v>98008</v>
      </c>
      <c r="C287" s="152"/>
      <c r="D287" s="115"/>
      <c r="E287" s="115"/>
      <c r="F287" s="196">
        <f t="shared" si="78"/>
        <v>0</v>
      </c>
      <c r="G287" s="88"/>
      <c r="H287" s="7"/>
      <c r="I287" s="74"/>
      <c r="J287" s="28"/>
      <c r="K287" s="7"/>
      <c r="L287" s="74"/>
      <c r="M287" s="22"/>
      <c r="N287" s="7"/>
      <c r="O287" s="23"/>
      <c r="P287" s="82"/>
      <c r="Q287" s="80"/>
    </row>
    <row r="288" spans="1:17" ht="12.75" hidden="1">
      <c r="A288" s="35" t="s">
        <v>292</v>
      </c>
      <c r="B288" s="99">
        <v>98071</v>
      </c>
      <c r="C288" s="152"/>
      <c r="D288" s="115"/>
      <c r="E288" s="115"/>
      <c r="F288" s="196">
        <f t="shared" si="78"/>
        <v>0</v>
      </c>
      <c r="G288" s="88"/>
      <c r="H288" s="7"/>
      <c r="I288" s="74"/>
      <c r="J288" s="28"/>
      <c r="K288" s="7"/>
      <c r="L288" s="74"/>
      <c r="M288" s="22"/>
      <c r="N288" s="7"/>
      <c r="O288" s="23"/>
      <c r="P288" s="82"/>
      <c r="Q288" s="80"/>
    </row>
    <row r="289" spans="1:17" ht="12.75">
      <c r="A289" s="35" t="s">
        <v>67</v>
      </c>
      <c r="B289" s="99">
        <v>98074</v>
      </c>
      <c r="C289" s="152"/>
      <c r="D289" s="115">
        <f>15</f>
        <v>15</v>
      </c>
      <c r="E289" s="115"/>
      <c r="F289" s="196">
        <f t="shared" si="78"/>
        <v>15</v>
      </c>
      <c r="G289" s="88"/>
      <c r="H289" s="7"/>
      <c r="I289" s="74">
        <f>F289+G289+H289</f>
        <v>15</v>
      </c>
      <c r="J289" s="28"/>
      <c r="K289" s="7"/>
      <c r="L289" s="74">
        <f>I289+J289+K289</f>
        <v>15</v>
      </c>
      <c r="M289" s="22"/>
      <c r="N289" s="7"/>
      <c r="O289" s="23">
        <f>L289+M289+N289</f>
        <v>15</v>
      </c>
      <c r="P289" s="82"/>
      <c r="Q289" s="80">
        <f>O289+P289</f>
        <v>15</v>
      </c>
    </row>
    <row r="290" spans="1:17" ht="12.75" hidden="1">
      <c r="A290" s="35" t="s">
        <v>68</v>
      </c>
      <c r="B290" s="99"/>
      <c r="C290" s="152"/>
      <c r="D290" s="115"/>
      <c r="E290" s="115"/>
      <c r="F290" s="196">
        <f t="shared" si="78"/>
        <v>0</v>
      </c>
      <c r="G290" s="88"/>
      <c r="H290" s="7"/>
      <c r="I290" s="74">
        <f>F290+G290+H290</f>
        <v>0</v>
      </c>
      <c r="J290" s="28"/>
      <c r="K290" s="7"/>
      <c r="L290" s="74">
        <f>I290+J290+K290</f>
        <v>0</v>
      </c>
      <c r="M290" s="22"/>
      <c r="N290" s="7"/>
      <c r="O290" s="23">
        <f>L290+M290+N290</f>
        <v>0</v>
      </c>
      <c r="P290" s="82"/>
      <c r="Q290" s="80">
        <f>O290+P290</f>
        <v>0</v>
      </c>
    </row>
    <row r="291" spans="1:17" ht="12.75" hidden="1">
      <c r="A291" s="35" t="s">
        <v>69</v>
      </c>
      <c r="B291" s="99">
        <v>4001</v>
      </c>
      <c r="C291" s="152"/>
      <c r="D291" s="115"/>
      <c r="E291" s="115"/>
      <c r="F291" s="196">
        <f t="shared" si="78"/>
        <v>0</v>
      </c>
      <c r="G291" s="88"/>
      <c r="H291" s="7"/>
      <c r="I291" s="74">
        <f>F291+G291+H291</f>
        <v>0</v>
      </c>
      <c r="J291" s="28"/>
      <c r="K291" s="7"/>
      <c r="L291" s="74">
        <f>I291+J291+K291</f>
        <v>0</v>
      </c>
      <c r="M291" s="22"/>
      <c r="N291" s="7"/>
      <c r="O291" s="23">
        <f>L291+M291+N291</f>
        <v>0</v>
      </c>
      <c r="P291" s="82"/>
      <c r="Q291" s="80">
        <f>O291+P291</f>
        <v>0</v>
      </c>
    </row>
    <row r="292" spans="1:17" ht="12.75">
      <c r="A292" s="41" t="s">
        <v>61</v>
      </c>
      <c r="B292" s="103"/>
      <c r="C292" s="179">
        <f>C295+C294</f>
        <v>0</v>
      </c>
      <c r="D292" s="122">
        <f aca="true" t="shared" si="83" ref="D292:Q292">D295+D294</f>
        <v>9639.22</v>
      </c>
      <c r="E292" s="122">
        <f t="shared" si="83"/>
        <v>0</v>
      </c>
      <c r="F292" s="199">
        <f t="shared" si="83"/>
        <v>9639.22</v>
      </c>
      <c r="G292" s="217">
        <f t="shared" si="83"/>
        <v>0</v>
      </c>
      <c r="H292" s="122">
        <f t="shared" si="83"/>
        <v>0</v>
      </c>
      <c r="I292" s="170">
        <f t="shared" si="83"/>
        <v>9639.22</v>
      </c>
      <c r="J292" s="179">
        <f t="shared" si="83"/>
        <v>0</v>
      </c>
      <c r="K292" s="122">
        <f t="shared" si="83"/>
        <v>0</v>
      </c>
      <c r="L292" s="170">
        <f t="shared" si="83"/>
        <v>9639.22</v>
      </c>
      <c r="M292" s="121">
        <f t="shared" si="83"/>
        <v>0</v>
      </c>
      <c r="N292" s="121">
        <f t="shared" si="83"/>
        <v>0</v>
      </c>
      <c r="O292" s="121">
        <f t="shared" si="83"/>
        <v>9639.22</v>
      </c>
      <c r="P292" s="121">
        <f t="shared" si="83"/>
        <v>0</v>
      </c>
      <c r="Q292" s="252">
        <f t="shared" si="83"/>
        <v>9639.22</v>
      </c>
    </row>
    <row r="293" spans="1:17" ht="12.75">
      <c r="A293" s="37" t="s">
        <v>27</v>
      </c>
      <c r="B293" s="99"/>
      <c r="C293" s="152"/>
      <c r="D293" s="115"/>
      <c r="E293" s="115"/>
      <c r="F293" s="174"/>
      <c r="G293" s="88"/>
      <c r="H293" s="7"/>
      <c r="I293" s="70"/>
      <c r="J293" s="28"/>
      <c r="K293" s="7"/>
      <c r="L293" s="70"/>
      <c r="M293" s="22"/>
      <c r="N293" s="7"/>
      <c r="O293" s="21"/>
      <c r="P293" s="82"/>
      <c r="Q293" s="80"/>
    </row>
    <row r="294" spans="1:17" ht="12.75" hidden="1">
      <c r="A294" s="34" t="s">
        <v>62</v>
      </c>
      <c r="B294" s="99"/>
      <c r="C294" s="152"/>
      <c r="D294" s="115"/>
      <c r="E294" s="115"/>
      <c r="F294" s="196">
        <f>C294+D294+E294</f>
        <v>0</v>
      </c>
      <c r="G294" s="88"/>
      <c r="H294" s="7"/>
      <c r="I294" s="74">
        <f>F294+G294+H294</f>
        <v>0</v>
      </c>
      <c r="J294" s="28"/>
      <c r="K294" s="7"/>
      <c r="L294" s="74">
        <f>I294+J294+K294</f>
        <v>0</v>
      </c>
      <c r="M294" s="22"/>
      <c r="N294" s="7"/>
      <c r="O294" s="23">
        <f>L294+M294+N294</f>
        <v>0</v>
      </c>
      <c r="P294" s="82"/>
      <c r="Q294" s="80">
        <f>O294+P294</f>
        <v>0</v>
      </c>
    </row>
    <row r="295" spans="1:17" ht="12.75">
      <c r="A295" s="38" t="s">
        <v>88</v>
      </c>
      <c r="B295" s="102"/>
      <c r="C295" s="180"/>
      <c r="D295" s="123">
        <f>3071+5849.48+718.74</f>
        <v>9639.22</v>
      </c>
      <c r="E295" s="123"/>
      <c r="F295" s="200">
        <f>C295+D295+E295</f>
        <v>9639.22</v>
      </c>
      <c r="G295" s="219"/>
      <c r="H295" s="10"/>
      <c r="I295" s="73">
        <f>F295+G295+H295</f>
        <v>9639.22</v>
      </c>
      <c r="J295" s="234"/>
      <c r="K295" s="10"/>
      <c r="L295" s="73">
        <f>I295+J295+K295</f>
        <v>9639.22</v>
      </c>
      <c r="M295" s="26"/>
      <c r="N295" s="10"/>
      <c r="O295" s="27">
        <f>L295+M295+N295</f>
        <v>9639.22</v>
      </c>
      <c r="P295" s="85"/>
      <c r="Q295" s="86">
        <f>O295+P295</f>
        <v>9639.22</v>
      </c>
    </row>
    <row r="296" spans="1:17" ht="12.75">
      <c r="A296" s="47" t="s">
        <v>180</v>
      </c>
      <c r="B296" s="104"/>
      <c r="C296" s="159">
        <f aca="true" t="shared" si="84" ref="C296:Q296">C297+C319</f>
        <v>856277.74</v>
      </c>
      <c r="D296" s="114">
        <f t="shared" si="84"/>
        <v>1510596.3699999999</v>
      </c>
      <c r="E296" s="114">
        <f t="shared" si="84"/>
        <v>0</v>
      </c>
      <c r="F296" s="174">
        <f t="shared" si="84"/>
        <v>2366874.11</v>
      </c>
      <c r="G296" s="160">
        <f t="shared" si="84"/>
        <v>0</v>
      </c>
      <c r="H296" s="114">
        <f t="shared" si="84"/>
        <v>0</v>
      </c>
      <c r="I296" s="142">
        <f t="shared" si="84"/>
        <v>0</v>
      </c>
      <c r="J296" s="159">
        <f t="shared" si="84"/>
        <v>0</v>
      </c>
      <c r="K296" s="114">
        <f t="shared" si="84"/>
        <v>0</v>
      </c>
      <c r="L296" s="142">
        <f t="shared" si="84"/>
        <v>0</v>
      </c>
      <c r="M296" s="113">
        <f t="shared" si="84"/>
        <v>0</v>
      </c>
      <c r="N296" s="113">
        <f t="shared" si="84"/>
        <v>0</v>
      </c>
      <c r="O296" s="113">
        <f t="shared" si="84"/>
        <v>0</v>
      </c>
      <c r="P296" s="113">
        <f t="shared" si="84"/>
        <v>0</v>
      </c>
      <c r="Q296" s="247">
        <f t="shared" si="84"/>
        <v>0</v>
      </c>
    </row>
    <row r="297" spans="1:17" ht="12.75">
      <c r="A297" s="41" t="s">
        <v>56</v>
      </c>
      <c r="B297" s="103"/>
      <c r="C297" s="179">
        <f aca="true" t="shared" si="85" ref="C297:Q297">SUM(C299:C307)</f>
        <v>81041.73999999999</v>
      </c>
      <c r="D297" s="122">
        <f t="shared" si="85"/>
        <v>37300.939999999995</v>
      </c>
      <c r="E297" s="122">
        <f t="shared" si="85"/>
        <v>0</v>
      </c>
      <c r="F297" s="199">
        <f t="shared" si="85"/>
        <v>118342.68</v>
      </c>
      <c r="G297" s="217">
        <f t="shared" si="85"/>
        <v>0</v>
      </c>
      <c r="H297" s="122">
        <f t="shared" si="85"/>
        <v>0</v>
      </c>
      <c r="I297" s="170">
        <f t="shared" si="85"/>
        <v>0</v>
      </c>
      <c r="J297" s="179">
        <f t="shared" si="85"/>
        <v>0</v>
      </c>
      <c r="K297" s="122">
        <f t="shared" si="85"/>
        <v>0</v>
      </c>
      <c r="L297" s="170">
        <f t="shared" si="85"/>
        <v>0</v>
      </c>
      <c r="M297" s="121">
        <f t="shared" si="85"/>
        <v>0</v>
      </c>
      <c r="N297" s="121">
        <f t="shared" si="85"/>
        <v>0</v>
      </c>
      <c r="O297" s="121">
        <f t="shared" si="85"/>
        <v>0</v>
      </c>
      <c r="P297" s="121">
        <f t="shared" si="85"/>
        <v>0</v>
      </c>
      <c r="Q297" s="252">
        <f t="shared" si="85"/>
        <v>0</v>
      </c>
    </row>
    <row r="298" spans="1:17" ht="12.75">
      <c r="A298" s="37" t="s">
        <v>27</v>
      </c>
      <c r="B298" s="99"/>
      <c r="C298" s="179"/>
      <c r="D298" s="139"/>
      <c r="E298" s="139"/>
      <c r="F298" s="199"/>
      <c r="G298" s="88"/>
      <c r="H298" s="7"/>
      <c r="I298" s="74"/>
      <c r="J298" s="28"/>
      <c r="K298" s="7"/>
      <c r="L298" s="74"/>
      <c r="M298" s="31"/>
      <c r="N298" s="7"/>
      <c r="O298" s="23"/>
      <c r="P298" s="82"/>
      <c r="Q298" s="80"/>
    </row>
    <row r="299" spans="1:17" ht="12.75">
      <c r="A299" s="39" t="s">
        <v>58</v>
      </c>
      <c r="B299" s="99"/>
      <c r="C299" s="152">
        <v>2645.9</v>
      </c>
      <c r="D299" s="126">
        <f>52.8</f>
        <v>52.8</v>
      </c>
      <c r="E299" s="126"/>
      <c r="F299" s="196">
        <f aca="true" t="shared" si="86" ref="F299:F318">C299+D299+E299</f>
        <v>2698.7000000000003</v>
      </c>
      <c r="G299" s="88"/>
      <c r="H299" s="7"/>
      <c r="I299" s="74"/>
      <c r="J299" s="28"/>
      <c r="K299" s="7"/>
      <c r="L299" s="74"/>
      <c r="M299" s="31"/>
      <c r="N299" s="7"/>
      <c r="O299" s="23"/>
      <c r="P299" s="82"/>
      <c r="Q299" s="80"/>
    </row>
    <row r="300" spans="1:17" ht="12.75">
      <c r="A300" s="39" t="s">
        <v>190</v>
      </c>
      <c r="B300" s="99">
        <v>1080</v>
      </c>
      <c r="C300" s="152"/>
      <c r="D300" s="126">
        <f>1493.12</f>
        <v>1493.12</v>
      </c>
      <c r="E300" s="126"/>
      <c r="F300" s="196">
        <f t="shared" si="86"/>
        <v>1493.12</v>
      </c>
      <c r="G300" s="88"/>
      <c r="H300" s="7"/>
      <c r="I300" s="74"/>
      <c r="J300" s="28"/>
      <c r="K300" s="7"/>
      <c r="L300" s="74"/>
      <c r="M300" s="31"/>
      <c r="N300" s="7"/>
      <c r="O300" s="23"/>
      <c r="P300" s="82"/>
      <c r="Q300" s="80"/>
    </row>
    <row r="301" spans="1:17" ht="12.75">
      <c r="A301" s="39" t="s">
        <v>191</v>
      </c>
      <c r="B301" s="240">
        <v>1081.1202</v>
      </c>
      <c r="C301" s="152">
        <v>2502</v>
      </c>
      <c r="D301" s="126">
        <f>1114.97</f>
        <v>1114.97</v>
      </c>
      <c r="E301" s="126"/>
      <c r="F301" s="196">
        <f t="shared" si="86"/>
        <v>3616.9700000000003</v>
      </c>
      <c r="G301" s="88"/>
      <c r="H301" s="7"/>
      <c r="I301" s="74"/>
      <c r="J301" s="28"/>
      <c r="K301" s="7"/>
      <c r="L301" s="74"/>
      <c r="M301" s="31"/>
      <c r="N301" s="7"/>
      <c r="O301" s="23"/>
      <c r="P301" s="82"/>
      <c r="Q301" s="80"/>
    </row>
    <row r="302" spans="1:17" ht="12.75">
      <c r="A302" s="100" t="s">
        <v>91</v>
      </c>
      <c r="B302" s="99"/>
      <c r="C302" s="152">
        <v>550</v>
      </c>
      <c r="D302" s="126"/>
      <c r="E302" s="126"/>
      <c r="F302" s="196">
        <f t="shared" si="86"/>
        <v>550</v>
      </c>
      <c r="G302" s="88"/>
      <c r="H302" s="7"/>
      <c r="I302" s="74"/>
      <c r="J302" s="28"/>
      <c r="K302" s="7"/>
      <c r="L302" s="74"/>
      <c r="M302" s="31"/>
      <c r="N302" s="7"/>
      <c r="O302" s="23"/>
      <c r="P302" s="82"/>
      <c r="Q302" s="80"/>
    </row>
    <row r="303" spans="1:17" ht="12.75">
      <c r="A303" s="35" t="s">
        <v>198</v>
      </c>
      <c r="B303" s="99"/>
      <c r="C303" s="152">
        <v>34518.84</v>
      </c>
      <c r="D303" s="126">
        <f>-300</f>
        <v>-300</v>
      </c>
      <c r="E303" s="126"/>
      <c r="F303" s="196">
        <f t="shared" si="86"/>
        <v>34218.84</v>
      </c>
      <c r="G303" s="88"/>
      <c r="H303" s="7"/>
      <c r="I303" s="74"/>
      <c r="J303" s="28"/>
      <c r="K303" s="7"/>
      <c r="L303" s="74"/>
      <c r="M303" s="31"/>
      <c r="N303" s="7"/>
      <c r="O303" s="23"/>
      <c r="P303" s="82"/>
      <c r="Q303" s="80"/>
    </row>
    <row r="304" spans="1:17" ht="12.75">
      <c r="A304" s="39" t="s">
        <v>260</v>
      </c>
      <c r="B304" s="99"/>
      <c r="C304" s="152"/>
      <c r="D304" s="126">
        <f>500</f>
        <v>500</v>
      </c>
      <c r="E304" s="126"/>
      <c r="F304" s="196">
        <f t="shared" si="86"/>
        <v>500</v>
      </c>
      <c r="G304" s="88"/>
      <c r="H304" s="7"/>
      <c r="I304" s="74"/>
      <c r="J304" s="28"/>
      <c r="K304" s="7"/>
      <c r="L304" s="74"/>
      <c r="M304" s="31"/>
      <c r="N304" s="7"/>
      <c r="O304" s="23"/>
      <c r="P304" s="82"/>
      <c r="Q304" s="80"/>
    </row>
    <row r="305" spans="1:17" ht="12.75" hidden="1">
      <c r="A305" s="35" t="s">
        <v>220</v>
      </c>
      <c r="B305" s="163">
        <v>212163</v>
      </c>
      <c r="C305" s="152"/>
      <c r="D305" s="126"/>
      <c r="E305" s="126"/>
      <c r="F305" s="196">
        <f t="shared" si="86"/>
        <v>0</v>
      </c>
      <c r="G305" s="88"/>
      <c r="H305" s="7"/>
      <c r="I305" s="74"/>
      <c r="J305" s="28"/>
      <c r="K305" s="7"/>
      <c r="L305" s="74"/>
      <c r="M305" s="31"/>
      <c r="N305" s="7"/>
      <c r="O305" s="23"/>
      <c r="P305" s="82"/>
      <c r="Q305" s="80"/>
    </row>
    <row r="306" spans="1:17" ht="12.75">
      <c r="A306" s="39" t="s">
        <v>183</v>
      </c>
      <c r="B306" s="163">
        <v>212162</v>
      </c>
      <c r="C306" s="152"/>
      <c r="D306" s="126">
        <f>658.97</f>
        <v>658.97</v>
      </c>
      <c r="E306" s="126"/>
      <c r="F306" s="196">
        <f t="shared" si="86"/>
        <v>658.97</v>
      </c>
      <c r="G306" s="88"/>
      <c r="H306" s="7"/>
      <c r="I306" s="74"/>
      <c r="J306" s="28"/>
      <c r="K306" s="7"/>
      <c r="L306" s="74"/>
      <c r="M306" s="31"/>
      <c r="N306" s="7"/>
      <c r="O306" s="23"/>
      <c r="P306" s="82"/>
      <c r="Q306" s="80"/>
    </row>
    <row r="307" spans="1:17" ht="12.75">
      <c r="A307" s="35" t="s">
        <v>88</v>
      </c>
      <c r="B307" s="99"/>
      <c r="C307" s="154">
        <f>SUM(C308:C318)</f>
        <v>40825</v>
      </c>
      <c r="D307" s="126">
        <f aca="true" t="shared" si="87" ref="D307:Q307">SUM(D308:D318)</f>
        <v>33781.079999999994</v>
      </c>
      <c r="E307" s="126">
        <f t="shared" si="87"/>
        <v>0</v>
      </c>
      <c r="F307" s="203">
        <f t="shared" si="87"/>
        <v>74606.08</v>
      </c>
      <c r="G307" s="172">
        <f t="shared" si="87"/>
        <v>0</v>
      </c>
      <c r="H307" s="126">
        <f t="shared" si="87"/>
        <v>0</v>
      </c>
      <c r="I307" s="172">
        <f t="shared" si="87"/>
        <v>0</v>
      </c>
      <c r="J307" s="154">
        <f t="shared" si="87"/>
        <v>0</v>
      </c>
      <c r="K307" s="126">
        <f t="shared" si="87"/>
        <v>0</v>
      </c>
      <c r="L307" s="172">
        <f t="shared" si="87"/>
        <v>0</v>
      </c>
      <c r="M307" s="154">
        <f t="shared" si="87"/>
        <v>0</v>
      </c>
      <c r="N307" s="154">
        <f t="shared" si="87"/>
        <v>0</v>
      </c>
      <c r="O307" s="154">
        <f t="shared" si="87"/>
        <v>0</v>
      </c>
      <c r="P307" s="154">
        <f t="shared" si="87"/>
        <v>0</v>
      </c>
      <c r="Q307" s="254">
        <f t="shared" si="87"/>
        <v>0</v>
      </c>
    </row>
    <row r="308" spans="1:17" ht="12.75">
      <c r="A308" s="35" t="s">
        <v>246</v>
      </c>
      <c r="B308" s="99"/>
      <c r="C308" s="154">
        <v>14000</v>
      </c>
      <c r="D308" s="126"/>
      <c r="E308" s="115"/>
      <c r="F308" s="196">
        <f t="shared" si="86"/>
        <v>14000</v>
      </c>
      <c r="G308" s="88"/>
      <c r="H308" s="7"/>
      <c r="I308" s="74"/>
      <c r="J308" s="28"/>
      <c r="K308" s="7"/>
      <c r="L308" s="74"/>
      <c r="M308" s="31"/>
      <c r="N308" s="7"/>
      <c r="O308" s="23"/>
      <c r="P308" s="82"/>
      <c r="Q308" s="80"/>
    </row>
    <row r="309" spans="1:17" ht="12.75">
      <c r="A309" s="35" t="s">
        <v>197</v>
      </c>
      <c r="B309" s="99"/>
      <c r="C309" s="154"/>
      <c r="D309" s="126">
        <f>146.37+25302.67</f>
        <v>25449.039999999997</v>
      </c>
      <c r="E309" s="115"/>
      <c r="F309" s="196">
        <f t="shared" si="86"/>
        <v>25449.039999999997</v>
      </c>
      <c r="G309" s="88"/>
      <c r="H309" s="7"/>
      <c r="I309" s="74"/>
      <c r="J309" s="28"/>
      <c r="K309" s="7"/>
      <c r="L309" s="74"/>
      <c r="M309" s="31"/>
      <c r="N309" s="7"/>
      <c r="O309" s="23"/>
      <c r="P309" s="82"/>
      <c r="Q309" s="80"/>
    </row>
    <row r="310" spans="1:17" ht="12.75">
      <c r="A310" s="35" t="s">
        <v>317</v>
      </c>
      <c r="B310" s="99"/>
      <c r="C310" s="154">
        <v>475</v>
      </c>
      <c r="D310" s="140">
        <f>-475</f>
        <v>-475</v>
      </c>
      <c r="E310" s="115"/>
      <c r="F310" s="196">
        <f t="shared" si="86"/>
        <v>0</v>
      </c>
      <c r="G310" s="88"/>
      <c r="H310" s="7"/>
      <c r="I310" s="74"/>
      <c r="J310" s="28"/>
      <c r="K310" s="7"/>
      <c r="L310" s="74"/>
      <c r="M310" s="31"/>
      <c r="N310" s="7"/>
      <c r="O310" s="23"/>
      <c r="P310" s="82"/>
      <c r="Q310" s="80"/>
    </row>
    <row r="311" spans="1:17" ht="12.75" hidden="1">
      <c r="A311" s="35" t="s">
        <v>231</v>
      </c>
      <c r="B311" s="99"/>
      <c r="C311" s="154"/>
      <c r="D311" s="126"/>
      <c r="E311" s="115"/>
      <c r="F311" s="196">
        <f t="shared" si="86"/>
        <v>0</v>
      </c>
      <c r="G311" s="88"/>
      <c r="H311" s="7"/>
      <c r="I311" s="74"/>
      <c r="J311" s="28"/>
      <c r="K311" s="7"/>
      <c r="L311" s="74"/>
      <c r="M311" s="31"/>
      <c r="N311" s="7"/>
      <c r="O311" s="23"/>
      <c r="P311" s="82"/>
      <c r="Q311" s="80"/>
    </row>
    <row r="312" spans="1:17" ht="12.75">
      <c r="A312" s="35" t="s">
        <v>259</v>
      </c>
      <c r="B312" s="99"/>
      <c r="C312" s="154"/>
      <c r="D312" s="126">
        <f>12500+439.55</f>
        <v>12939.55</v>
      </c>
      <c r="E312" s="115"/>
      <c r="F312" s="196">
        <f t="shared" si="86"/>
        <v>12939.55</v>
      </c>
      <c r="G312" s="88"/>
      <c r="H312" s="7"/>
      <c r="I312" s="74"/>
      <c r="J312" s="28"/>
      <c r="K312" s="7"/>
      <c r="L312" s="74"/>
      <c r="M312" s="31"/>
      <c r="N312" s="7"/>
      <c r="O312" s="23"/>
      <c r="P312" s="82"/>
      <c r="Q312" s="80"/>
    </row>
    <row r="313" spans="1:17" ht="12.75">
      <c r="A313" s="35" t="s">
        <v>196</v>
      </c>
      <c r="B313" s="99"/>
      <c r="C313" s="154"/>
      <c r="D313" s="126">
        <f>146.2+494.22+1.89+731.81+66.43+30.89+557.68+130.68+290.4+1173.45+24.2+13.17+20.57+20.57</f>
        <v>3702.16</v>
      </c>
      <c r="E313" s="115"/>
      <c r="F313" s="196">
        <f t="shared" si="86"/>
        <v>3702.16</v>
      </c>
      <c r="G313" s="88"/>
      <c r="H313" s="7"/>
      <c r="I313" s="74"/>
      <c r="J313" s="28"/>
      <c r="K313" s="7"/>
      <c r="L313" s="74"/>
      <c r="M313" s="31"/>
      <c r="N313" s="7"/>
      <c r="O313" s="23"/>
      <c r="P313" s="82"/>
      <c r="Q313" s="80"/>
    </row>
    <row r="314" spans="1:17" ht="12.75">
      <c r="A314" s="35" t="s">
        <v>199</v>
      </c>
      <c r="B314" s="99"/>
      <c r="C314" s="154"/>
      <c r="D314" s="126">
        <f>2617.13</f>
        <v>2617.13</v>
      </c>
      <c r="E314" s="115"/>
      <c r="F314" s="196">
        <f t="shared" si="86"/>
        <v>2617.13</v>
      </c>
      <c r="G314" s="88"/>
      <c r="H314" s="7"/>
      <c r="I314" s="74"/>
      <c r="J314" s="28"/>
      <c r="K314" s="7"/>
      <c r="L314" s="74"/>
      <c r="M314" s="31"/>
      <c r="N314" s="7"/>
      <c r="O314" s="23"/>
      <c r="P314" s="82"/>
      <c r="Q314" s="80"/>
    </row>
    <row r="315" spans="1:17" ht="12.75">
      <c r="A315" s="35" t="s">
        <v>205</v>
      </c>
      <c r="B315" s="99"/>
      <c r="C315" s="154">
        <v>8463</v>
      </c>
      <c r="D315" s="126">
        <f>-951+41.35</f>
        <v>-909.65</v>
      </c>
      <c r="E315" s="115"/>
      <c r="F315" s="196">
        <f t="shared" si="86"/>
        <v>7553.35</v>
      </c>
      <c r="G315" s="88"/>
      <c r="H315" s="7"/>
      <c r="I315" s="74"/>
      <c r="J315" s="28"/>
      <c r="K315" s="7"/>
      <c r="L315" s="74"/>
      <c r="M315" s="31"/>
      <c r="N315" s="7"/>
      <c r="O315" s="23"/>
      <c r="P315" s="82"/>
      <c r="Q315" s="80"/>
    </row>
    <row r="316" spans="1:17" ht="12.75">
      <c r="A316" s="35" t="s">
        <v>203</v>
      </c>
      <c r="B316" s="99"/>
      <c r="C316" s="154">
        <v>16691</v>
      </c>
      <c r="D316" s="126">
        <f>-12690.05+2000</f>
        <v>-10690.05</v>
      </c>
      <c r="E316" s="115"/>
      <c r="F316" s="196">
        <f t="shared" si="86"/>
        <v>6000.950000000001</v>
      </c>
      <c r="G316" s="88"/>
      <c r="H316" s="7"/>
      <c r="I316" s="74"/>
      <c r="J316" s="28"/>
      <c r="K316" s="7"/>
      <c r="L316" s="74"/>
      <c r="M316" s="31"/>
      <c r="N316" s="7"/>
      <c r="O316" s="23"/>
      <c r="P316" s="82"/>
      <c r="Q316" s="80"/>
    </row>
    <row r="317" spans="1:17" ht="12.75">
      <c r="A317" s="35" t="s">
        <v>235</v>
      </c>
      <c r="B317" s="99"/>
      <c r="C317" s="154">
        <v>1196</v>
      </c>
      <c r="D317" s="126">
        <f>-140.48-105+671</f>
        <v>425.52</v>
      </c>
      <c r="E317" s="115"/>
      <c r="F317" s="196">
        <f t="shared" si="86"/>
        <v>1621.52</v>
      </c>
      <c r="G317" s="88"/>
      <c r="H317" s="7"/>
      <c r="I317" s="74"/>
      <c r="J317" s="28"/>
      <c r="K317" s="7"/>
      <c r="L317" s="74"/>
      <c r="M317" s="31"/>
      <c r="N317" s="7"/>
      <c r="O317" s="23"/>
      <c r="P317" s="82"/>
      <c r="Q317" s="80"/>
    </row>
    <row r="318" spans="1:17" ht="12.75">
      <c r="A318" s="35" t="s">
        <v>274</v>
      </c>
      <c r="B318" s="99"/>
      <c r="C318" s="154"/>
      <c r="D318" s="140">
        <f>767.53-6.64-3.09-33-2.42</f>
        <v>722.38</v>
      </c>
      <c r="E318" s="115"/>
      <c r="F318" s="196">
        <f t="shared" si="86"/>
        <v>722.38</v>
      </c>
      <c r="G318" s="88"/>
      <c r="H318" s="7"/>
      <c r="I318" s="74"/>
      <c r="J318" s="28"/>
      <c r="K318" s="7"/>
      <c r="L318" s="74"/>
      <c r="M318" s="31"/>
      <c r="N318" s="7"/>
      <c r="O318" s="23"/>
      <c r="P318" s="82"/>
      <c r="Q318" s="80"/>
    </row>
    <row r="319" spans="1:17" ht="12.75">
      <c r="A319" s="41" t="s">
        <v>61</v>
      </c>
      <c r="B319" s="103"/>
      <c r="C319" s="179">
        <f aca="true" t="shared" si="88" ref="C319:Q319">SUM(C321:C332)</f>
        <v>775236</v>
      </c>
      <c r="D319" s="122">
        <f t="shared" si="88"/>
        <v>1473295.43</v>
      </c>
      <c r="E319" s="122">
        <f t="shared" si="88"/>
        <v>0</v>
      </c>
      <c r="F319" s="199">
        <f t="shared" si="88"/>
        <v>2248531.4299999997</v>
      </c>
      <c r="G319" s="217">
        <f t="shared" si="88"/>
        <v>0</v>
      </c>
      <c r="H319" s="122">
        <f t="shared" si="88"/>
        <v>0</v>
      </c>
      <c r="I319" s="170">
        <f t="shared" si="88"/>
        <v>0</v>
      </c>
      <c r="J319" s="179">
        <f t="shared" si="88"/>
        <v>0</v>
      </c>
      <c r="K319" s="122">
        <f t="shared" si="88"/>
        <v>0</v>
      </c>
      <c r="L319" s="170">
        <f t="shared" si="88"/>
        <v>0</v>
      </c>
      <c r="M319" s="121">
        <f t="shared" si="88"/>
        <v>0</v>
      </c>
      <c r="N319" s="121">
        <f t="shared" si="88"/>
        <v>0</v>
      </c>
      <c r="O319" s="121">
        <f t="shared" si="88"/>
        <v>0</v>
      </c>
      <c r="P319" s="121">
        <f t="shared" si="88"/>
        <v>0</v>
      </c>
      <c r="Q319" s="252">
        <f t="shared" si="88"/>
        <v>0</v>
      </c>
    </row>
    <row r="320" spans="1:17" ht="12.75">
      <c r="A320" s="39" t="s">
        <v>27</v>
      </c>
      <c r="B320" s="99"/>
      <c r="C320" s="152"/>
      <c r="D320" s="115"/>
      <c r="E320" s="115"/>
      <c r="F320" s="196"/>
      <c r="G320" s="88"/>
      <c r="H320" s="7"/>
      <c r="I320" s="74"/>
      <c r="J320" s="28"/>
      <c r="K320" s="7"/>
      <c r="L320" s="74"/>
      <c r="M320" s="31"/>
      <c r="N320" s="7"/>
      <c r="O320" s="23"/>
      <c r="P320" s="82"/>
      <c r="Q320" s="80"/>
    </row>
    <row r="321" spans="1:17" ht="12.75" hidden="1">
      <c r="A321" s="39" t="s">
        <v>192</v>
      </c>
      <c r="B321" s="99"/>
      <c r="C321" s="152"/>
      <c r="D321" s="115"/>
      <c r="E321" s="115"/>
      <c r="F321" s="196">
        <f aca="true" t="shared" si="89" ref="F321:F344">C321+D321+E321</f>
        <v>0</v>
      </c>
      <c r="G321" s="88"/>
      <c r="H321" s="7"/>
      <c r="I321" s="74"/>
      <c r="J321" s="28"/>
      <c r="K321" s="7"/>
      <c r="L321" s="74"/>
      <c r="M321" s="31"/>
      <c r="N321" s="7"/>
      <c r="O321" s="23"/>
      <c r="P321" s="82"/>
      <c r="Q321" s="80"/>
    </row>
    <row r="322" spans="1:17" ht="12.75">
      <c r="A322" s="39" t="s">
        <v>191</v>
      </c>
      <c r="B322" s="240">
        <v>1081.1202</v>
      </c>
      <c r="C322" s="152">
        <v>5725</v>
      </c>
      <c r="D322" s="115">
        <f>792.52</f>
        <v>792.52</v>
      </c>
      <c r="E322" s="115"/>
      <c r="F322" s="196">
        <f t="shared" si="89"/>
        <v>6517.52</v>
      </c>
      <c r="G322" s="88"/>
      <c r="H322" s="7"/>
      <c r="I322" s="74"/>
      <c r="J322" s="28"/>
      <c r="K322" s="7"/>
      <c r="L322" s="74"/>
      <c r="M322" s="31"/>
      <c r="N322" s="7"/>
      <c r="O322" s="23"/>
      <c r="P322" s="82"/>
      <c r="Q322" s="80"/>
    </row>
    <row r="323" spans="1:17" ht="12.75">
      <c r="A323" s="39" t="s">
        <v>182</v>
      </c>
      <c r="B323" s="99"/>
      <c r="C323" s="152">
        <v>33853</v>
      </c>
      <c r="D323" s="115">
        <f>4022.06</f>
        <v>4022.06</v>
      </c>
      <c r="E323" s="115"/>
      <c r="F323" s="196">
        <f t="shared" si="89"/>
        <v>37875.06</v>
      </c>
      <c r="G323" s="88"/>
      <c r="H323" s="7"/>
      <c r="I323" s="74"/>
      <c r="J323" s="28"/>
      <c r="K323" s="7"/>
      <c r="L323" s="74"/>
      <c r="M323" s="31"/>
      <c r="N323" s="7"/>
      <c r="O323" s="23"/>
      <c r="P323" s="82"/>
      <c r="Q323" s="80"/>
    </row>
    <row r="324" spans="1:17" ht="12.75">
      <c r="A324" s="39" t="s">
        <v>244</v>
      </c>
      <c r="B324" s="99"/>
      <c r="C324" s="152"/>
      <c r="D324" s="126">
        <f>802.9</f>
        <v>802.9</v>
      </c>
      <c r="E324" s="126"/>
      <c r="F324" s="196">
        <f t="shared" si="89"/>
        <v>802.9</v>
      </c>
      <c r="G324" s="88"/>
      <c r="H324" s="7"/>
      <c r="I324" s="74"/>
      <c r="J324" s="28"/>
      <c r="K324" s="7"/>
      <c r="L324" s="74"/>
      <c r="M324" s="31"/>
      <c r="N324" s="7"/>
      <c r="O324" s="23"/>
      <c r="P324" s="82"/>
      <c r="Q324" s="80"/>
    </row>
    <row r="325" spans="1:17" ht="12.75">
      <c r="A325" s="161" t="s">
        <v>260</v>
      </c>
      <c r="B325" s="99"/>
      <c r="C325" s="152">
        <v>420000</v>
      </c>
      <c r="D325" s="140">
        <f>180000+100000+25+25+8134.79</f>
        <v>288184.79</v>
      </c>
      <c r="E325" s="140"/>
      <c r="F325" s="196">
        <f t="shared" si="89"/>
        <v>708184.79</v>
      </c>
      <c r="G325" s="88"/>
      <c r="H325" s="7"/>
      <c r="I325" s="74"/>
      <c r="J325" s="28"/>
      <c r="K325" s="7"/>
      <c r="L325" s="74"/>
      <c r="M325" s="31"/>
      <c r="N325" s="7"/>
      <c r="O325" s="23"/>
      <c r="P325" s="82"/>
      <c r="Q325" s="80"/>
    </row>
    <row r="326" spans="1:17" ht="12.75">
      <c r="A326" s="39" t="s">
        <v>283</v>
      </c>
      <c r="B326" s="163">
        <v>212161</v>
      </c>
      <c r="C326" s="152">
        <v>81932</v>
      </c>
      <c r="D326" s="126">
        <f>20000+35000+3955.95</f>
        <v>58955.95</v>
      </c>
      <c r="E326" s="126"/>
      <c r="F326" s="196">
        <f t="shared" si="89"/>
        <v>140887.95</v>
      </c>
      <c r="G326" s="88"/>
      <c r="H326" s="7"/>
      <c r="I326" s="74"/>
      <c r="J326" s="28"/>
      <c r="K326" s="7"/>
      <c r="L326" s="74"/>
      <c r="M326" s="31"/>
      <c r="N326" s="7"/>
      <c r="O326" s="23"/>
      <c r="P326" s="82"/>
      <c r="Q326" s="80"/>
    </row>
    <row r="327" spans="1:17" ht="12.75" hidden="1">
      <c r="A327" s="39" t="s">
        <v>268</v>
      </c>
      <c r="B327" s="163">
        <v>22777</v>
      </c>
      <c r="C327" s="152"/>
      <c r="D327" s="126"/>
      <c r="E327" s="126"/>
      <c r="F327" s="196">
        <f t="shared" si="89"/>
        <v>0</v>
      </c>
      <c r="G327" s="88"/>
      <c r="H327" s="7"/>
      <c r="I327" s="74"/>
      <c r="J327" s="28"/>
      <c r="K327" s="7"/>
      <c r="L327" s="74"/>
      <c r="M327" s="31"/>
      <c r="N327" s="7"/>
      <c r="O327" s="23"/>
      <c r="P327" s="82"/>
      <c r="Q327" s="80"/>
    </row>
    <row r="328" spans="1:17" ht="12.75">
      <c r="A328" s="39" t="s">
        <v>324</v>
      </c>
      <c r="B328" s="163">
        <v>98858</v>
      </c>
      <c r="C328" s="152"/>
      <c r="D328" s="126">
        <f>33000</f>
        <v>33000</v>
      </c>
      <c r="E328" s="126"/>
      <c r="F328" s="196">
        <f t="shared" si="89"/>
        <v>33000</v>
      </c>
      <c r="G328" s="88"/>
      <c r="H328" s="7"/>
      <c r="I328" s="74"/>
      <c r="J328" s="28"/>
      <c r="K328" s="7"/>
      <c r="L328" s="74"/>
      <c r="M328" s="31"/>
      <c r="N328" s="7"/>
      <c r="O328" s="23"/>
      <c r="P328" s="82"/>
      <c r="Q328" s="80"/>
    </row>
    <row r="329" spans="1:17" ht="12.75">
      <c r="A329" s="39" t="s">
        <v>183</v>
      </c>
      <c r="B329" s="163">
        <v>212162</v>
      </c>
      <c r="C329" s="152"/>
      <c r="D329" s="126">
        <f>45097.04</f>
        <v>45097.04</v>
      </c>
      <c r="E329" s="126"/>
      <c r="F329" s="196">
        <f t="shared" si="89"/>
        <v>45097.04</v>
      </c>
      <c r="G329" s="88"/>
      <c r="H329" s="7"/>
      <c r="I329" s="74"/>
      <c r="J329" s="28"/>
      <c r="K329" s="7"/>
      <c r="L329" s="74"/>
      <c r="M329" s="31"/>
      <c r="N329" s="7"/>
      <c r="O329" s="23"/>
      <c r="P329" s="82"/>
      <c r="Q329" s="80"/>
    </row>
    <row r="330" spans="1:17" ht="12.75">
      <c r="A330" s="39" t="s">
        <v>86</v>
      </c>
      <c r="B330" s="163"/>
      <c r="C330" s="152"/>
      <c r="D330" s="126">
        <f>153987</f>
        <v>153987</v>
      </c>
      <c r="E330" s="126"/>
      <c r="F330" s="196">
        <f t="shared" si="89"/>
        <v>153987</v>
      </c>
      <c r="G330" s="88"/>
      <c r="H330" s="7"/>
      <c r="I330" s="74"/>
      <c r="J330" s="28"/>
      <c r="K330" s="7"/>
      <c r="L330" s="74"/>
      <c r="M330" s="31"/>
      <c r="N330" s="7"/>
      <c r="O330" s="23"/>
      <c r="P330" s="82"/>
      <c r="Q330" s="80"/>
    </row>
    <row r="331" spans="1:17" ht="12.75">
      <c r="A331" s="39" t="s">
        <v>226</v>
      </c>
      <c r="B331" s="99"/>
      <c r="C331" s="152"/>
      <c r="D331" s="126">
        <f>940.71+300</f>
        <v>1240.71</v>
      </c>
      <c r="E331" s="126"/>
      <c r="F331" s="196">
        <f t="shared" si="89"/>
        <v>1240.71</v>
      </c>
      <c r="G331" s="88"/>
      <c r="H331" s="7"/>
      <c r="I331" s="74"/>
      <c r="J331" s="28"/>
      <c r="K331" s="7"/>
      <c r="L331" s="74"/>
      <c r="M331" s="31"/>
      <c r="N331" s="7"/>
      <c r="O331" s="23"/>
      <c r="P331" s="82"/>
      <c r="Q331" s="80"/>
    </row>
    <row r="332" spans="1:17" ht="12.75">
      <c r="A332" s="39" t="s">
        <v>184</v>
      </c>
      <c r="B332" s="99"/>
      <c r="C332" s="152">
        <f>SUM(C333:C344)</f>
        <v>233726</v>
      </c>
      <c r="D332" s="115">
        <f aca="true" t="shared" si="90" ref="D332:Q332">SUM(D333:D344)</f>
        <v>887212.46</v>
      </c>
      <c r="E332" s="115">
        <f t="shared" si="90"/>
        <v>0</v>
      </c>
      <c r="F332" s="196">
        <f t="shared" si="90"/>
        <v>1120938.46</v>
      </c>
      <c r="G332" s="153">
        <f t="shared" si="90"/>
        <v>0</v>
      </c>
      <c r="H332" s="115">
        <f t="shared" si="90"/>
        <v>0</v>
      </c>
      <c r="I332" s="153">
        <f t="shared" si="90"/>
        <v>0</v>
      </c>
      <c r="J332" s="152">
        <f t="shared" si="90"/>
        <v>0</v>
      </c>
      <c r="K332" s="115">
        <f t="shared" si="90"/>
        <v>0</v>
      </c>
      <c r="L332" s="153">
        <f t="shared" si="90"/>
        <v>0</v>
      </c>
      <c r="M332" s="152">
        <f t="shared" si="90"/>
        <v>0</v>
      </c>
      <c r="N332" s="152">
        <f t="shared" si="90"/>
        <v>0</v>
      </c>
      <c r="O332" s="152">
        <f t="shared" si="90"/>
        <v>0</v>
      </c>
      <c r="P332" s="152">
        <f t="shared" si="90"/>
        <v>0</v>
      </c>
      <c r="Q332" s="248">
        <f t="shared" si="90"/>
        <v>0</v>
      </c>
    </row>
    <row r="333" spans="1:17" ht="12.75">
      <c r="A333" s="39" t="s">
        <v>185</v>
      </c>
      <c r="B333" s="99"/>
      <c r="C333" s="152">
        <v>7410</v>
      </c>
      <c r="D333" s="126">
        <f>20624.21+142104.89</f>
        <v>162729.1</v>
      </c>
      <c r="E333" s="115"/>
      <c r="F333" s="196">
        <f t="shared" si="89"/>
        <v>170139.1</v>
      </c>
      <c r="G333" s="88"/>
      <c r="H333" s="7"/>
      <c r="I333" s="74"/>
      <c r="J333" s="28"/>
      <c r="K333" s="7"/>
      <c r="L333" s="74"/>
      <c r="M333" s="31"/>
      <c r="N333" s="7"/>
      <c r="O333" s="23"/>
      <c r="P333" s="82"/>
      <c r="Q333" s="80"/>
    </row>
    <row r="334" spans="1:17" ht="12.75" hidden="1">
      <c r="A334" s="39" t="s">
        <v>206</v>
      </c>
      <c r="B334" s="99"/>
      <c r="C334" s="152"/>
      <c r="D334" s="126"/>
      <c r="E334" s="115"/>
      <c r="F334" s="196">
        <f t="shared" si="89"/>
        <v>0</v>
      </c>
      <c r="G334" s="88"/>
      <c r="H334" s="7"/>
      <c r="I334" s="74"/>
      <c r="J334" s="28"/>
      <c r="K334" s="7"/>
      <c r="L334" s="74"/>
      <c r="M334" s="31"/>
      <c r="N334" s="7"/>
      <c r="O334" s="23"/>
      <c r="P334" s="82"/>
      <c r="Q334" s="80"/>
    </row>
    <row r="335" spans="1:17" ht="12.75">
      <c r="A335" s="35" t="s">
        <v>318</v>
      </c>
      <c r="B335" s="99"/>
      <c r="C335" s="152">
        <v>3071</v>
      </c>
      <c r="D335" s="126">
        <f>-3071+420</f>
        <v>-2651</v>
      </c>
      <c r="E335" s="115"/>
      <c r="F335" s="196">
        <f t="shared" si="89"/>
        <v>420</v>
      </c>
      <c r="G335" s="88"/>
      <c r="H335" s="7"/>
      <c r="I335" s="74"/>
      <c r="J335" s="28"/>
      <c r="K335" s="7"/>
      <c r="L335" s="74"/>
      <c r="M335" s="31"/>
      <c r="N335" s="7"/>
      <c r="O335" s="23"/>
      <c r="P335" s="82"/>
      <c r="Q335" s="80"/>
    </row>
    <row r="336" spans="1:17" ht="12.75" hidden="1">
      <c r="A336" s="39" t="s">
        <v>219</v>
      </c>
      <c r="B336" s="99"/>
      <c r="C336" s="152"/>
      <c r="D336" s="126"/>
      <c r="E336" s="115"/>
      <c r="F336" s="196">
        <f t="shared" si="89"/>
        <v>0</v>
      </c>
      <c r="G336" s="88"/>
      <c r="H336" s="7"/>
      <c r="I336" s="74"/>
      <c r="J336" s="28"/>
      <c r="K336" s="7"/>
      <c r="L336" s="74"/>
      <c r="M336" s="31"/>
      <c r="N336" s="7"/>
      <c r="O336" s="23"/>
      <c r="P336" s="82"/>
      <c r="Q336" s="80"/>
    </row>
    <row r="337" spans="1:17" ht="12.75">
      <c r="A337" s="39" t="s">
        <v>186</v>
      </c>
      <c r="B337" s="99"/>
      <c r="C337" s="152">
        <v>82040</v>
      </c>
      <c r="D337" s="126">
        <f>223153.48+13199.17</f>
        <v>236352.65000000002</v>
      </c>
      <c r="E337" s="115"/>
      <c r="F337" s="196">
        <f t="shared" si="89"/>
        <v>318392.65</v>
      </c>
      <c r="G337" s="88"/>
      <c r="H337" s="7"/>
      <c r="I337" s="74"/>
      <c r="J337" s="28"/>
      <c r="K337" s="7"/>
      <c r="L337" s="74"/>
      <c r="M337" s="31"/>
      <c r="N337" s="7"/>
      <c r="O337" s="23"/>
      <c r="P337" s="82"/>
      <c r="Q337" s="80"/>
    </row>
    <row r="338" spans="1:17" ht="12.75">
      <c r="A338" s="39" t="s">
        <v>187</v>
      </c>
      <c r="B338" s="99"/>
      <c r="C338" s="152">
        <v>19531</v>
      </c>
      <c r="D338" s="126">
        <f>1421.95+1579.52+435.09+647.68+21.78+6.05+43.56+2661.82+3539.3+618.15+828.99+1642.35+48.4+1824.91+364.77+23.4+1042.29+1963.76+1025.79+334.24+19.6+1010.16+46983.03-545+15693.8+2097.91+121.46+48.4+228.69+26.38+2998.76-12050-1000-2663+650.07+2572.1+1039.36+289.86+42.35+1387.91</f>
        <v>79025.64000000003</v>
      </c>
      <c r="E338" s="115"/>
      <c r="F338" s="196">
        <f t="shared" si="89"/>
        <v>98556.64000000003</v>
      </c>
      <c r="G338" s="88"/>
      <c r="H338" s="7"/>
      <c r="I338" s="74"/>
      <c r="J338" s="28"/>
      <c r="K338" s="7"/>
      <c r="L338" s="74"/>
      <c r="M338" s="31"/>
      <c r="N338" s="7"/>
      <c r="O338" s="23"/>
      <c r="P338" s="82"/>
      <c r="Q338" s="80"/>
    </row>
    <row r="339" spans="1:17" ht="12.75">
      <c r="A339" s="39" t="s">
        <v>193</v>
      </c>
      <c r="B339" s="99"/>
      <c r="C339" s="152">
        <v>57230</v>
      </c>
      <c r="D339" s="126">
        <f>1157.99+12622.64</f>
        <v>13780.63</v>
      </c>
      <c r="E339" s="115"/>
      <c r="F339" s="196">
        <f t="shared" si="89"/>
        <v>71010.63</v>
      </c>
      <c r="G339" s="88"/>
      <c r="H339" s="7"/>
      <c r="I339" s="74"/>
      <c r="J339" s="28"/>
      <c r="K339" s="7"/>
      <c r="L339" s="74"/>
      <c r="M339" s="31"/>
      <c r="N339" s="7"/>
      <c r="O339" s="23"/>
      <c r="P339" s="82"/>
      <c r="Q339" s="80"/>
    </row>
    <row r="340" spans="1:17" ht="12.75">
      <c r="A340" s="39" t="s">
        <v>204</v>
      </c>
      <c r="B340" s="99"/>
      <c r="C340" s="152">
        <v>50803</v>
      </c>
      <c r="D340" s="126">
        <f>689.65+810.9-3364+30480.21+547.34-9000-30657+1094.51</f>
        <v>-9398.390000000001</v>
      </c>
      <c r="E340" s="115"/>
      <c r="F340" s="196">
        <f t="shared" si="89"/>
        <v>41404.61</v>
      </c>
      <c r="G340" s="88"/>
      <c r="H340" s="7"/>
      <c r="I340" s="74"/>
      <c r="J340" s="28"/>
      <c r="K340" s="7"/>
      <c r="L340" s="74"/>
      <c r="M340" s="31"/>
      <c r="N340" s="7"/>
      <c r="O340" s="23"/>
      <c r="P340" s="82"/>
      <c r="Q340" s="80"/>
    </row>
    <row r="341" spans="1:17" ht="12.75">
      <c r="A341" s="39" t="s">
        <v>188</v>
      </c>
      <c r="B341" s="99"/>
      <c r="C341" s="152">
        <v>8641</v>
      </c>
      <c r="D341" s="115">
        <f>1265.87+608.05+1165.23+37309.97+656.05+492.6+17.97</f>
        <v>41515.740000000005</v>
      </c>
      <c r="E341" s="115"/>
      <c r="F341" s="196">
        <f t="shared" si="89"/>
        <v>50156.740000000005</v>
      </c>
      <c r="G341" s="88"/>
      <c r="H341" s="7"/>
      <c r="I341" s="74"/>
      <c r="J341" s="28"/>
      <c r="K341" s="7"/>
      <c r="L341" s="74"/>
      <c r="M341" s="31"/>
      <c r="N341" s="7"/>
      <c r="O341" s="23"/>
      <c r="P341" s="82"/>
      <c r="Q341" s="80"/>
    </row>
    <row r="342" spans="1:17" ht="12.75">
      <c r="A342" s="39" t="s">
        <v>265</v>
      </c>
      <c r="B342" s="99">
        <v>2088</v>
      </c>
      <c r="C342" s="152"/>
      <c r="D342" s="115">
        <f>54326.96</f>
        <v>54326.96</v>
      </c>
      <c r="E342" s="115"/>
      <c r="F342" s="196">
        <f t="shared" si="89"/>
        <v>54326.96</v>
      </c>
      <c r="G342" s="88"/>
      <c r="H342" s="7"/>
      <c r="I342" s="74"/>
      <c r="J342" s="28"/>
      <c r="K342" s="7"/>
      <c r="L342" s="74"/>
      <c r="M342" s="31"/>
      <c r="N342" s="7"/>
      <c r="O342" s="23"/>
      <c r="P342" s="82"/>
      <c r="Q342" s="80"/>
    </row>
    <row r="343" spans="1:17" ht="12.75">
      <c r="A343" s="39" t="s">
        <v>266</v>
      </c>
      <c r="B343" s="99">
        <v>2077</v>
      </c>
      <c r="C343" s="152">
        <v>5000</v>
      </c>
      <c r="D343" s="115">
        <f>96915.92-388.61-23.11-2.34-699.88-167.12+4315+545+33-121.46-23.11-228.69-26.38-6.05+9000+30657+12050+1000+2663+26.5-52.48-25.41-832.75-20.57-20.57</f>
        <v>154566.88999999996</v>
      </c>
      <c r="E343" s="115"/>
      <c r="F343" s="196">
        <f t="shared" si="89"/>
        <v>159566.88999999996</v>
      </c>
      <c r="G343" s="88"/>
      <c r="H343" s="7"/>
      <c r="I343" s="74"/>
      <c r="J343" s="28"/>
      <c r="K343" s="7"/>
      <c r="L343" s="74"/>
      <c r="M343" s="31"/>
      <c r="N343" s="7"/>
      <c r="O343" s="23"/>
      <c r="P343" s="82"/>
      <c r="Q343" s="80"/>
    </row>
    <row r="344" spans="1:17" ht="12.75">
      <c r="A344" s="46" t="s">
        <v>267</v>
      </c>
      <c r="B344" s="102">
        <v>2099</v>
      </c>
      <c r="C344" s="180"/>
      <c r="D344" s="123">
        <f>213890.38-1421.95-1725.72-435.09-259.07-21.78-43.56-2661.82-4033.52-689.65-1265.87-608.05-1165.23-618.15-828.99-1644.24-25.29-2556.72-59.79-364.77-1157.99-21.06-342.41-1963.76-810.9-1025.79-1567.84-167.12-19.6-27.8-47113.71-2097.91-718.74-547.34-25.29+47113.71-35000-21.78-3357.5-656.05-663.24-2572.1-1039.36-492.6-17.97+9668.73-237.38-1094.51-16.94-555.16+4227.97+5824.56</f>
        <v>156964.24000000005</v>
      </c>
      <c r="E344" s="123"/>
      <c r="F344" s="200">
        <f t="shared" si="89"/>
        <v>156964.24000000005</v>
      </c>
      <c r="G344" s="88"/>
      <c r="H344" s="7"/>
      <c r="I344" s="74"/>
      <c r="J344" s="28"/>
      <c r="K344" s="7"/>
      <c r="L344" s="74"/>
      <c r="M344" s="31"/>
      <c r="N344" s="7"/>
      <c r="O344" s="23"/>
      <c r="P344" s="82"/>
      <c r="Q344" s="80"/>
    </row>
    <row r="345" spans="1:17" ht="12.75">
      <c r="A345" s="32" t="s">
        <v>106</v>
      </c>
      <c r="B345" s="103"/>
      <c r="C345" s="159">
        <f aca="true" t="shared" si="91" ref="C345:Q345">C346+C366</f>
        <v>235617.8</v>
      </c>
      <c r="D345" s="114">
        <f t="shared" si="91"/>
        <v>928303.42</v>
      </c>
      <c r="E345" s="114">
        <f t="shared" si="91"/>
        <v>0</v>
      </c>
      <c r="F345" s="174">
        <f t="shared" si="91"/>
        <v>1163921.22</v>
      </c>
      <c r="G345" s="160">
        <f t="shared" si="91"/>
        <v>0</v>
      </c>
      <c r="H345" s="114">
        <f t="shared" si="91"/>
        <v>0</v>
      </c>
      <c r="I345" s="142">
        <f t="shared" si="91"/>
        <v>216676.19999999998</v>
      </c>
      <c r="J345" s="159">
        <f t="shared" si="91"/>
        <v>0</v>
      </c>
      <c r="K345" s="114">
        <f t="shared" si="91"/>
        <v>0</v>
      </c>
      <c r="L345" s="142">
        <f t="shared" si="91"/>
        <v>216676.19999999998</v>
      </c>
      <c r="M345" s="113">
        <f t="shared" si="91"/>
        <v>0</v>
      </c>
      <c r="N345" s="113">
        <f t="shared" si="91"/>
        <v>0</v>
      </c>
      <c r="O345" s="113">
        <f t="shared" si="91"/>
        <v>216676.19999999998</v>
      </c>
      <c r="P345" s="113">
        <f t="shared" si="91"/>
        <v>0</v>
      </c>
      <c r="Q345" s="247">
        <f t="shared" si="91"/>
        <v>216676.19999999998</v>
      </c>
    </row>
    <row r="346" spans="1:17" ht="12.75">
      <c r="A346" s="41" t="s">
        <v>56</v>
      </c>
      <c r="B346" s="103"/>
      <c r="C346" s="179">
        <f aca="true" t="shared" si="92" ref="C346:Q346">SUM(C348:C365)</f>
        <v>235617.8</v>
      </c>
      <c r="D346" s="122">
        <f t="shared" si="92"/>
        <v>928303.42</v>
      </c>
      <c r="E346" s="122">
        <f t="shared" si="92"/>
        <v>0</v>
      </c>
      <c r="F346" s="199">
        <f t="shared" si="92"/>
        <v>1163921.22</v>
      </c>
      <c r="G346" s="217">
        <f t="shared" si="92"/>
        <v>0</v>
      </c>
      <c r="H346" s="122">
        <f t="shared" si="92"/>
        <v>0</v>
      </c>
      <c r="I346" s="170">
        <f t="shared" si="92"/>
        <v>216676.19999999998</v>
      </c>
      <c r="J346" s="179">
        <f t="shared" si="92"/>
        <v>0</v>
      </c>
      <c r="K346" s="122">
        <f t="shared" si="92"/>
        <v>0</v>
      </c>
      <c r="L346" s="170">
        <f t="shared" si="92"/>
        <v>216676.19999999998</v>
      </c>
      <c r="M346" s="121">
        <f t="shared" si="92"/>
        <v>0</v>
      </c>
      <c r="N346" s="121">
        <f t="shared" si="92"/>
        <v>0</v>
      </c>
      <c r="O346" s="121">
        <f t="shared" si="92"/>
        <v>216676.19999999998</v>
      </c>
      <c r="P346" s="121">
        <f t="shared" si="92"/>
        <v>0</v>
      </c>
      <c r="Q346" s="252">
        <f t="shared" si="92"/>
        <v>216676.19999999998</v>
      </c>
    </row>
    <row r="347" spans="1:17" ht="12.75">
      <c r="A347" s="37" t="s">
        <v>27</v>
      </c>
      <c r="B347" s="99"/>
      <c r="C347" s="152"/>
      <c r="D347" s="115"/>
      <c r="E347" s="115"/>
      <c r="F347" s="196"/>
      <c r="G347" s="88"/>
      <c r="H347" s="7"/>
      <c r="I347" s="74"/>
      <c r="J347" s="28"/>
      <c r="K347" s="7"/>
      <c r="L347" s="74"/>
      <c r="M347" s="22"/>
      <c r="N347" s="7"/>
      <c r="O347" s="23"/>
      <c r="P347" s="82"/>
      <c r="Q347" s="80"/>
    </row>
    <row r="348" spans="1:17" ht="12.75">
      <c r="A348" s="48" t="s">
        <v>107</v>
      </c>
      <c r="B348" s="105"/>
      <c r="C348" s="152">
        <v>179520</v>
      </c>
      <c r="D348" s="115"/>
      <c r="E348" s="115"/>
      <c r="F348" s="196">
        <f aca="true" t="shared" si="93" ref="F348:F365">C348+D348+E348</f>
        <v>179520</v>
      </c>
      <c r="G348" s="88"/>
      <c r="H348" s="7"/>
      <c r="I348" s="74">
        <f>F348+G348+H348</f>
        <v>179520</v>
      </c>
      <c r="J348" s="28"/>
      <c r="K348" s="7"/>
      <c r="L348" s="74">
        <f>I348+J348+K348</f>
        <v>179520</v>
      </c>
      <c r="M348" s="22"/>
      <c r="N348" s="7"/>
      <c r="O348" s="23">
        <f>L348+M348+N348</f>
        <v>179520</v>
      </c>
      <c r="P348" s="82"/>
      <c r="Q348" s="80">
        <f>O348+P348</f>
        <v>179520</v>
      </c>
    </row>
    <row r="349" spans="1:17" ht="12.75" hidden="1">
      <c r="A349" s="100" t="s">
        <v>232</v>
      </c>
      <c r="B349" s="105"/>
      <c r="C349" s="152"/>
      <c r="D349" s="115"/>
      <c r="E349" s="115"/>
      <c r="F349" s="196">
        <f t="shared" si="93"/>
        <v>0</v>
      </c>
      <c r="G349" s="88"/>
      <c r="H349" s="7"/>
      <c r="I349" s="74"/>
      <c r="J349" s="28"/>
      <c r="K349" s="7"/>
      <c r="L349" s="74"/>
      <c r="M349" s="22"/>
      <c r="N349" s="7"/>
      <c r="O349" s="23"/>
      <c r="P349" s="82"/>
      <c r="Q349" s="80"/>
    </row>
    <row r="350" spans="1:17" ht="12.75" hidden="1">
      <c r="A350" s="35" t="s">
        <v>159</v>
      </c>
      <c r="B350" s="99"/>
      <c r="C350" s="152"/>
      <c r="D350" s="115"/>
      <c r="E350" s="115"/>
      <c r="F350" s="196">
        <f t="shared" si="93"/>
        <v>0</v>
      </c>
      <c r="G350" s="88"/>
      <c r="H350" s="7"/>
      <c r="I350" s="74">
        <f>F350+G350+H350</f>
        <v>0</v>
      </c>
      <c r="J350" s="28"/>
      <c r="K350" s="7"/>
      <c r="L350" s="74">
        <f>I350+J350+K350</f>
        <v>0</v>
      </c>
      <c r="M350" s="22"/>
      <c r="N350" s="7"/>
      <c r="O350" s="23">
        <f>L350+M350+N350</f>
        <v>0</v>
      </c>
      <c r="P350" s="82"/>
      <c r="Q350" s="80">
        <f>O350+P350</f>
        <v>0</v>
      </c>
    </row>
    <row r="351" spans="1:17" ht="12.75">
      <c r="A351" s="35" t="s">
        <v>176</v>
      </c>
      <c r="B351" s="99"/>
      <c r="C351" s="152">
        <v>45500</v>
      </c>
      <c r="D351" s="115"/>
      <c r="E351" s="115"/>
      <c r="F351" s="196">
        <f t="shared" si="93"/>
        <v>45500</v>
      </c>
      <c r="G351" s="88"/>
      <c r="H351" s="7"/>
      <c r="I351" s="74"/>
      <c r="J351" s="28"/>
      <c r="K351" s="7"/>
      <c r="L351" s="74"/>
      <c r="M351" s="22"/>
      <c r="N351" s="7"/>
      <c r="O351" s="23"/>
      <c r="P351" s="82"/>
      <c r="Q351" s="80"/>
    </row>
    <row r="352" spans="1:17" ht="12.75">
      <c r="A352" s="35" t="s">
        <v>58</v>
      </c>
      <c r="B352" s="99"/>
      <c r="C352" s="152">
        <v>10597.8</v>
      </c>
      <c r="D352" s="115">
        <f>407+317</f>
        <v>724</v>
      </c>
      <c r="E352" s="115"/>
      <c r="F352" s="196">
        <f t="shared" si="93"/>
        <v>11321.8</v>
      </c>
      <c r="G352" s="88"/>
      <c r="H352" s="7"/>
      <c r="I352" s="74">
        <f>F352+G352+H352</f>
        <v>11321.8</v>
      </c>
      <c r="J352" s="28"/>
      <c r="K352" s="7"/>
      <c r="L352" s="74">
        <f>I352+J352+K352</f>
        <v>11321.8</v>
      </c>
      <c r="M352" s="22"/>
      <c r="N352" s="7"/>
      <c r="O352" s="23">
        <f>L352+M352+N352</f>
        <v>11321.8</v>
      </c>
      <c r="P352" s="82"/>
      <c r="Q352" s="80">
        <f>O352+P352</f>
        <v>11321.8</v>
      </c>
    </row>
    <row r="353" spans="1:17" ht="12.75" hidden="1">
      <c r="A353" s="35" t="s">
        <v>72</v>
      </c>
      <c r="B353" s="99"/>
      <c r="C353" s="152"/>
      <c r="D353" s="115"/>
      <c r="E353" s="115"/>
      <c r="F353" s="196">
        <f t="shared" si="93"/>
        <v>0</v>
      </c>
      <c r="G353" s="88"/>
      <c r="H353" s="7"/>
      <c r="I353" s="74">
        <f>F353+G353+H353</f>
        <v>0</v>
      </c>
      <c r="J353" s="28"/>
      <c r="K353" s="7"/>
      <c r="L353" s="74">
        <f>I353+J353+K353</f>
        <v>0</v>
      </c>
      <c r="M353" s="22"/>
      <c r="N353" s="7"/>
      <c r="O353" s="23">
        <f>L353+M353+N353</f>
        <v>0</v>
      </c>
      <c r="P353" s="82"/>
      <c r="Q353" s="80">
        <f>O353+P353</f>
        <v>0</v>
      </c>
    </row>
    <row r="354" spans="1:17" ht="12.75" hidden="1">
      <c r="A354" s="35" t="s">
        <v>301</v>
      </c>
      <c r="B354" s="99">
        <v>13013</v>
      </c>
      <c r="C354" s="152"/>
      <c r="D354" s="115"/>
      <c r="E354" s="115"/>
      <c r="F354" s="196">
        <f t="shared" si="93"/>
        <v>0</v>
      </c>
      <c r="G354" s="88"/>
      <c r="H354" s="7"/>
      <c r="I354" s="74"/>
      <c r="J354" s="28"/>
      <c r="K354" s="7"/>
      <c r="L354" s="74"/>
      <c r="M354" s="22"/>
      <c r="N354" s="7"/>
      <c r="O354" s="23"/>
      <c r="P354" s="82"/>
      <c r="Q354" s="80"/>
    </row>
    <row r="355" spans="1:17" ht="12.75" hidden="1">
      <c r="A355" s="100" t="s">
        <v>326</v>
      </c>
      <c r="B355" s="99">
        <v>2043</v>
      </c>
      <c r="C355" s="152"/>
      <c r="D355" s="115"/>
      <c r="E355" s="115"/>
      <c r="F355" s="196">
        <f t="shared" si="93"/>
        <v>0</v>
      </c>
      <c r="G355" s="88"/>
      <c r="H355" s="7"/>
      <c r="I355" s="74"/>
      <c r="J355" s="28"/>
      <c r="K355" s="7"/>
      <c r="L355" s="74"/>
      <c r="M355" s="22"/>
      <c r="N355" s="7"/>
      <c r="O355" s="23"/>
      <c r="P355" s="82"/>
      <c r="Q355" s="80"/>
    </row>
    <row r="356" spans="1:17" ht="12.75">
      <c r="A356" s="100" t="s">
        <v>331</v>
      </c>
      <c r="B356" s="99">
        <v>2177</v>
      </c>
      <c r="C356" s="152"/>
      <c r="D356" s="115">
        <f>5874.31</f>
        <v>5874.31</v>
      </c>
      <c r="E356" s="115"/>
      <c r="F356" s="196">
        <f t="shared" si="93"/>
        <v>5874.31</v>
      </c>
      <c r="G356" s="88"/>
      <c r="H356" s="7"/>
      <c r="I356" s="74"/>
      <c r="J356" s="28"/>
      <c r="K356" s="7"/>
      <c r="L356" s="74"/>
      <c r="M356" s="22"/>
      <c r="N356" s="7"/>
      <c r="O356" s="23"/>
      <c r="P356" s="82"/>
      <c r="Q356" s="80"/>
    </row>
    <row r="357" spans="1:17" ht="12.75">
      <c r="A357" s="35" t="s">
        <v>327</v>
      </c>
      <c r="B357" s="99">
        <v>2050</v>
      </c>
      <c r="C357" s="152"/>
      <c r="D357" s="115">
        <f>40706.05+1156.84</f>
        <v>41862.89</v>
      </c>
      <c r="E357" s="115"/>
      <c r="F357" s="196">
        <f t="shared" si="93"/>
        <v>41862.89</v>
      </c>
      <c r="G357" s="88"/>
      <c r="H357" s="7"/>
      <c r="I357" s="74"/>
      <c r="J357" s="28"/>
      <c r="K357" s="7"/>
      <c r="L357" s="74"/>
      <c r="M357" s="22"/>
      <c r="N357" s="7"/>
      <c r="O357" s="23"/>
      <c r="P357" s="82"/>
      <c r="Q357" s="80"/>
    </row>
    <row r="358" spans="1:17" ht="12.75" hidden="1">
      <c r="A358" s="35" t="s">
        <v>271</v>
      </c>
      <c r="B358" s="99">
        <v>2050</v>
      </c>
      <c r="C358" s="152"/>
      <c r="D358" s="115"/>
      <c r="E358" s="115"/>
      <c r="F358" s="196">
        <f t="shared" si="93"/>
        <v>0</v>
      </c>
      <c r="G358" s="88"/>
      <c r="H358" s="7"/>
      <c r="I358" s="74"/>
      <c r="J358" s="28"/>
      <c r="K358" s="7"/>
      <c r="L358" s="74"/>
      <c r="M358" s="22"/>
      <c r="N358" s="7"/>
      <c r="O358" s="23"/>
      <c r="P358" s="82"/>
      <c r="Q358" s="80"/>
    </row>
    <row r="359" spans="1:17" ht="12.75">
      <c r="A359" s="35" t="s">
        <v>328</v>
      </c>
      <c r="B359" s="99">
        <v>2073</v>
      </c>
      <c r="C359" s="152"/>
      <c r="D359" s="115">
        <f>24426.27+209.01</f>
        <v>24635.28</v>
      </c>
      <c r="E359" s="115"/>
      <c r="F359" s="196">
        <f t="shared" si="93"/>
        <v>24635.28</v>
      </c>
      <c r="G359" s="88"/>
      <c r="H359" s="7"/>
      <c r="I359" s="74"/>
      <c r="J359" s="28"/>
      <c r="K359" s="7"/>
      <c r="L359" s="74"/>
      <c r="M359" s="22"/>
      <c r="N359" s="7"/>
      <c r="O359" s="23"/>
      <c r="P359" s="82"/>
      <c r="Q359" s="80"/>
    </row>
    <row r="360" spans="1:17" ht="12.75">
      <c r="A360" s="35" t="s">
        <v>325</v>
      </c>
      <c r="B360" s="99">
        <v>2044</v>
      </c>
      <c r="C360" s="152"/>
      <c r="D360" s="115">
        <f>3568.74</f>
        <v>3568.74</v>
      </c>
      <c r="E360" s="115"/>
      <c r="F360" s="196">
        <f t="shared" si="93"/>
        <v>3568.74</v>
      </c>
      <c r="G360" s="88"/>
      <c r="H360" s="7"/>
      <c r="I360" s="74"/>
      <c r="J360" s="28"/>
      <c r="K360" s="7"/>
      <c r="L360" s="74"/>
      <c r="M360" s="22"/>
      <c r="N360" s="7"/>
      <c r="O360" s="23"/>
      <c r="P360" s="82"/>
      <c r="Q360" s="80"/>
    </row>
    <row r="361" spans="1:17" ht="12.75">
      <c r="A361" s="44" t="s">
        <v>227</v>
      </c>
      <c r="B361" s="99">
        <v>13305</v>
      </c>
      <c r="C361" s="152"/>
      <c r="D361" s="115">
        <f>825803.8</f>
        <v>825803.8</v>
      </c>
      <c r="E361" s="115"/>
      <c r="F361" s="196">
        <f t="shared" si="93"/>
        <v>825803.8</v>
      </c>
      <c r="G361" s="88"/>
      <c r="H361" s="7"/>
      <c r="I361" s="74"/>
      <c r="J361" s="28"/>
      <c r="K361" s="7"/>
      <c r="L361" s="74"/>
      <c r="M361" s="22"/>
      <c r="N361" s="7"/>
      <c r="O361" s="23"/>
      <c r="P361" s="82"/>
      <c r="Q361" s="80"/>
    </row>
    <row r="362" spans="1:17" ht="12.75">
      <c r="A362" s="35" t="s">
        <v>108</v>
      </c>
      <c r="B362" s="99">
        <v>13307</v>
      </c>
      <c r="C362" s="152"/>
      <c r="D362" s="115">
        <f>7000</f>
        <v>7000</v>
      </c>
      <c r="E362" s="115"/>
      <c r="F362" s="196">
        <f t="shared" si="93"/>
        <v>7000</v>
      </c>
      <c r="G362" s="88"/>
      <c r="H362" s="7"/>
      <c r="I362" s="74">
        <f>F362+G362+H362</f>
        <v>7000</v>
      </c>
      <c r="J362" s="28"/>
      <c r="K362" s="7"/>
      <c r="L362" s="74">
        <f>I362+J362+K362</f>
        <v>7000</v>
      </c>
      <c r="M362" s="22"/>
      <c r="N362" s="7"/>
      <c r="O362" s="23">
        <f>L362+M362+N362</f>
        <v>7000</v>
      </c>
      <c r="P362" s="82"/>
      <c r="Q362" s="80">
        <f>O362+P362</f>
        <v>7000</v>
      </c>
    </row>
    <row r="363" spans="1:17" ht="12.75" hidden="1">
      <c r="A363" s="35" t="s">
        <v>158</v>
      </c>
      <c r="B363" s="99">
        <v>14032</v>
      </c>
      <c r="C363" s="152"/>
      <c r="D363" s="115"/>
      <c r="E363" s="115"/>
      <c r="F363" s="196">
        <f t="shared" si="93"/>
        <v>0</v>
      </c>
      <c r="G363" s="88"/>
      <c r="H363" s="7"/>
      <c r="I363" s="74">
        <f>F363+G363+H363</f>
        <v>0</v>
      </c>
      <c r="J363" s="28"/>
      <c r="K363" s="7"/>
      <c r="L363" s="74">
        <f>I363+J363+K363</f>
        <v>0</v>
      </c>
      <c r="M363" s="22"/>
      <c r="N363" s="7"/>
      <c r="O363" s="23">
        <f>L363+M363+N363</f>
        <v>0</v>
      </c>
      <c r="P363" s="82"/>
      <c r="Q363" s="80">
        <f>O363+P363</f>
        <v>0</v>
      </c>
    </row>
    <row r="364" spans="1:17" ht="12.75" hidden="1">
      <c r="A364" s="44" t="s">
        <v>165</v>
      </c>
      <c r="B364" s="99">
        <v>4359</v>
      </c>
      <c r="C364" s="152"/>
      <c r="D364" s="115"/>
      <c r="E364" s="115"/>
      <c r="F364" s="196">
        <f t="shared" si="93"/>
        <v>0</v>
      </c>
      <c r="G364" s="88"/>
      <c r="H364" s="7"/>
      <c r="I364" s="74">
        <f>F364+G364+H364</f>
        <v>0</v>
      </c>
      <c r="J364" s="28"/>
      <c r="K364" s="7"/>
      <c r="L364" s="74">
        <f>I364+J364+K364</f>
        <v>0</v>
      </c>
      <c r="M364" s="22"/>
      <c r="N364" s="7"/>
      <c r="O364" s="23">
        <f>L364+M364+N364</f>
        <v>0</v>
      </c>
      <c r="P364" s="82"/>
      <c r="Q364" s="80">
        <f>O364+P364</f>
        <v>0</v>
      </c>
    </row>
    <row r="365" spans="1:17" ht="13.5" thickBot="1">
      <c r="A365" s="241" t="s">
        <v>87</v>
      </c>
      <c r="B365" s="150"/>
      <c r="C365" s="182"/>
      <c r="D365" s="151">
        <f>12690.05+60.57+714.64+5297.25+60.89+11</f>
        <v>18834.399999999998</v>
      </c>
      <c r="E365" s="151"/>
      <c r="F365" s="202">
        <f t="shared" si="93"/>
        <v>18834.399999999998</v>
      </c>
      <c r="G365" s="88"/>
      <c r="H365" s="7"/>
      <c r="I365" s="74">
        <f>F365+G365+H365</f>
        <v>18834.399999999998</v>
      </c>
      <c r="J365" s="28"/>
      <c r="K365" s="7"/>
      <c r="L365" s="74">
        <f>I365+J365+K365</f>
        <v>18834.399999999998</v>
      </c>
      <c r="M365" s="22"/>
      <c r="N365" s="7"/>
      <c r="O365" s="23">
        <f>L365+M365+N365</f>
        <v>18834.399999999998</v>
      </c>
      <c r="P365" s="82"/>
      <c r="Q365" s="80">
        <f>O365+P365</f>
        <v>18834.399999999998</v>
      </c>
    </row>
    <row r="366" spans="1:17" ht="12.75" hidden="1">
      <c r="A366" s="41" t="s">
        <v>61</v>
      </c>
      <c r="B366" s="103"/>
      <c r="C366" s="179">
        <f>SUM(C368:C370)</f>
        <v>0</v>
      </c>
      <c r="D366" s="122">
        <f aca="true" t="shared" si="94" ref="D366:Q366">SUM(D368:D370)</f>
        <v>0</v>
      </c>
      <c r="E366" s="122">
        <f t="shared" si="94"/>
        <v>0</v>
      </c>
      <c r="F366" s="199">
        <f t="shared" si="94"/>
        <v>0</v>
      </c>
      <c r="G366" s="217">
        <f t="shared" si="94"/>
        <v>0</v>
      </c>
      <c r="H366" s="122">
        <f t="shared" si="94"/>
        <v>0</v>
      </c>
      <c r="I366" s="170">
        <f t="shared" si="94"/>
        <v>0</v>
      </c>
      <c r="J366" s="179">
        <f t="shared" si="94"/>
        <v>0</v>
      </c>
      <c r="K366" s="122">
        <f t="shared" si="94"/>
        <v>0</v>
      </c>
      <c r="L366" s="170">
        <f t="shared" si="94"/>
        <v>0</v>
      </c>
      <c r="M366" s="121">
        <f t="shared" si="94"/>
        <v>0</v>
      </c>
      <c r="N366" s="121">
        <f t="shared" si="94"/>
        <v>0</v>
      </c>
      <c r="O366" s="121">
        <f t="shared" si="94"/>
        <v>0</v>
      </c>
      <c r="P366" s="121">
        <f t="shared" si="94"/>
        <v>0</v>
      </c>
      <c r="Q366" s="252">
        <f t="shared" si="94"/>
        <v>0</v>
      </c>
    </row>
    <row r="367" spans="1:17" ht="12.75" hidden="1">
      <c r="A367" s="37" t="s">
        <v>27</v>
      </c>
      <c r="B367" s="99"/>
      <c r="C367" s="152"/>
      <c r="D367" s="115"/>
      <c r="E367" s="115"/>
      <c r="F367" s="196"/>
      <c r="G367" s="88"/>
      <c r="H367" s="7"/>
      <c r="I367" s="74"/>
      <c r="J367" s="28"/>
      <c r="K367" s="7"/>
      <c r="L367" s="74"/>
      <c r="M367" s="22"/>
      <c r="N367" s="7"/>
      <c r="O367" s="23"/>
      <c r="P367" s="82"/>
      <c r="Q367" s="80"/>
    </row>
    <row r="368" spans="1:17" ht="12.75" hidden="1">
      <c r="A368" s="35" t="s">
        <v>99</v>
      </c>
      <c r="B368" s="99"/>
      <c r="C368" s="152"/>
      <c r="D368" s="115"/>
      <c r="E368" s="115"/>
      <c r="F368" s="196">
        <f>C368+D368+E368</f>
        <v>0</v>
      </c>
      <c r="G368" s="88"/>
      <c r="H368" s="7"/>
      <c r="I368" s="74">
        <f>F368+G368+H368</f>
        <v>0</v>
      </c>
      <c r="J368" s="28"/>
      <c r="K368" s="7"/>
      <c r="L368" s="74">
        <f>I368+J368+K368</f>
        <v>0</v>
      </c>
      <c r="M368" s="22"/>
      <c r="N368" s="7"/>
      <c r="O368" s="23">
        <f>L368+M368+N368</f>
        <v>0</v>
      </c>
      <c r="P368" s="82"/>
      <c r="Q368" s="80">
        <f>O368+P368</f>
        <v>0</v>
      </c>
    </row>
    <row r="369" spans="1:17" ht="12.75" hidden="1">
      <c r="A369" s="35" t="s">
        <v>62</v>
      </c>
      <c r="B369" s="99"/>
      <c r="C369" s="152"/>
      <c r="D369" s="115"/>
      <c r="E369" s="115"/>
      <c r="F369" s="196">
        <f>C369+D369+E369</f>
        <v>0</v>
      </c>
      <c r="G369" s="88"/>
      <c r="H369" s="7"/>
      <c r="I369" s="74"/>
      <c r="J369" s="28"/>
      <c r="K369" s="7"/>
      <c r="L369" s="74">
        <f>I369+J369+K369</f>
        <v>0</v>
      </c>
      <c r="M369" s="22"/>
      <c r="N369" s="7"/>
      <c r="O369" s="23">
        <f>L369+M369+N369</f>
        <v>0</v>
      </c>
      <c r="P369" s="82"/>
      <c r="Q369" s="80">
        <f>O369+P369</f>
        <v>0</v>
      </c>
    </row>
    <row r="370" spans="1:17" ht="13.5" hidden="1" thickBot="1">
      <c r="A370" s="241" t="s">
        <v>87</v>
      </c>
      <c r="B370" s="150"/>
      <c r="C370" s="182"/>
      <c r="D370" s="151"/>
      <c r="E370" s="151"/>
      <c r="F370" s="202">
        <f>C370+D370+E370</f>
        <v>0</v>
      </c>
      <c r="G370" s="88"/>
      <c r="H370" s="7"/>
      <c r="I370" s="74">
        <f>F370+G370+H370</f>
        <v>0</v>
      </c>
      <c r="J370" s="28"/>
      <c r="K370" s="7"/>
      <c r="L370" s="74">
        <f>I370+J370+K370</f>
        <v>0</v>
      </c>
      <c r="M370" s="22"/>
      <c r="N370" s="7"/>
      <c r="O370" s="23">
        <f>L370+M370+N370</f>
        <v>0</v>
      </c>
      <c r="P370" s="82"/>
      <c r="Q370" s="80">
        <f>O370+P370</f>
        <v>0</v>
      </c>
    </row>
    <row r="371" spans="1:17" ht="12.75">
      <c r="A371" s="36" t="s">
        <v>200</v>
      </c>
      <c r="B371" s="103"/>
      <c r="C371" s="159">
        <f>C372+C384</f>
        <v>14047.2</v>
      </c>
      <c r="D371" s="114">
        <f aca="true" t="shared" si="95" ref="D371:Q371">D372+D384</f>
        <v>6111.490000000001</v>
      </c>
      <c r="E371" s="114">
        <f t="shared" si="95"/>
        <v>0</v>
      </c>
      <c r="F371" s="174">
        <f t="shared" si="95"/>
        <v>20158.690000000002</v>
      </c>
      <c r="G371" s="160">
        <f t="shared" si="95"/>
        <v>0</v>
      </c>
      <c r="H371" s="114">
        <f t="shared" si="95"/>
        <v>0</v>
      </c>
      <c r="I371" s="142">
        <f t="shared" si="95"/>
        <v>20158.690000000002</v>
      </c>
      <c r="J371" s="159">
        <f t="shared" si="95"/>
        <v>0</v>
      </c>
      <c r="K371" s="114">
        <f t="shared" si="95"/>
        <v>0</v>
      </c>
      <c r="L371" s="142">
        <f t="shared" si="95"/>
        <v>20158.690000000002</v>
      </c>
      <c r="M371" s="113">
        <f t="shared" si="95"/>
        <v>0</v>
      </c>
      <c r="N371" s="113">
        <f t="shared" si="95"/>
        <v>0</v>
      </c>
      <c r="O371" s="113">
        <f t="shared" si="95"/>
        <v>20158.690000000002</v>
      </c>
      <c r="P371" s="113">
        <f t="shared" si="95"/>
        <v>0</v>
      </c>
      <c r="Q371" s="247">
        <f t="shared" si="95"/>
        <v>20158.690000000002</v>
      </c>
    </row>
    <row r="372" spans="1:17" ht="12.75">
      <c r="A372" s="41" t="s">
        <v>56</v>
      </c>
      <c r="B372" s="103"/>
      <c r="C372" s="179">
        <f>SUM(C374:C383)</f>
        <v>12047.2</v>
      </c>
      <c r="D372" s="122">
        <f aca="true" t="shared" si="96" ref="D372:Q372">SUM(D374:D383)</f>
        <v>6111.490000000001</v>
      </c>
      <c r="E372" s="122">
        <f t="shared" si="96"/>
        <v>0</v>
      </c>
      <c r="F372" s="199">
        <f t="shared" si="96"/>
        <v>18158.690000000002</v>
      </c>
      <c r="G372" s="217">
        <f t="shared" si="96"/>
        <v>0</v>
      </c>
      <c r="H372" s="122">
        <f t="shared" si="96"/>
        <v>0</v>
      </c>
      <c r="I372" s="170">
        <f t="shared" si="96"/>
        <v>18158.690000000002</v>
      </c>
      <c r="J372" s="179">
        <f t="shared" si="96"/>
        <v>0</v>
      </c>
      <c r="K372" s="122">
        <f t="shared" si="96"/>
        <v>0</v>
      </c>
      <c r="L372" s="170">
        <f t="shared" si="96"/>
        <v>18158.690000000002</v>
      </c>
      <c r="M372" s="121">
        <f t="shared" si="96"/>
        <v>0</v>
      </c>
      <c r="N372" s="121">
        <f t="shared" si="96"/>
        <v>0</v>
      </c>
      <c r="O372" s="121">
        <f t="shared" si="96"/>
        <v>18158.690000000002</v>
      </c>
      <c r="P372" s="121">
        <f t="shared" si="96"/>
        <v>0</v>
      </c>
      <c r="Q372" s="252">
        <f t="shared" si="96"/>
        <v>18158.690000000002</v>
      </c>
    </row>
    <row r="373" spans="1:17" ht="12.75">
      <c r="A373" s="37" t="s">
        <v>27</v>
      </c>
      <c r="B373" s="99"/>
      <c r="C373" s="152"/>
      <c r="D373" s="115"/>
      <c r="E373" s="115"/>
      <c r="F373" s="174"/>
      <c r="G373" s="88"/>
      <c r="H373" s="7"/>
      <c r="I373" s="70"/>
      <c r="J373" s="28"/>
      <c r="K373" s="7"/>
      <c r="L373" s="70"/>
      <c r="M373" s="22"/>
      <c r="N373" s="7"/>
      <c r="O373" s="21"/>
      <c r="P373" s="82"/>
      <c r="Q373" s="80"/>
    </row>
    <row r="374" spans="1:17" ht="12.75">
      <c r="A374" s="35" t="s">
        <v>58</v>
      </c>
      <c r="B374" s="99"/>
      <c r="C374" s="152">
        <v>12047.2</v>
      </c>
      <c r="D374" s="115">
        <f>1613+70.1+4000</f>
        <v>5683.1</v>
      </c>
      <c r="E374" s="115"/>
      <c r="F374" s="196">
        <f aca="true" t="shared" si="97" ref="F374:F383">C374+D374+E374</f>
        <v>17730.300000000003</v>
      </c>
      <c r="G374" s="88"/>
      <c r="H374" s="7"/>
      <c r="I374" s="74">
        <f>F374+G374+H374</f>
        <v>17730.300000000003</v>
      </c>
      <c r="J374" s="28"/>
      <c r="K374" s="7"/>
      <c r="L374" s="74">
        <f>I374+J374+K374</f>
        <v>17730.300000000003</v>
      </c>
      <c r="M374" s="22"/>
      <c r="N374" s="7"/>
      <c r="O374" s="23">
        <f>L374+M374+N374</f>
        <v>17730.300000000003</v>
      </c>
      <c r="P374" s="82"/>
      <c r="Q374" s="80">
        <f>O374+P374</f>
        <v>17730.300000000003</v>
      </c>
    </row>
    <row r="375" spans="1:17" ht="12.75" hidden="1">
      <c r="A375" s="39" t="s">
        <v>229</v>
      </c>
      <c r="B375" s="99"/>
      <c r="C375" s="152"/>
      <c r="D375" s="115"/>
      <c r="E375" s="115"/>
      <c r="F375" s="196">
        <f t="shared" si="97"/>
        <v>0</v>
      </c>
      <c r="G375" s="88"/>
      <c r="H375" s="7"/>
      <c r="I375" s="74">
        <f aca="true" t="shared" si="98" ref="I375:I380">F375+G375+H375</f>
        <v>0</v>
      </c>
      <c r="J375" s="28"/>
      <c r="K375" s="7"/>
      <c r="L375" s="74">
        <f aca="true" t="shared" si="99" ref="L375:L380">I375+J375+K375</f>
        <v>0</v>
      </c>
      <c r="M375" s="22"/>
      <c r="N375" s="7"/>
      <c r="O375" s="23">
        <f aca="true" t="shared" si="100" ref="O375:O380">L375+M375+N375</f>
        <v>0</v>
      </c>
      <c r="P375" s="82"/>
      <c r="Q375" s="80">
        <f>O375+P375</f>
        <v>0</v>
      </c>
    </row>
    <row r="376" spans="1:17" ht="12.75" hidden="1">
      <c r="A376" s="39" t="s">
        <v>230</v>
      </c>
      <c r="B376" s="99"/>
      <c r="C376" s="152"/>
      <c r="D376" s="115"/>
      <c r="E376" s="115"/>
      <c r="F376" s="196">
        <f t="shared" si="97"/>
        <v>0</v>
      </c>
      <c r="G376" s="88"/>
      <c r="H376" s="7"/>
      <c r="I376" s="74"/>
      <c r="J376" s="28"/>
      <c r="K376" s="7"/>
      <c r="L376" s="74"/>
      <c r="M376" s="22"/>
      <c r="N376" s="7"/>
      <c r="O376" s="23"/>
      <c r="P376" s="82"/>
      <c r="Q376" s="80"/>
    </row>
    <row r="377" spans="1:17" ht="12.75" hidden="1">
      <c r="A377" s="39" t="s">
        <v>233</v>
      </c>
      <c r="B377" s="99">
        <v>1400</v>
      </c>
      <c r="C377" s="152"/>
      <c r="D377" s="126"/>
      <c r="E377" s="115"/>
      <c r="F377" s="196">
        <f t="shared" si="97"/>
        <v>0</v>
      </c>
      <c r="G377" s="88"/>
      <c r="H377" s="7"/>
      <c r="I377" s="74"/>
      <c r="J377" s="28"/>
      <c r="K377" s="7"/>
      <c r="L377" s="74"/>
      <c r="M377" s="22"/>
      <c r="N377" s="7"/>
      <c r="O377" s="23"/>
      <c r="P377" s="82"/>
      <c r="Q377" s="80"/>
    </row>
    <row r="378" spans="1:17" ht="12.75">
      <c r="A378" s="35" t="s">
        <v>87</v>
      </c>
      <c r="B378" s="99"/>
      <c r="C378" s="152"/>
      <c r="D378" s="140">
        <f>428.39</f>
        <v>428.39</v>
      </c>
      <c r="E378" s="115"/>
      <c r="F378" s="196">
        <f t="shared" si="97"/>
        <v>428.39</v>
      </c>
      <c r="G378" s="88"/>
      <c r="H378" s="7"/>
      <c r="I378" s="74">
        <f t="shared" si="98"/>
        <v>428.39</v>
      </c>
      <c r="J378" s="28"/>
      <c r="K378" s="7"/>
      <c r="L378" s="74">
        <f t="shared" si="99"/>
        <v>428.39</v>
      </c>
      <c r="M378" s="22"/>
      <c r="N378" s="7"/>
      <c r="O378" s="23">
        <f t="shared" si="100"/>
        <v>428.39</v>
      </c>
      <c r="P378" s="82"/>
      <c r="Q378" s="80">
        <f>O378+P378</f>
        <v>428.39</v>
      </c>
    </row>
    <row r="379" spans="1:17" ht="12.75" hidden="1">
      <c r="A379" s="35" t="s">
        <v>72</v>
      </c>
      <c r="B379" s="99"/>
      <c r="C379" s="152"/>
      <c r="D379" s="115"/>
      <c r="E379" s="115"/>
      <c r="F379" s="196">
        <f t="shared" si="97"/>
        <v>0</v>
      </c>
      <c r="G379" s="88"/>
      <c r="H379" s="7"/>
      <c r="I379" s="74">
        <f t="shared" si="98"/>
        <v>0</v>
      </c>
      <c r="J379" s="232"/>
      <c r="K379" s="7"/>
      <c r="L379" s="74">
        <f t="shared" si="99"/>
        <v>0</v>
      </c>
      <c r="M379" s="22"/>
      <c r="N379" s="7"/>
      <c r="O379" s="23">
        <f t="shared" si="100"/>
        <v>0</v>
      </c>
      <c r="P379" s="82"/>
      <c r="Q379" s="80">
        <f>O379+P379</f>
        <v>0</v>
      </c>
    </row>
    <row r="380" spans="1:17" ht="12.75" hidden="1">
      <c r="A380" s="35" t="s">
        <v>172</v>
      </c>
      <c r="B380" s="99"/>
      <c r="C380" s="152"/>
      <c r="D380" s="115"/>
      <c r="E380" s="115"/>
      <c r="F380" s="196">
        <f t="shared" si="97"/>
        <v>0</v>
      </c>
      <c r="G380" s="88"/>
      <c r="H380" s="7"/>
      <c r="I380" s="74">
        <f t="shared" si="98"/>
        <v>0</v>
      </c>
      <c r="J380" s="232"/>
      <c r="K380" s="7"/>
      <c r="L380" s="74">
        <f t="shared" si="99"/>
        <v>0</v>
      </c>
      <c r="M380" s="22"/>
      <c r="N380" s="7"/>
      <c r="O380" s="23">
        <f t="shared" si="100"/>
        <v>0</v>
      </c>
      <c r="P380" s="82"/>
      <c r="Q380" s="80">
        <f>O380+P380</f>
        <v>0</v>
      </c>
    </row>
    <row r="381" spans="1:17" ht="12.75" hidden="1">
      <c r="A381" s="35" t="s">
        <v>290</v>
      </c>
      <c r="B381" s="99">
        <v>98035</v>
      </c>
      <c r="C381" s="152"/>
      <c r="D381" s="115"/>
      <c r="E381" s="115"/>
      <c r="F381" s="196">
        <f t="shared" si="97"/>
        <v>0</v>
      </c>
      <c r="G381" s="88"/>
      <c r="H381" s="7"/>
      <c r="I381" s="74"/>
      <c r="J381" s="232"/>
      <c r="K381" s="7"/>
      <c r="L381" s="74"/>
      <c r="M381" s="22"/>
      <c r="N381" s="7"/>
      <c r="O381" s="23"/>
      <c r="P381" s="82"/>
      <c r="Q381" s="80"/>
    </row>
    <row r="382" spans="1:17" ht="12.75" hidden="1">
      <c r="A382" s="35" t="s">
        <v>262</v>
      </c>
      <c r="B382" s="166" t="s">
        <v>263</v>
      </c>
      <c r="C382" s="152"/>
      <c r="D382" s="115"/>
      <c r="E382" s="115"/>
      <c r="F382" s="196">
        <f t="shared" si="97"/>
        <v>0</v>
      </c>
      <c r="G382" s="88"/>
      <c r="H382" s="7"/>
      <c r="I382" s="74"/>
      <c r="J382" s="232"/>
      <c r="K382" s="7"/>
      <c r="L382" s="74"/>
      <c r="M382" s="22"/>
      <c r="N382" s="7"/>
      <c r="O382" s="23"/>
      <c r="P382" s="82"/>
      <c r="Q382" s="80"/>
    </row>
    <row r="383" spans="1:17" ht="12.75" hidden="1">
      <c r="A383" s="35" t="s">
        <v>261</v>
      </c>
      <c r="B383" s="99">
        <v>33064</v>
      </c>
      <c r="C383" s="152"/>
      <c r="D383" s="115"/>
      <c r="E383" s="115"/>
      <c r="F383" s="196">
        <f t="shared" si="97"/>
        <v>0</v>
      </c>
      <c r="G383" s="88"/>
      <c r="H383" s="7"/>
      <c r="I383" s="74"/>
      <c r="J383" s="232"/>
      <c r="K383" s="7"/>
      <c r="L383" s="74"/>
      <c r="M383" s="22"/>
      <c r="N383" s="7"/>
      <c r="O383" s="23"/>
      <c r="P383" s="82"/>
      <c r="Q383" s="80"/>
    </row>
    <row r="384" spans="1:17" ht="12.75">
      <c r="A384" s="41" t="s">
        <v>61</v>
      </c>
      <c r="B384" s="103"/>
      <c r="C384" s="179">
        <f>SUM(C386:C392)</f>
        <v>2000</v>
      </c>
      <c r="D384" s="122">
        <f aca="true" t="shared" si="101" ref="D384:Q384">SUM(D386:D392)</f>
        <v>0</v>
      </c>
      <c r="E384" s="122">
        <f t="shared" si="101"/>
        <v>0</v>
      </c>
      <c r="F384" s="199">
        <f t="shared" si="101"/>
        <v>2000</v>
      </c>
      <c r="G384" s="217">
        <f t="shared" si="101"/>
        <v>0</v>
      </c>
      <c r="H384" s="122">
        <f t="shared" si="101"/>
        <v>0</v>
      </c>
      <c r="I384" s="170">
        <f t="shared" si="101"/>
        <v>2000</v>
      </c>
      <c r="J384" s="179">
        <f t="shared" si="101"/>
        <v>0</v>
      </c>
      <c r="K384" s="122">
        <f t="shared" si="101"/>
        <v>0</v>
      </c>
      <c r="L384" s="170">
        <f t="shared" si="101"/>
        <v>2000</v>
      </c>
      <c r="M384" s="121">
        <f t="shared" si="101"/>
        <v>0</v>
      </c>
      <c r="N384" s="121">
        <f t="shared" si="101"/>
        <v>0</v>
      </c>
      <c r="O384" s="121">
        <f t="shared" si="101"/>
        <v>2000</v>
      </c>
      <c r="P384" s="121">
        <f t="shared" si="101"/>
        <v>0</v>
      </c>
      <c r="Q384" s="252">
        <f t="shared" si="101"/>
        <v>2000</v>
      </c>
    </row>
    <row r="385" spans="1:17" ht="12.75">
      <c r="A385" s="37" t="s">
        <v>27</v>
      </c>
      <c r="B385" s="99"/>
      <c r="C385" s="152"/>
      <c r="D385" s="115"/>
      <c r="E385" s="115"/>
      <c r="F385" s="196"/>
      <c r="G385" s="88"/>
      <c r="H385" s="7"/>
      <c r="I385" s="74"/>
      <c r="J385" s="28"/>
      <c r="K385" s="7"/>
      <c r="L385" s="74"/>
      <c r="M385" s="22"/>
      <c r="N385" s="7"/>
      <c r="O385" s="23"/>
      <c r="P385" s="82"/>
      <c r="Q385" s="80"/>
    </row>
    <row r="386" spans="1:17" ht="12.75" hidden="1">
      <c r="A386" s="39" t="s">
        <v>76</v>
      </c>
      <c r="B386" s="99"/>
      <c r="C386" s="152"/>
      <c r="D386" s="115"/>
      <c r="E386" s="115"/>
      <c r="F386" s="196">
        <f aca="true" t="shared" si="102" ref="F386:F392">C386+D386+E386</f>
        <v>0</v>
      </c>
      <c r="G386" s="88"/>
      <c r="H386" s="7"/>
      <c r="I386" s="74">
        <f>F386+G386+H386</f>
        <v>0</v>
      </c>
      <c r="J386" s="28"/>
      <c r="K386" s="7"/>
      <c r="L386" s="74">
        <f>I386+J386+K386</f>
        <v>0</v>
      </c>
      <c r="M386" s="22"/>
      <c r="N386" s="7"/>
      <c r="O386" s="23">
        <f>L386+M386+N386</f>
        <v>0</v>
      </c>
      <c r="P386" s="82"/>
      <c r="Q386" s="80">
        <f>O386+P386</f>
        <v>0</v>
      </c>
    </row>
    <row r="387" spans="1:17" ht="12.75" hidden="1">
      <c r="A387" s="39" t="s">
        <v>213</v>
      </c>
      <c r="B387" s="99"/>
      <c r="C387" s="152"/>
      <c r="D387" s="115"/>
      <c r="E387" s="115"/>
      <c r="F387" s="196">
        <f t="shared" si="102"/>
        <v>0</v>
      </c>
      <c r="G387" s="88"/>
      <c r="H387" s="7"/>
      <c r="I387" s="74"/>
      <c r="J387" s="28"/>
      <c r="K387" s="7"/>
      <c r="L387" s="74"/>
      <c r="M387" s="22"/>
      <c r="N387" s="7"/>
      <c r="O387" s="23"/>
      <c r="P387" s="82"/>
      <c r="Q387" s="80"/>
    </row>
    <row r="388" spans="1:17" ht="12.75" hidden="1">
      <c r="A388" s="39" t="s">
        <v>214</v>
      </c>
      <c r="B388" s="99"/>
      <c r="C388" s="152"/>
      <c r="D388" s="115"/>
      <c r="E388" s="115"/>
      <c r="F388" s="196">
        <f t="shared" si="102"/>
        <v>0</v>
      </c>
      <c r="G388" s="88"/>
      <c r="H388" s="7"/>
      <c r="I388" s="74"/>
      <c r="J388" s="28"/>
      <c r="K388" s="7"/>
      <c r="L388" s="74"/>
      <c r="M388" s="22"/>
      <c r="N388" s="7"/>
      <c r="O388" s="23"/>
      <c r="P388" s="82"/>
      <c r="Q388" s="80"/>
    </row>
    <row r="389" spans="1:17" ht="12.75" hidden="1">
      <c r="A389" s="39" t="s">
        <v>201</v>
      </c>
      <c r="B389" s="99"/>
      <c r="C389" s="152"/>
      <c r="D389" s="115"/>
      <c r="E389" s="115"/>
      <c r="F389" s="196">
        <f t="shared" si="102"/>
        <v>0</v>
      </c>
      <c r="G389" s="88"/>
      <c r="H389" s="7"/>
      <c r="I389" s="74"/>
      <c r="J389" s="28"/>
      <c r="K389" s="7"/>
      <c r="L389" s="74"/>
      <c r="M389" s="22"/>
      <c r="N389" s="7"/>
      <c r="O389" s="23"/>
      <c r="P389" s="82"/>
      <c r="Q389" s="80"/>
    </row>
    <row r="390" spans="1:17" ht="12.75">
      <c r="A390" s="38" t="s">
        <v>62</v>
      </c>
      <c r="B390" s="102"/>
      <c r="C390" s="180">
        <v>2000</v>
      </c>
      <c r="D390" s="123"/>
      <c r="E390" s="123"/>
      <c r="F390" s="200">
        <f t="shared" si="102"/>
        <v>2000</v>
      </c>
      <c r="G390" s="88"/>
      <c r="H390" s="7"/>
      <c r="I390" s="74">
        <f>F390+G390+H390</f>
        <v>2000</v>
      </c>
      <c r="J390" s="28"/>
      <c r="K390" s="7"/>
      <c r="L390" s="74">
        <f>I390+J390+K390</f>
        <v>2000</v>
      </c>
      <c r="M390" s="22"/>
      <c r="N390" s="7"/>
      <c r="O390" s="23">
        <f>L390+M390+N390</f>
        <v>2000</v>
      </c>
      <c r="P390" s="82"/>
      <c r="Q390" s="80">
        <f>O390+P390</f>
        <v>2000</v>
      </c>
    </row>
    <row r="391" spans="1:17" ht="12.75" hidden="1">
      <c r="A391" s="38" t="s">
        <v>87</v>
      </c>
      <c r="B391" s="102"/>
      <c r="C391" s="180"/>
      <c r="D391" s="123"/>
      <c r="E391" s="123"/>
      <c r="F391" s="200">
        <f t="shared" si="102"/>
        <v>0</v>
      </c>
      <c r="G391" s="88"/>
      <c r="H391" s="7"/>
      <c r="I391" s="74">
        <f>F391+G391+H391</f>
        <v>0</v>
      </c>
      <c r="J391" s="28"/>
      <c r="K391" s="7"/>
      <c r="L391" s="74">
        <f>I391+J391+K391</f>
        <v>0</v>
      </c>
      <c r="M391" s="22"/>
      <c r="N391" s="7"/>
      <c r="O391" s="23">
        <f>L391+M391+N391</f>
        <v>0</v>
      </c>
      <c r="P391" s="82"/>
      <c r="Q391" s="80">
        <f>O391+P391</f>
        <v>0</v>
      </c>
    </row>
    <row r="392" spans="1:17" ht="12.75" hidden="1">
      <c r="A392" s="45" t="s">
        <v>202</v>
      </c>
      <c r="B392" s="102"/>
      <c r="C392" s="180"/>
      <c r="D392" s="123"/>
      <c r="E392" s="123"/>
      <c r="F392" s="200">
        <f t="shared" si="102"/>
        <v>0</v>
      </c>
      <c r="G392" s="219"/>
      <c r="H392" s="10"/>
      <c r="I392" s="73">
        <f>F392+G392+H392</f>
        <v>0</v>
      </c>
      <c r="J392" s="234"/>
      <c r="K392" s="10"/>
      <c r="L392" s="73">
        <f>I392+J392+K392</f>
        <v>0</v>
      </c>
      <c r="M392" s="26"/>
      <c r="N392" s="10"/>
      <c r="O392" s="27">
        <f>L392+M392+N392</f>
        <v>0</v>
      </c>
      <c r="P392" s="85"/>
      <c r="Q392" s="86">
        <f>O392+P392</f>
        <v>0</v>
      </c>
    </row>
    <row r="393" spans="1:17" ht="12.75">
      <c r="A393" s="32" t="s">
        <v>109</v>
      </c>
      <c r="B393" s="103"/>
      <c r="C393" s="159">
        <f>C394+C397</f>
        <v>3304.9</v>
      </c>
      <c r="D393" s="114">
        <f aca="true" t="shared" si="103" ref="D393:Q393">D394+D397</f>
        <v>0</v>
      </c>
      <c r="E393" s="114">
        <f t="shared" si="103"/>
        <v>0</v>
      </c>
      <c r="F393" s="174">
        <f t="shared" si="103"/>
        <v>3304.9</v>
      </c>
      <c r="G393" s="160">
        <f t="shared" si="103"/>
        <v>0</v>
      </c>
      <c r="H393" s="114">
        <f t="shared" si="103"/>
        <v>0</v>
      </c>
      <c r="I393" s="142">
        <f t="shared" si="103"/>
        <v>3304.9</v>
      </c>
      <c r="J393" s="159">
        <f t="shared" si="103"/>
        <v>0</v>
      </c>
      <c r="K393" s="114">
        <f t="shared" si="103"/>
        <v>0</v>
      </c>
      <c r="L393" s="142">
        <f t="shared" si="103"/>
        <v>3304.9</v>
      </c>
      <c r="M393" s="113">
        <f t="shared" si="103"/>
        <v>0</v>
      </c>
      <c r="N393" s="113">
        <f t="shared" si="103"/>
        <v>0</v>
      </c>
      <c r="O393" s="113">
        <f t="shared" si="103"/>
        <v>3304.9</v>
      </c>
      <c r="P393" s="113">
        <f t="shared" si="103"/>
        <v>0</v>
      </c>
      <c r="Q393" s="247">
        <f t="shared" si="103"/>
        <v>3304.9</v>
      </c>
    </row>
    <row r="394" spans="1:17" ht="12.75">
      <c r="A394" s="41" t="s">
        <v>56</v>
      </c>
      <c r="B394" s="103"/>
      <c r="C394" s="179">
        <f>SUM(C396:C396)</f>
        <v>3304.9</v>
      </c>
      <c r="D394" s="122">
        <f aca="true" t="shared" si="104" ref="D394:Q394">SUM(D396:D396)</f>
        <v>0</v>
      </c>
      <c r="E394" s="122">
        <f t="shared" si="104"/>
        <v>0</v>
      </c>
      <c r="F394" s="199">
        <f t="shared" si="104"/>
        <v>3304.9</v>
      </c>
      <c r="G394" s="217">
        <f t="shared" si="104"/>
        <v>0</v>
      </c>
      <c r="H394" s="122">
        <f t="shared" si="104"/>
        <v>0</v>
      </c>
      <c r="I394" s="170">
        <f t="shared" si="104"/>
        <v>3304.9</v>
      </c>
      <c r="J394" s="179">
        <f t="shared" si="104"/>
        <v>0</v>
      </c>
      <c r="K394" s="122">
        <f t="shared" si="104"/>
        <v>0</v>
      </c>
      <c r="L394" s="170">
        <f t="shared" si="104"/>
        <v>3304.9</v>
      </c>
      <c r="M394" s="121">
        <f t="shared" si="104"/>
        <v>0</v>
      </c>
      <c r="N394" s="121">
        <f t="shared" si="104"/>
        <v>0</v>
      </c>
      <c r="O394" s="121">
        <f t="shared" si="104"/>
        <v>3304.9</v>
      </c>
      <c r="P394" s="121">
        <f t="shared" si="104"/>
        <v>0</v>
      </c>
      <c r="Q394" s="252">
        <f t="shared" si="104"/>
        <v>3304.9</v>
      </c>
    </row>
    <row r="395" spans="1:17" ht="12.75">
      <c r="A395" s="37" t="s">
        <v>27</v>
      </c>
      <c r="B395" s="99"/>
      <c r="C395" s="152"/>
      <c r="D395" s="115"/>
      <c r="E395" s="115"/>
      <c r="F395" s="174"/>
      <c r="G395" s="88"/>
      <c r="H395" s="7"/>
      <c r="I395" s="70"/>
      <c r="J395" s="28"/>
      <c r="K395" s="7"/>
      <c r="L395" s="70"/>
      <c r="M395" s="22"/>
      <c r="N395" s="7"/>
      <c r="O395" s="21"/>
      <c r="P395" s="82"/>
      <c r="Q395" s="80"/>
    </row>
    <row r="396" spans="1:17" ht="12.75">
      <c r="A396" s="38" t="s">
        <v>58</v>
      </c>
      <c r="B396" s="102"/>
      <c r="C396" s="183">
        <v>3304.9</v>
      </c>
      <c r="D396" s="123"/>
      <c r="E396" s="123"/>
      <c r="F396" s="200">
        <f>C396+D396+E396</f>
        <v>3304.9</v>
      </c>
      <c r="G396" s="88"/>
      <c r="H396" s="7"/>
      <c r="I396" s="74">
        <f>F396+G396+H396</f>
        <v>3304.9</v>
      </c>
      <c r="J396" s="28"/>
      <c r="K396" s="7"/>
      <c r="L396" s="74">
        <f>I396+J396+K396</f>
        <v>3304.9</v>
      </c>
      <c r="M396" s="22"/>
      <c r="N396" s="7"/>
      <c r="O396" s="23">
        <f>L396+M396+N396</f>
        <v>3304.9</v>
      </c>
      <c r="P396" s="82"/>
      <c r="Q396" s="80">
        <f>O396+P396</f>
        <v>3304.9</v>
      </c>
    </row>
    <row r="397" spans="1:17" ht="12.75" hidden="1">
      <c r="A397" s="41" t="s">
        <v>61</v>
      </c>
      <c r="B397" s="103"/>
      <c r="C397" s="179">
        <f aca="true" t="shared" si="105" ref="C397:Q397">SUM(C399:C399)</f>
        <v>0</v>
      </c>
      <c r="D397" s="122">
        <f t="shared" si="105"/>
        <v>0</v>
      </c>
      <c r="E397" s="122">
        <f t="shared" si="105"/>
        <v>0</v>
      </c>
      <c r="F397" s="199">
        <f t="shared" si="105"/>
        <v>0</v>
      </c>
      <c r="G397" s="217">
        <f t="shared" si="105"/>
        <v>0</v>
      </c>
      <c r="H397" s="122">
        <f t="shared" si="105"/>
        <v>0</v>
      </c>
      <c r="I397" s="170">
        <f t="shared" si="105"/>
        <v>0</v>
      </c>
      <c r="J397" s="179">
        <f t="shared" si="105"/>
        <v>0</v>
      </c>
      <c r="K397" s="122">
        <f t="shared" si="105"/>
        <v>0</v>
      </c>
      <c r="L397" s="170">
        <f t="shared" si="105"/>
        <v>0</v>
      </c>
      <c r="M397" s="121">
        <f t="shared" si="105"/>
        <v>0</v>
      </c>
      <c r="N397" s="121">
        <f t="shared" si="105"/>
        <v>0</v>
      </c>
      <c r="O397" s="121">
        <f t="shared" si="105"/>
        <v>0</v>
      </c>
      <c r="P397" s="121">
        <f t="shared" si="105"/>
        <v>0</v>
      </c>
      <c r="Q397" s="252">
        <f t="shared" si="105"/>
        <v>0</v>
      </c>
    </row>
    <row r="398" spans="1:17" ht="12.75" hidden="1">
      <c r="A398" s="37" t="s">
        <v>27</v>
      </c>
      <c r="B398" s="99"/>
      <c r="C398" s="152"/>
      <c r="D398" s="115"/>
      <c r="E398" s="115"/>
      <c r="F398" s="196"/>
      <c r="G398" s="88"/>
      <c r="H398" s="7"/>
      <c r="I398" s="74"/>
      <c r="J398" s="28"/>
      <c r="K398" s="7"/>
      <c r="L398" s="74"/>
      <c r="M398" s="22"/>
      <c r="N398" s="7"/>
      <c r="O398" s="23"/>
      <c r="P398" s="82"/>
      <c r="Q398" s="80"/>
    </row>
    <row r="399" spans="1:17" ht="12.75" hidden="1">
      <c r="A399" s="38" t="s">
        <v>62</v>
      </c>
      <c r="B399" s="102"/>
      <c r="C399" s="180"/>
      <c r="D399" s="123"/>
      <c r="E399" s="123"/>
      <c r="F399" s="200">
        <f>C399+D399+E399</f>
        <v>0</v>
      </c>
      <c r="G399" s="219"/>
      <c r="H399" s="10"/>
      <c r="I399" s="73">
        <f>F399+G399+H399</f>
        <v>0</v>
      </c>
      <c r="J399" s="234"/>
      <c r="K399" s="10"/>
      <c r="L399" s="73">
        <f>I399+J399+K399</f>
        <v>0</v>
      </c>
      <c r="M399" s="26"/>
      <c r="N399" s="10"/>
      <c r="O399" s="27">
        <f>L399+M399+N399</f>
        <v>0</v>
      </c>
      <c r="P399" s="85"/>
      <c r="Q399" s="86">
        <f>O399+P399</f>
        <v>0</v>
      </c>
    </row>
    <row r="400" spans="1:17" ht="12.75">
      <c r="A400" s="32" t="s">
        <v>110</v>
      </c>
      <c r="B400" s="103"/>
      <c r="C400" s="159">
        <f aca="true" t="shared" si="106" ref="C400:Q400">C401</f>
        <v>54833.6</v>
      </c>
      <c r="D400" s="114">
        <f t="shared" si="106"/>
        <v>17655.68</v>
      </c>
      <c r="E400" s="114">
        <f t="shared" si="106"/>
        <v>0</v>
      </c>
      <c r="F400" s="174">
        <f t="shared" si="106"/>
        <v>72489.28</v>
      </c>
      <c r="G400" s="160">
        <f t="shared" si="106"/>
        <v>0</v>
      </c>
      <c r="H400" s="114">
        <f t="shared" si="106"/>
        <v>0</v>
      </c>
      <c r="I400" s="142">
        <f t="shared" si="106"/>
        <v>72489.28</v>
      </c>
      <c r="J400" s="159">
        <f t="shared" si="106"/>
        <v>0</v>
      </c>
      <c r="K400" s="114">
        <f t="shared" si="106"/>
        <v>0</v>
      </c>
      <c r="L400" s="142">
        <f t="shared" si="106"/>
        <v>72489.28</v>
      </c>
      <c r="M400" s="113">
        <f t="shared" si="106"/>
        <v>0</v>
      </c>
      <c r="N400" s="113">
        <f t="shared" si="106"/>
        <v>0</v>
      </c>
      <c r="O400" s="113">
        <f t="shared" si="106"/>
        <v>72489.28</v>
      </c>
      <c r="P400" s="113">
        <f t="shared" si="106"/>
        <v>0</v>
      </c>
      <c r="Q400" s="247">
        <f t="shared" si="106"/>
        <v>72489.28</v>
      </c>
    </row>
    <row r="401" spans="1:17" ht="12.75">
      <c r="A401" s="41" t="s">
        <v>56</v>
      </c>
      <c r="B401" s="103"/>
      <c r="C401" s="179">
        <f>SUM(C403:C406)</f>
        <v>54833.6</v>
      </c>
      <c r="D401" s="122">
        <f aca="true" t="shared" si="107" ref="D401:Q401">SUM(D403:D406)</f>
        <v>17655.68</v>
      </c>
      <c r="E401" s="122">
        <f t="shared" si="107"/>
        <v>0</v>
      </c>
      <c r="F401" s="199">
        <f t="shared" si="107"/>
        <v>72489.28</v>
      </c>
      <c r="G401" s="217">
        <f t="shared" si="107"/>
        <v>0</v>
      </c>
      <c r="H401" s="122">
        <f t="shared" si="107"/>
        <v>0</v>
      </c>
      <c r="I401" s="170">
        <f t="shared" si="107"/>
        <v>72489.28</v>
      </c>
      <c r="J401" s="179">
        <f t="shared" si="107"/>
        <v>0</v>
      </c>
      <c r="K401" s="122">
        <f t="shared" si="107"/>
        <v>0</v>
      </c>
      <c r="L401" s="170">
        <f t="shared" si="107"/>
        <v>72489.28</v>
      </c>
      <c r="M401" s="121">
        <f t="shared" si="107"/>
        <v>0</v>
      </c>
      <c r="N401" s="121">
        <f t="shared" si="107"/>
        <v>0</v>
      </c>
      <c r="O401" s="121">
        <f t="shared" si="107"/>
        <v>72489.28</v>
      </c>
      <c r="P401" s="121">
        <f t="shared" si="107"/>
        <v>0</v>
      </c>
      <c r="Q401" s="252">
        <f t="shared" si="107"/>
        <v>72489.28</v>
      </c>
    </row>
    <row r="402" spans="1:17" ht="12.75">
      <c r="A402" s="37" t="s">
        <v>27</v>
      </c>
      <c r="B402" s="99"/>
      <c r="C402" s="159"/>
      <c r="D402" s="114"/>
      <c r="E402" s="114"/>
      <c r="F402" s="174"/>
      <c r="G402" s="143"/>
      <c r="H402" s="6"/>
      <c r="I402" s="70"/>
      <c r="J402" s="231"/>
      <c r="K402" s="6"/>
      <c r="L402" s="70"/>
      <c r="M402" s="20"/>
      <c r="N402" s="6"/>
      <c r="O402" s="21"/>
      <c r="P402" s="82"/>
      <c r="Q402" s="80"/>
    </row>
    <row r="403" spans="1:17" ht="12.75">
      <c r="A403" s="100" t="s">
        <v>215</v>
      </c>
      <c r="B403" s="99"/>
      <c r="C403" s="152">
        <v>15000</v>
      </c>
      <c r="D403" s="115">
        <f>-1000-2418.33</f>
        <v>-3418.33</v>
      </c>
      <c r="E403" s="115"/>
      <c r="F403" s="196">
        <f>C403+D403+E403</f>
        <v>11581.67</v>
      </c>
      <c r="G403" s="88"/>
      <c r="H403" s="7"/>
      <c r="I403" s="74">
        <f>F403+G403+H403</f>
        <v>11581.67</v>
      </c>
      <c r="J403" s="232"/>
      <c r="K403" s="7"/>
      <c r="L403" s="74">
        <f>I403+J403+K403</f>
        <v>11581.67</v>
      </c>
      <c r="M403" s="22"/>
      <c r="N403" s="7"/>
      <c r="O403" s="23">
        <f>L403+M403+N403</f>
        <v>11581.67</v>
      </c>
      <c r="P403" s="82"/>
      <c r="Q403" s="80">
        <f>O403+P403</f>
        <v>11581.67</v>
      </c>
    </row>
    <row r="404" spans="1:17" ht="12.75">
      <c r="A404" s="100" t="s">
        <v>111</v>
      </c>
      <c r="B404" s="99"/>
      <c r="C404" s="152"/>
      <c r="D404" s="126">
        <f>18285</f>
        <v>18285</v>
      </c>
      <c r="E404" s="115"/>
      <c r="F404" s="196">
        <f>C404+D404+E404</f>
        <v>18285</v>
      </c>
      <c r="G404" s="88"/>
      <c r="H404" s="7"/>
      <c r="I404" s="74">
        <f>F404+G404+H404</f>
        <v>18285</v>
      </c>
      <c r="J404" s="28"/>
      <c r="K404" s="7"/>
      <c r="L404" s="74">
        <f>I404+J404+K404</f>
        <v>18285</v>
      </c>
      <c r="M404" s="22"/>
      <c r="N404" s="7"/>
      <c r="O404" s="23">
        <f>L404+M404+N404</f>
        <v>18285</v>
      </c>
      <c r="P404" s="82"/>
      <c r="Q404" s="80">
        <f>O404+P404</f>
        <v>18285</v>
      </c>
    </row>
    <row r="405" spans="1:17" ht="12.75">
      <c r="A405" s="100" t="s">
        <v>112</v>
      </c>
      <c r="B405" s="99"/>
      <c r="C405" s="152"/>
      <c r="D405" s="115">
        <f>2789.01</f>
        <v>2789.01</v>
      </c>
      <c r="E405" s="115"/>
      <c r="F405" s="196">
        <f>C405+D405+E405</f>
        <v>2789.01</v>
      </c>
      <c r="G405" s="88"/>
      <c r="H405" s="7"/>
      <c r="I405" s="74">
        <f>F405+G405+H405</f>
        <v>2789.01</v>
      </c>
      <c r="J405" s="28"/>
      <c r="K405" s="7"/>
      <c r="L405" s="74">
        <f>I405+J405+K405</f>
        <v>2789.01</v>
      </c>
      <c r="M405" s="22"/>
      <c r="N405" s="7"/>
      <c r="O405" s="23">
        <f>L405+M405+N405</f>
        <v>2789.01</v>
      </c>
      <c r="P405" s="82"/>
      <c r="Q405" s="80">
        <f>O405+P405</f>
        <v>2789.01</v>
      </c>
    </row>
    <row r="406" spans="1:17" ht="12.75">
      <c r="A406" s="38" t="s">
        <v>58</v>
      </c>
      <c r="B406" s="102"/>
      <c r="C406" s="180">
        <v>39833.6</v>
      </c>
      <c r="D406" s="123"/>
      <c r="E406" s="123"/>
      <c r="F406" s="200">
        <f>C406+D406+E406</f>
        <v>39833.6</v>
      </c>
      <c r="G406" s="219"/>
      <c r="H406" s="10"/>
      <c r="I406" s="73">
        <f>F406+G406+H406</f>
        <v>39833.6</v>
      </c>
      <c r="J406" s="234"/>
      <c r="K406" s="10"/>
      <c r="L406" s="73">
        <f>I406+J406+K406</f>
        <v>39833.6</v>
      </c>
      <c r="M406" s="26"/>
      <c r="N406" s="10"/>
      <c r="O406" s="27">
        <f>L406+M406+N406</f>
        <v>39833.6</v>
      </c>
      <c r="P406" s="85"/>
      <c r="Q406" s="86">
        <f>O406+P406</f>
        <v>39833.6</v>
      </c>
    </row>
    <row r="407" spans="1:17" ht="12.75">
      <c r="A407" s="32" t="s">
        <v>181</v>
      </c>
      <c r="B407" s="103"/>
      <c r="C407" s="159">
        <f aca="true" t="shared" si="108" ref="C407:Q407">C408+C422</f>
        <v>131473.7</v>
      </c>
      <c r="D407" s="114">
        <f t="shared" si="108"/>
        <v>68429.66</v>
      </c>
      <c r="E407" s="114">
        <f t="shared" si="108"/>
        <v>0</v>
      </c>
      <c r="F407" s="174">
        <f t="shared" si="108"/>
        <v>199903.36</v>
      </c>
      <c r="G407" s="160">
        <f t="shared" si="108"/>
        <v>0</v>
      </c>
      <c r="H407" s="114">
        <f t="shared" si="108"/>
        <v>0</v>
      </c>
      <c r="I407" s="142">
        <f t="shared" si="108"/>
        <v>0</v>
      </c>
      <c r="J407" s="159">
        <f t="shared" si="108"/>
        <v>0</v>
      </c>
      <c r="K407" s="114">
        <f t="shared" si="108"/>
        <v>0</v>
      </c>
      <c r="L407" s="142">
        <f t="shared" si="108"/>
        <v>0</v>
      </c>
      <c r="M407" s="113">
        <f t="shared" si="108"/>
        <v>0</v>
      </c>
      <c r="N407" s="113">
        <f t="shared" si="108"/>
        <v>0</v>
      </c>
      <c r="O407" s="113">
        <f t="shared" si="108"/>
        <v>0</v>
      </c>
      <c r="P407" s="113">
        <f t="shared" si="108"/>
        <v>0</v>
      </c>
      <c r="Q407" s="247">
        <f t="shared" si="108"/>
        <v>0</v>
      </c>
    </row>
    <row r="408" spans="1:17" ht="12.75">
      <c r="A408" s="41" t="s">
        <v>56</v>
      </c>
      <c r="B408" s="103"/>
      <c r="C408" s="179">
        <f>SUM(C410:C421)</f>
        <v>90373.7</v>
      </c>
      <c r="D408" s="122">
        <f>SUM(D410:D421)</f>
        <v>21438.870000000003</v>
      </c>
      <c r="E408" s="122">
        <f>SUM(E409:E421)</f>
        <v>0</v>
      </c>
      <c r="F408" s="199">
        <f>SUM(F410:F421)</f>
        <v>111812.57</v>
      </c>
      <c r="G408" s="217">
        <f aca="true" t="shared" si="109" ref="G408:Q408">SUM(G409:G421)</f>
        <v>0</v>
      </c>
      <c r="H408" s="122">
        <f t="shared" si="109"/>
        <v>0</v>
      </c>
      <c r="I408" s="170">
        <f t="shared" si="109"/>
        <v>0</v>
      </c>
      <c r="J408" s="179">
        <f t="shared" si="109"/>
        <v>0</v>
      </c>
      <c r="K408" s="122">
        <f t="shared" si="109"/>
        <v>0</v>
      </c>
      <c r="L408" s="170">
        <f t="shared" si="109"/>
        <v>0</v>
      </c>
      <c r="M408" s="121">
        <f t="shared" si="109"/>
        <v>0</v>
      </c>
      <c r="N408" s="121">
        <f t="shared" si="109"/>
        <v>0</v>
      </c>
      <c r="O408" s="121">
        <f t="shared" si="109"/>
        <v>0</v>
      </c>
      <c r="P408" s="121">
        <f t="shared" si="109"/>
        <v>0</v>
      </c>
      <c r="Q408" s="252">
        <f t="shared" si="109"/>
        <v>0</v>
      </c>
    </row>
    <row r="409" spans="1:17" ht="12.75">
      <c r="A409" s="37" t="s">
        <v>27</v>
      </c>
      <c r="B409" s="99"/>
      <c r="C409" s="152"/>
      <c r="D409" s="115"/>
      <c r="E409" s="115"/>
      <c r="F409" s="196"/>
      <c r="G409" s="88"/>
      <c r="H409" s="7"/>
      <c r="I409" s="74"/>
      <c r="J409" s="28"/>
      <c r="K409" s="7"/>
      <c r="L409" s="74"/>
      <c r="M409" s="22"/>
      <c r="N409" s="7"/>
      <c r="O409" s="23"/>
      <c r="P409" s="82"/>
      <c r="Q409" s="80"/>
    </row>
    <row r="410" spans="1:17" ht="12.75">
      <c r="A410" s="35" t="s">
        <v>286</v>
      </c>
      <c r="B410" s="99">
        <v>1202</v>
      </c>
      <c r="C410" s="152">
        <v>14900</v>
      </c>
      <c r="D410" s="115">
        <f>1009.56</f>
        <v>1009.56</v>
      </c>
      <c r="E410" s="115"/>
      <c r="F410" s="196">
        <f aca="true" t="shared" si="110" ref="F410:F421">C410+D410+E410</f>
        <v>15909.56</v>
      </c>
      <c r="G410" s="88"/>
      <c r="H410" s="7"/>
      <c r="I410" s="74"/>
      <c r="J410" s="28"/>
      <c r="K410" s="7"/>
      <c r="L410" s="74"/>
      <c r="M410" s="22"/>
      <c r="N410" s="7"/>
      <c r="O410" s="23"/>
      <c r="P410" s="82"/>
      <c r="Q410" s="80"/>
    </row>
    <row r="411" spans="1:17" ht="12.75">
      <c r="A411" s="35" t="s">
        <v>207</v>
      </c>
      <c r="B411" s="99">
        <v>1208</v>
      </c>
      <c r="C411" s="152">
        <v>3500</v>
      </c>
      <c r="D411" s="115">
        <f>1000</f>
        <v>1000</v>
      </c>
      <c r="E411" s="115"/>
      <c r="F411" s="196">
        <f t="shared" si="110"/>
        <v>4500</v>
      </c>
      <c r="G411" s="88"/>
      <c r="H411" s="7"/>
      <c r="I411" s="74"/>
      <c r="J411" s="28"/>
      <c r="K411" s="7"/>
      <c r="L411" s="74"/>
      <c r="M411" s="22"/>
      <c r="N411" s="7"/>
      <c r="O411" s="23"/>
      <c r="P411" s="82"/>
      <c r="Q411" s="80"/>
    </row>
    <row r="412" spans="1:17" ht="12.75">
      <c r="A412" s="35" t="s">
        <v>208</v>
      </c>
      <c r="B412" s="99">
        <v>1207</v>
      </c>
      <c r="C412" s="152">
        <v>9000</v>
      </c>
      <c r="D412" s="115">
        <f>102.64+1000</f>
        <v>1102.64</v>
      </c>
      <c r="E412" s="115"/>
      <c r="F412" s="196">
        <f t="shared" si="110"/>
        <v>10102.64</v>
      </c>
      <c r="G412" s="88"/>
      <c r="H412" s="7"/>
      <c r="I412" s="74"/>
      <c r="J412" s="28"/>
      <c r="K412" s="7"/>
      <c r="L412" s="74"/>
      <c r="M412" s="22"/>
      <c r="N412" s="7"/>
      <c r="O412" s="23"/>
      <c r="P412" s="82"/>
      <c r="Q412" s="80"/>
    </row>
    <row r="413" spans="1:17" ht="12.75">
      <c r="A413" s="39" t="s">
        <v>320</v>
      </c>
      <c r="B413" s="99">
        <v>1209</v>
      </c>
      <c r="C413" s="152">
        <v>2860</v>
      </c>
      <c r="D413" s="115">
        <f>10.68</f>
        <v>10.68</v>
      </c>
      <c r="E413" s="115"/>
      <c r="F413" s="196">
        <f t="shared" si="110"/>
        <v>2870.68</v>
      </c>
      <c r="G413" s="88"/>
      <c r="H413" s="7"/>
      <c r="I413" s="74"/>
      <c r="J413" s="28"/>
      <c r="K413" s="7"/>
      <c r="L413" s="74"/>
      <c r="M413" s="22"/>
      <c r="N413" s="7"/>
      <c r="O413" s="23"/>
      <c r="P413" s="82"/>
      <c r="Q413" s="80"/>
    </row>
    <row r="414" spans="1:17" ht="12.75">
      <c r="A414" s="35" t="s">
        <v>209</v>
      </c>
      <c r="B414" s="99">
        <v>1211</v>
      </c>
      <c r="C414" s="152">
        <v>3600</v>
      </c>
      <c r="D414" s="126">
        <f>222.32</f>
        <v>222.32</v>
      </c>
      <c r="E414" s="126"/>
      <c r="F414" s="196">
        <f t="shared" si="110"/>
        <v>3822.32</v>
      </c>
      <c r="G414" s="88"/>
      <c r="H414" s="7"/>
      <c r="I414" s="74"/>
      <c r="J414" s="28"/>
      <c r="K414" s="7"/>
      <c r="L414" s="74"/>
      <c r="M414" s="22"/>
      <c r="N414" s="7"/>
      <c r="O414" s="23"/>
      <c r="P414" s="82"/>
      <c r="Q414" s="80"/>
    </row>
    <row r="415" spans="1:17" ht="12.75">
      <c r="A415" s="35" t="s">
        <v>269</v>
      </c>
      <c r="B415" s="99">
        <v>1214</v>
      </c>
      <c r="C415" s="152">
        <v>2285</v>
      </c>
      <c r="D415" s="126">
        <f>9.87+200</f>
        <v>209.87</v>
      </c>
      <c r="E415" s="115"/>
      <c r="F415" s="196">
        <f t="shared" si="110"/>
        <v>2494.87</v>
      </c>
      <c r="G415" s="88"/>
      <c r="H415" s="7"/>
      <c r="I415" s="74"/>
      <c r="J415" s="28"/>
      <c r="K415" s="7"/>
      <c r="L415" s="74"/>
      <c r="M415" s="22"/>
      <c r="N415" s="7"/>
      <c r="O415" s="23"/>
      <c r="P415" s="82"/>
      <c r="Q415" s="80"/>
    </row>
    <row r="416" spans="1:17" ht="12.75">
      <c r="A416" s="35" t="s">
        <v>270</v>
      </c>
      <c r="B416" s="99">
        <v>1213</v>
      </c>
      <c r="C416" s="152">
        <v>1500</v>
      </c>
      <c r="D416" s="126">
        <f>119.54</f>
        <v>119.54</v>
      </c>
      <c r="E416" s="115"/>
      <c r="F416" s="196">
        <f t="shared" si="110"/>
        <v>1619.54</v>
      </c>
      <c r="G416" s="88"/>
      <c r="H416" s="7"/>
      <c r="I416" s="74"/>
      <c r="J416" s="28"/>
      <c r="K416" s="7"/>
      <c r="L416" s="74"/>
      <c r="M416" s="22"/>
      <c r="N416" s="7"/>
      <c r="O416" s="23"/>
      <c r="P416" s="82"/>
      <c r="Q416" s="80"/>
    </row>
    <row r="417" spans="1:17" ht="12.75">
      <c r="A417" s="35" t="s">
        <v>319</v>
      </c>
      <c r="B417" s="99">
        <v>1216</v>
      </c>
      <c r="C417" s="152">
        <v>17000</v>
      </c>
      <c r="D417" s="115">
        <f>1256.46+1000</f>
        <v>2256.46</v>
      </c>
      <c r="E417" s="115"/>
      <c r="F417" s="196">
        <f t="shared" si="110"/>
        <v>19256.46</v>
      </c>
      <c r="G417" s="88"/>
      <c r="H417" s="7"/>
      <c r="I417" s="74"/>
      <c r="J417" s="28"/>
      <c r="K417" s="7"/>
      <c r="L417" s="74"/>
      <c r="M417" s="22"/>
      <c r="N417" s="7"/>
      <c r="O417" s="23"/>
      <c r="P417" s="82"/>
      <c r="Q417" s="80"/>
    </row>
    <row r="418" spans="1:17" ht="12.75">
      <c r="A418" s="35" t="s">
        <v>210</v>
      </c>
      <c r="B418" s="99">
        <v>1239</v>
      </c>
      <c r="C418" s="152">
        <v>4300</v>
      </c>
      <c r="D418" s="115">
        <f>497.51+1500+2000+300</f>
        <v>4297.51</v>
      </c>
      <c r="E418" s="115"/>
      <c r="F418" s="196">
        <f t="shared" si="110"/>
        <v>8597.51</v>
      </c>
      <c r="G418" s="88"/>
      <c r="H418" s="7"/>
      <c r="I418" s="74"/>
      <c r="J418" s="28"/>
      <c r="K418" s="7"/>
      <c r="L418" s="74"/>
      <c r="M418" s="22"/>
      <c r="N418" s="7"/>
      <c r="O418" s="23"/>
      <c r="P418" s="82"/>
      <c r="Q418" s="80"/>
    </row>
    <row r="419" spans="1:17" ht="12.75">
      <c r="A419" s="35" t="s">
        <v>234</v>
      </c>
      <c r="B419" s="99">
        <v>1300</v>
      </c>
      <c r="C419" s="152">
        <v>16925.7</v>
      </c>
      <c r="D419" s="115">
        <f>650+4820+11759-9758</f>
        <v>7471</v>
      </c>
      <c r="E419" s="115"/>
      <c r="F419" s="196">
        <f t="shared" si="110"/>
        <v>24396.7</v>
      </c>
      <c r="G419" s="88"/>
      <c r="H419" s="7"/>
      <c r="I419" s="74"/>
      <c r="J419" s="28"/>
      <c r="K419" s="7"/>
      <c r="L419" s="74"/>
      <c r="M419" s="22"/>
      <c r="N419" s="7"/>
      <c r="O419" s="23"/>
      <c r="P419" s="82"/>
      <c r="Q419" s="80"/>
    </row>
    <row r="420" spans="1:17" ht="12.75">
      <c r="A420" s="35" t="s">
        <v>211</v>
      </c>
      <c r="B420" s="99">
        <v>1110</v>
      </c>
      <c r="C420" s="152">
        <v>14500</v>
      </c>
      <c r="D420" s="115">
        <f>3550.38</f>
        <v>3550.38</v>
      </c>
      <c r="E420" s="115"/>
      <c r="F420" s="196">
        <f t="shared" si="110"/>
        <v>18050.38</v>
      </c>
      <c r="G420" s="88"/>
      <c r="H420" s="7"/>
      <c r="I420" s="74"/>
      <c r="J420" s="28"/>
      <c r="K420" s="7"/>
      <c r="L420" s="74"/>
      <c r="M420" s="22"/>
      <c r="N420" s="7"/>
      <c r="O420" s="23"/>
      <c r="P420" s="82"/>
      <c r="Q420" s="80"/>
    </row>
    <row r="421" spans="1:17" ht="12.75">
      <c r="A421" s="35" t="s">
        <v>284</v>
      </c>
      <c r="B421" s="99"/>
      <c r="C421" s="152">
        <v>3</v>
      </c>
      <c r="D421" s="115">
        <f>188.91</f>
        <v>188.91</v>
      </c>
      <c r="E421" s="115"/>
      <c r="F421" s="196">
        <f t="shared" si="110"/>
        <v>191.91</v>
      </c>
      <c r="G421" s="88"/>
      <c r="H421" s="7"/>
      <c r="I421" s="74"/>
      <c r="J421" s="28"/>
      <c r="K421" s="7"/>
      <c r="L421" s="74"/>
      <c r="M421" s="22"/>
      <c r="N421" s="7"/>
      <c r="O421" s="23"/>
      <c r="P421" s="82"/>
      <c r="Q421" s="80"/>
    </row>
    <row r="422" spans="1:17" ht="12.75">
      <c r="A422" s="41" t="s">
        <v>61</v>
      </c>
      <c r="B422" s="103"/>
      <c r="C422" s="179">
        <f>SUM(C424:C429)</f>
        <v>41100</v>
      </c>
      <c r="D422" s="122">
        <f aca="true" t="shared" si="111" ref="D422:Q422">SUM(D424:D429)</f>
        <v>46990.78999999999</v>
      </c>
      <c r="E422" s="122">
        <f t="shared" si="111"/>
        <v>0</v>
      </c>
      <c r="F422" s="199">
        <f t="shared" si="111"/>
        <v>88090.79</v>
      </c>
      <c r="G422" s="217">
        <f t="shared" si="111"/>
        <v>0</v>
      </c>
      <c r="H422" s="122">
        <f t="shared" si="111"/>
        <v>0</v>
      </c>
      <c r="I422" s="170">
        <f t="shared" si="111"/>
        <v>0</v>
      </c>
      <c r="J422" s="179">
        <f t="shared" si="111"/>
        <v>0</v>
      </c>
      <c r="K422" s="122">
        <f t="shared" si="111"/>
        <v>0</v>
      </c>
      <c r="L422" s="170">
        <f t="shared" si="111"/>
        <v>0</v>
      </c>
      <c r="M422" s="121">
        <f t="shared" si="111"/>
        <v>0</v>
      </c>
      <c r="N422" s="121">
        <f t="shared" si="111"/>
        <v>0</v>
      </c>
      <c r="O422" s="121">
        <f t="shared" si="111"/>
        <v>0</v>
      </c>
      <c r="P422" s="121">
        <f t="shared" si="111"/>
        <v>0</v>
      </c>
      <c r="Q422" s="252">
        <f t="shared" si="111"/>
        <v>0</v>
      </c>
    </row>
    <row r="423" spans="1:17" ht="12.75">
      <c r="A423" s="37" t="s">
        <v>27</v>
      </c>
      <c r="B423" s="99"/>
      <c r="C423" s="152"/>
      <c r="D423" s="115"/>
      <c r="E423" s="115"/>
      <c r="F423" s="196"/>
      <c r="G423" s="88"/>
      <c r="H423" s="7"/>
      <c r="I423" s="74"/>
      <c r="J423" s="28"/>
      <c r="K423" s="7"/>
      <c r="L423" s="74"/>
      <c r="M423" s="22"/>
      <c r="N423" s="7"/>
      <c r="O423" s="23"/>
      <c r="P423" s="82"/>
      <c r="Q423" s="80"/>
    </row>
    <row r="424" spans="1:17" ht="12.75">
      <c r="A424" s="39" t="s">
        <v>225</v>
      </c>
      <c r="B424" s="99">
        <v>1239</v>
      </c>
      <c r="C424" s="152">
        <v>3000</v>
      </c>
      <c r="D424" s="115">
        <f>3888.84+18000+10000+5500</f>
        <v>37388.84</v>
      </c>
      <c r="E424" s="115"/>
      <c r="F424" s="196">
        <f aca="true" t="shared" si="112" ref="F424:F429">C424+D424+E424</f>
        <v>40388.84</v>
      </c>
      <c r="G424" s="88"/>
      <c r="H424" s="7"/>
      <c r="I424" s="74"/>
      <c r="J424" s="28"/>
      <c r="K424" s="7"/>
      <c r="L424" s="74"/>
      <c r="M424" s="22"/>
      <c r="N424" s="7"/>
      <c r="O424" s="23"/>
      <c r="P424" s="82"/>
      <c r="Q424" s="80"/>
    </row>
    <row r="425" spans="1:17" ht="12.75" hidden="1">
      <c r="A425" s="39" t="s">
        <v>123</v>
      </c>
      <c r="B425" s="99">
        <v>1214</v>
      </c>
      <c r="C425" s="152"/>
      <c r="D425" s="115"/>
      <c r="E425" s="115"/>
      <c r="F425" s="196">
        <f t="shared" si="112"/>
        <v>0</v>
      </c>
      <c r="G425" s="88"/>
      <c r="H425" s="7"/>
      <c r="I425" s="74"/>
      <c r="J425" s="28"/>
      <c r="K425" s="7"/>
      <c r="L425" s="74"/>
      <c r="M425" s="22"/>
      <c r="N425" s="7"/>
      <c r="O425" s="23"/>
      <c r="P425" s="82"/>
      <c r="Q425" s="80"/>
    </row>
    <row r="426" spans="1:17" ht="12.75">
      <c r="A426" s="39" t="s">
        <v>285</v>
      </c>
      <c r="B426" s="99">
        <v>1209</v>
      </c>
      <c r="C426" s="152">
        <v>600</v>
      </c>
      <c r="D426" s="115">
        <f>4.45</f>
        <v>4.45</v>
      </c>
      <c r="E426" s="115"/>
      <c r="F426" s="196">
        <f t="shared" si="112"/>
        <v>604.45</v>
      </c>
      <c r="G426" s="88"/>
      <c r="H426" s="7"/>
      <c r="I426" s="74"/>
      <c r="J426" s="28"/>
      <c r="K426" s="7"/>
      <c r="L426" s="74"/>
      <c r="M426" s="22"/>
      <c r="N426" s="7"/>
      <c r="O426" s="23"/>
      <c r="P426" s="82"/>
      <c r="Q426" s="80"/>
    </row>
    <row r="427" spans="1:17" ht="12.75">
      <c r="A427" s="35" t="s">
        <v>177</v>
      </c>
      <c r="B427" s="99">
        <v>1202</v>
      </c>
      <c r="C427" s="152"/>
      <c r="D427" s="115">
        <f>1000</f>
        <v>1000</v>
      </c>
      <c r="E427" s="115"/>
      <c r="F427" s="196">
        <f t="shared" si="112"/>
        <v>1000</v>
      </c>
      <c r="G427" s="88"/>
      <c r="H427" s="7"/>
      <c r="I427" s="74"/>
      <c r="J427" s="28"/>
      <c r="K427" s="7"/>
      <c r="L427" s="74"/>
      <c r="M427" s="22"/>
      <c r="N427" s="7"/>
      <c r="O427" s="23"/>
      <c r="P427" s="82"/>
      <c r="Q427" s="80"/>
    </row>
    <row r="428" spans="1:17" ht="12.75">
      <c r="A428" s="39" t="s">
        <v>239</v>
      </c>
      <c r="B428" s="99">
        <v>1300</v>
      </c>
      <c r="C428" s="152">
        <v>7500</v>
      </c>
      <c r="D428" s="115">
        <f>1700+1200</f>
        <v>2900</v>
      </c>
      <c r="E428" s="115"/>
      <c r="F428" s="196">
        <f t="shared" si="112"/>
        <v>10400</v>
      </c>
      <c r="G428" s="88"/>
      <c r="H428" s="7"/>
      <c r="I428" s="74"/>
      <c r="J428" s="28"/>
      <c r="K428" s="7"/>
      <c r="L428" s="74"/>
      <c r="M428" s="22"/>
      <c r="N428" s="7"/>
      <c r="O428" s="23"/>
      <c r="P428" s="82"/>
      <c r="Q428" s="80"/>
    </row>
    <row r="429" spans="1:17" ht="12.75">
      <c r="A429" s="38" t="s">
        <v>92</v>
      </c>
      <c r="B429" s="102">
        <v>1110</v>
      </c>
      <c r="C429" s="184">
        <v>30000</v>
      </c>
      <c r="D429" s="123">
        <f>1739.5+3958</f>
        <v>5697.5</v>
      </c>
      <c r="E429" s="123"/>
      <c r="F429" s="200">
        <f t="shared" si="112"/>
        <v>35697.5</v>
      </c>
      <c r="G429" s="88"/>
      <c r="H429" s="7"/>
      <c r="I429" s="74"/>
      <c r="J429" s="28"/>
      <c r="K429" s="7"/>
      <c r="L429" s="74"/>
      <c r="M429" s="22"/>
      <c r="N429" s="7"/>
      <c r="O429" s="23"/>
      <c r="P429" s="82"/>
      <c r="Q429" s="80"/>
    </row>
    <row r="430" spans="1:17" ht="12.75">
      <c r="A430" s="32" t="s">
        <v>155</v>
      </c>
      <c r="B430" s="103"/>
      <c r="C430" s="159">
        <f aca="true" t="shared" si="113" ref="C430:Q430">C431</f>
        <v>1</v>
      </c>
      <c r="D430" s="114">
        <f t="shared" si="113"/>
        <v>5292.85</v>
      </c>
      <c r="E430" s="114">
        <f t="shared" si="113"/>
        <v>0</v>
      </c>
      <c r="F430" s="174">
        <f t="shared" si="113"/>
        <v>5293.85</v>
      </c>
      <c r="G430" s="160">
        <f t="shared" si="113"/>
        <v>0</v>
      </c>
      <c r="H430" s="114">
        <f t="shared" si="113"/>
        <v>0</v>
      </c>
      <c r="I430" s="142">
        <f t="shared" si="113"/>
        <v>5293.85</v>
      </c>
      <c r="J430" s="159">
        <f t="shared" si="113"/>
        <v>0</v>
      </c>
      <c r="K430" s="114">
        <f t="shared" si="113"/>
        <v>0</v>
      </c>
      <c r="L430" s="142">
        <f t="shared" si="113"/>
        <v>5293.85</v>
      </c>
      <c r="M430" s="113">
        <f t="shared" si="113"/>
        <v>0</v>
      </c>
      <c r="N430" s="113">
        <f t="shared" si="113"/>
        <v>0</v>
      </c>
      <c r="O430" s="113">
        <f t="shared" si="113"/>
        <v>5293.85</v>
      </c>
      <c r="P430" s="113">
        <f t="shared" si="113"/>
        <v>0</v>
      </c>
      <c r="Q430" s="247">
        <f t="shared" si="113"/>
        <v>5293.85</v>
      </c>
    </row>
    <row r="431" spans="1:17" ht="12.75">
      <c r="A431" s="41" t="s">
        <v>56</v>
      </c>
      <c r="B431" s="103"/>
      <c r="C431" s="179">
        <f>C433</f>
        <v>1</v>
      </c>
      <c r="D431" s="122">
        <f aca="true" t="shared" si="114" ref="D431:Q431">D433</f>
        <v>5292.85</v>
      </c>
      <c r="E431" s="122">
        <f t="shared" si="114"/>
        <v>0</v>
      </c>
      <c r="F431" s="199">
        <f t="shared" si="114"/>
        <v>5293.85</v>
      </c>
      <c r="G431" s="217">
        <f t="shared" si="114"/>
        <v>0</v>
      </c>
      <c r="H431" s="122">
        <f t="shared" si="114"/>
        <v>0</v>
      </c>
      <c r="I431" s="170">
        <f t="shared" si="114"/>
        <v>5293.85</v>
      </c>
      <c r="J431" s="179">
        <f t="shared" si="114"/>
        <v>0</v>
      </c>
      <c r="K431" s="122">
        <f t="shared" si="114"/>
        <v>0</v>
      </c>
      <c r="L431" s="170">
        <f t="shared" si="114"/>
        <v>5293.85</v>
      </c>
      <c r="M431" s="121">
        <f t="shared" si="114"/>
        <v>0</v>
      </c>
      <c r="N431" s="121">
        <f t="shared" si="114"/>
        <v>0</v>
      </c>
      <c r="O431" s="121">
        <f t="shared" si="114"/>
        <v>5293.85</v>
      </c>
      <c r="P431" s="121">
        <f t="shared" si="114"/>
        <v>0</v>
      </c>
      <c r="Q431" s="252">
        <f t="shared" si="114"/>
        <v>5293.85</v>
      </c>
    </row>
    <row r="432" spans="1:17" ht="12.75">
      <c r="A432" s="37" t="s">
        <v>27</v>
      </c>
      <c r="B432" s="99"/>
      <c r="C432" s="152"/>
      <c r="D432" s="115"/>
      <c r="E432" s="115"/>
      <c r="F432" s="196"/>
      <c r="G432" s="88"/>
      <c r="H432" s="7"/>
      <c r="I432" s="74"/>
      <c r="J432" s="28"/>
      <c r="K432" s="7"/>
      <c r="L432" s="74"/>
      <c r="M432" s="22"/>
      <c r="N432" s="7"/>
      <c r="O432" s="23"/>
      <c r="P432" s="82"/>
      <c r="Q432" s="80"/>
    </row>
    <row r="433" spans="1:17" ht="12.75">
      <c r="A433" s="38" t="s">
        <v>58</v>
      </c>
      <c r="B433" s="102"/>
      <c r="C433" s="180">
        <v>1</v>
      </c>
      <c r="D433" s="123">
        <f>5292.85</f>
        <v>5292.85</v>
      </c>
      <c r="E433" s="123"/>
      <c r="F433" s="147">
        <f>C433+D433+E433</f>
        <v>5293.85</v>
      </c>
      <c r="G433" s="219"/>
      <c r="H433" s="10"/>
      <c r="I433" s="73">
        <f>F433+G433+H433</f>
        <v>5293.85</v>
      </c>
      <c r="J433" s="234"/>
      <c r="K433" s="10"/>
      <c r="L433" s="73">
        <f>I433+J433+K433</f>
        <v>5293.85</v>
      </c>
      <c r="M433" s="26"/>
      <c r="N433" s="10"/>
      <c r="O433" s="27">
        <f>L433+M433+N433</f>
        <v>5293.85</v>
      </c>
      <c r="P433" s="85"/>
      <c r="Q433" s="86">
        <f>O433+P433</f>
        <v>5293.85</v>
      </c>
    </row>
    <row r="434" spans="1:17" ht="12.75">
      <c r="A434" s="32" t="s">
        <v>113</v>
      </c>
      <c r="B434" s="103"/>
      <c r="C434" s="159">
        <f>C436+C437</f>
        <v>505373</v>
      </c>
      <c r="D434" s="114">
        <f aca="true" t="shared" si="115" ref="D434:Q434">D436+D437</f>
        <v>653931.21</v>
      </c>
      <c r="E434" s="114">
        <f t="shared" si="115"/>
        <v>0</v>
      </c>
      <c r="F434" s="174">
        <f t="shared" si="115"/>
        <v>1159304.21</v>
      </c>
      <c r="G434" s="160" t="e">
        <f t="shared" si="115"/>
        <v>#REF!</v>
      </c>
      <c r="H434" s="114" t="e">
        <f t="shared" si="115"/>
        <v>#REF!</v>
      </c>
      <c r="I434" s="142" t="e">
        <f t="shared" si="115"/>
        <v>#REF!</v>
      </c>
      <c r="J434" s="159" t="e">
        <f t="shared" si="115"/>
        <v>#REF!</v>
      </c>
      <c r="K434" s="114" t="e">
        <f t="shared" si="115"/>
        <v>#REF!</v>
      </c>
      <c r="L434" s="142" t="e">
        <f t="shared" si="115"/>
        <v>#REF!</v>
      </c>
      <c r="M434" s="113" t="e">
        <f t="shared" si="115"/>
        <v>#REF!</v>
      </c>
      <c r="N434" s="113" t="e">
        <f t="shared" si="115"/>
        <v>#REF!</v>
      </c>
      <c r="O434" s="113" t="e">
        <f t="shared" si="115"/>
        <v>#REF!</v>
      </c>
      <c r="P434" s="113" t="e">
        <f t="shared" si="115"/>
        <v>#REF!</v>
      </c>
      <c r="Q434" s="247" t="e">
        <f t="shared" si="115"/>
        <v>#REF!</v>
      </c>
    </row>
    <row r="435" spans="1:17" ht="12.75">
      <c r="A435" s="34" t="s">
        <v>27</v>
      </c>
      <c r="B435" s="99"/>
      <c r="C435" s="159"/>
      <c r="D435" s="114"/>
      <c r="E435" s="114"/>
      <c r="F435" s="174"/>
      <c r="G435" s="160"/>
      <c r="H435" s="114"/>
      <c r="I435" s="142"/>
      <c r="J435" s="159"/>
      <c r="K435" s="114"/>
      <c r="L435" s="142"/>
      <c r="M435" s="113"/>
      <c r="N435" s="113"/>
      <c r="O435" s="113"/>
      <c r="P435" s="113"/>
      <c r="Q435" s="247"/>
    </row>
    <row r="436" spans="1:17" ht="12.75">
      <c r="A436" s="32" t="s">
        <v>56</v>
      </c>
      <c r="B436" s="103"/>
      <c r="C436" s="145">
        <f aca="true" t="shared" si="116" ref="C436:Q436">C443+C445+C457+C459+C464+C475+C460+C450+C477+C452+C481</f>
        <v>69402</v>
      </c>
      <c r="D436" s="118">
        <f t="shared" si="116"/>
        <v>98668.07</v>
      </c>
      <c r="E436" s="118">
        <f t="shared" si="116"/>
        <v>0</v>
      </c>
      <c r="F436" s="242">
        <f t="shared" si="116"/>
        <v>168070.07000000004</v>
      </c>
      <c r="G436" s="146">
        <f t="shared" si="116"/>
        <v>0</v>
      </c>
      <c r="H436" s="118">
        <f t="shared" si="116"/>
        <v>0</v>
      </c>
      <c r="I436" s="168">
        <f t="shared" si="116"/>
        <v>163327.72000000003</v>
      </c>
      <c r="J436" s="145">
        <f t="shared" si="116"/>
        <v>0</v>
      </c>
      <c r="K436" s="118">
        <f t="shared" si="116"/>
        <v>0</v>
      </c>
      <c r="L436" s="168">
        <f t="shared" si="116"/>
        <v>163327.72000000003</v>
      </c>
      <c r="M436" s="117">
        <f t="shared" si="116"/>
        <v>0</v>
      </c>
      <c r="N436" s="117">
        <f t="shared" si="116"/>
        <v>0</v>
      </c>
      <c r="O436" s="117">
        <f t="shared" si="116"/>
        <v>163327.72000000003</v>
      </c>
      <c r="P436" s="117">
        <f t="shared" si="116"/>
        <v>0</v>
      </c>
      <c r="Q436" s="250">
        <f t="shared" si="116"/>
        <v>163327.72000000003</v>
      </c>
    </row>
    <row r="437" spans="1:17" ht="12.75">
      <c r="A437" s="32" t="s">
        <v>61</v>
      </c>
      <c r="B437" s="103"/>
      <c r="C437" s="145">
        <f>+C440+C441+C442+C446+C447+C449+C451+C453+C455+C456+C458+C461+C463+C465+C466+C468+C469+C471+C472+C474+C476+C478+C480</f>
        <v>435971</v>
      </c>
      <c r="D437" s="118">
        <f>+D440+D441+D442+D446+D447+D449+D451+D453+D455+D456+D458+D461+D463+D465+D466+D468+D469+D471+D472+D474+D476+D478+D480</f>
        <v>555263.14</v>
      </c>
      <c r="E437" s="118">
        <f>+E440+E441+E442+E446+E447+E449+E451+E453+E455+E456+E458+E461+E463+E465+E466+E468+E469+E471+E472+E474+E476+E478+E480</f>
        <v>0</v>
      </c>
      <c r="F437" s="242">
        <f>+F440+F441+F442+F446+F447+F449+F451+F453+F455+F456+F458+F461+F463+F465+F466+F468+F469+F471+F472+F474+F476+F478+F480</f>
        <v>991234.1399999999</v>
      </c>
      <c r="G437" s="146" t="e">
        <f>#REF!+#REF!+#REF!+#REF!+#REF!+G440+G441+G442+G446+G447+G449+G451+G453+G455+G456+G458+G461+G463+G465+G466+G474+G476+G478+G480</f>
        <v>#REF!</v>
      </c>
      <c r="H437" s="118" t="e">
        <f>#REF!+#REF!+#REF!+#REF!+#REF!+H440+H441+H442+H446+H447+H449+H451+H453+H455+H456+H458+H461+H463+H465+H466+H474+H476+H478+H480</f>
        <v>#REF!</v>
      </c>
      <c r="I437" s="168" t="e">
        <f>#REF!+#REF!+#REF!+#REF!+#REF!+I440+I441+I442+I446+I447+I449+I451+I453+I455+I456+I458+I461+I463+I465+I466+I474+I476+I478+I480</f>
        <v>#REF!</v>
      </c>
      <c r="J437" s="145" t="e">
        <f>#REF!+#REF!+#REF!+#REF!+#REF!+J440+J441+J442+J446+J447+J449+J451+J453+J455+J456+J458+J461+J463+J465+J466+J474+J476+J478+J480</f>
        <v>#REF!</v>
      </c>
      <c r="K437" s="118" t="e">
        <f>#REF!+#REF!+#REF!+#REF!+#REF!+K440+K441+K442+K446+K447+K449+K451+K453+K455+K456+K458+K461+K463+K465+K466+K474+K476+K478+K480</f>
        <v>#REF!</v>
      </c>
      <c r="L437" s="168" t="e">
        <f>#REF!+#REF!+#REF!+#REF!+#REF!+L440+L441+L442+L446+L447+L449+L451+L453+L455+L456+L458+L461+L463+L465+L466+L474+L476+L478+L480</f>
        <v>#REF!</v>
      </c>
      <c r="M437" s="117" t="e">
        <f>#REF!+#REF!+#REF!+#REF!+#REF!+M440+M441+M442+M446+M447+M449+M451+M453+M455+M456+M458+M461+M463+M465+M466+M474+M476+M478+M480</f>
        <v>#REF!</v>
      </c>
      <c r="N437" s="117" t="e">
        <f>#REF!+#REF!+#REF!+#REF!+#REF!+N440+N441+N442+N446+N447+N449+N451+N453+N455+N456+N458+N461+N463+N465+N466+N474+N476+N478+N480</f>
        <v>#REF!</v>
      </c>
      <c r="O437" s="117" t="e">
        <f>#REF!+#REF!+#REF!+#REF!+#REF!+O440+O441+O442+O446+O447+O449+O451+O453+O455+O456+O458+O461+O463+O465+O466+O474+O476+O478+O480</f>
        <v>#REF!</v>
      </c>
      <c r="P437" s="117" t="e">
        <f>#REF!+#REF!+#REF!+#REF!+#REF!+P440+P441+P442+P446+P447+P449+P451+P453+P455+P456+P458+P461+P463+P465+P466+P474+P476+P478+P480</f>
        <v>#REF!</v>
      </c>
      <c r="Q437" s="250" t="e">
        <f>#REF!+#REF!+#REF!+#REF!+#REF!+Q440+Q441+Q442+Q446+Q447+Q449+Q451+Q453+Q455+Q456+Q458+Q461+Q463+Q465+Q466+Q474+Q476+Q478+Q480</f>
        <v>#REF!</v>
      </c>
    </row>
    <row r="438" spans="1:17" ht="12.75">
      <c r="A438" s="33" t="s">
        <v>114</v>
      </c>
      <c r="B438" s="99"/>
      <c r="C438" s="159"/>
      <c r="D438" s="114"/>
      <c r="E438" s="114"/>
      <c r="F438" s="174"/>
      <c r="G438" s="143"/>
      <c r="H438" s="6"/>
      <c r="I438" s="70"/>
      <c r="J438" s="231"/>
      <c r="K438" s="6"/>
      <c r="L438" s="70"/>
      <c r="M438" s="20"/>
      <c r="N438" s="6"/>
      <c r="O438" s="21"/>
      <c r="P438" s="82"/>
      <c r="Q438" s="80"/>
    </row>
    <row r="439" spans="1:17" ht="12.75">
      <c r="A439" s="34" t="s">
        <v>118</v>
      </c>
      <c r="B439" s="99">
        <v>10</v>
      </c>
      <c r="C439" s="152">
        <f>SUM(C440:C443)</f>
        <v>150000</v>
      </c>
      <c r="D439" s="115">
        <f aca="true" t="shared" si="117" ref="D439:Q439">SUM(D440:D443)</f>
        <v>97894.71</v>
      </c>
      <c r="E439" s="115">
        <f t="shared" si="117"/>
        <v>0</v>
      </c>
      <c r="F439" s="196">
        <f t="shared" si="117"/>
        <v>247894.71000000002</v>
      </c>
      <c r="G439" s="153">
        <f t="shared" si="117"/>
        <v>0</v>
      </c>
      <c r="H439" s="115">
        <f t="shared" si="117"/>
        <v>0</v>
      </c>
      <c r="I439" s="167">
        <f t="shared" si="117"/>
        <v>247894.71000000002</v>
      </c>
      <c r="J439" s="152">
        <f t="shared" si="117"/>
        <v>0</v>
      </c>
      <c r="K439" s="115">
        <f t="shared" si="117"/>
        <v>0</v>
      </c>
      <c r="L439" s="167">
        <f t="shared" si="117"/>
        <v>247894.71000000002</v>
      </c>
      <c r="M439" s="116">
        <f t="shared" si="117"/>
        <v>0</v>
      </c>
      <c r="N439" s="116">
        <f t="shared" si="117"/>
        <v>0</v>
      </c>
      <c r="O439" s="116">
        <f t="shared" si="117"/>
        <v>247894.71000000002</v>
      </c>
      <c r="P439" s="116">
        <f t="shared" si="117"/>
        <v>0</v>
      </c>
      <c r="Q439" s="248">
        <f t="shared" si="117"/>
        <v>247894.71000000002</v>
      </c>
    </row>
    <row r="440" spans="1:17" ht="12.75">
      <c r="A440" s="34" t="s">
        <v>119</v>
      </c>
      <c r="B440" s="99"/>
      <c r="C440" s="152"/>
      <c r="D440" s="115"/>
      <c r="E440" s="115"/>
      <c r="F440" s="196">
        <f aca="true" t="shared" si="118" ref="F440:F484">C440+D440+E440</f>
        <v>0</v>
      </c>
      <c r="G440" s="88"/>
      <c r="H440" s="7"/>
      <c r="I440" s="74">
        <f>F440+G440+H440</f>
        <v>0</v>
      </c>
      <c r="J440" s="28"/>
      <c r="K440" s="7"/>
      <c r="L440" s="74">
        <f>I440+J440+K440</f>
        <v>0</v>
      </c>
      <c r="M440" s="22"/>
      <c r="N440" s="7"/>
      <c r="O440" s="23">
        <f>L440+M440+N440</f>
        <v>0</v>
      </c>
      <c r="P440" s="82"/>
      <c r="Q440" s="80">
        <f>O440+P440</f>
        <v>0</v>
      </c>
    </row>
    <row r="441" spans="1:17" ht="12.75">
      <c r="A441" s="34" t="s">
        <v>120</v>
      </c>
      <c r="B441" s="99"/>
      <c r="C441" s="152">
        <v>130000</v>
      </c>
      <c r="D441" s="126">
        <f>22082.45+9500</f>
        <v>31582.45</v>
      </c>
      <c r="E441" s="126"/>
      <c r="F441" s="196">
        <f t="shared" si="118"/>
        <v>161582.45</v>
      </c>
      <c r="G441" s="88"/>
      <c r="H441" s="7"/>
      <c r="I441" s="74">
        <f>F441+G441+H441</f>
        <v>161582.45</v>
      </c>
      <c r="J441" s="28"/>
      <c r="K441" s="7"/>
      <c r="L441" s="74">
        <f>I441+J441+K441</f>
        <v>161582.45</v>
      </c>
      <c r="M441" s="22"/>
      <c r="N441" s="7"/>
      <c r="O441" s="23">
        <f>L441+M441+N441</f>
        <v>161582.45</v>
      </c>
      <c r="P441" s="82"/>
      <c r="Q441" s="80">
        <f>O441+P441</f>
        <v>161582.45</v>
      </c>
    </row>
    <row r="442" spans="1:17" ht="12.75">
      <c r="A442" s="34" t="s">
        <v>117</v>
      </c>
      <c r="B442" s="99"/>
      <c r="C442" s="152"/>
      <c r="D442" s="115">
        <f>1164.85</f>
        <v>1164.85</v>
      </c>
      <c r="E442" s="115"/>
      <c r="F442" s="196">
        <f t="shared" si="118"/>
        <v>1164.85</v>
      </c>
      <c r="G442" s="88"/>
      <c r="H442" s="7"/>
      <c r="I442" s="74">
        <f>F442+G442+H442</f>
        <v>1164.85</v>
      </c>
      <c r="J442" s="28"/>
      <c r="K442" s="7"/>
      <c r="L442" s="74">
        <f>I442+J442+K442</f>
        <v>1164.85</v>
      </c>
      <c r="M442" s="22"/>
      <c r="N442" s="7"/>
      <c r="O442" s="23">
        <f>L442+M442+N442</f>
        <v>1164.85</v>
      </c>
      <c r="P442" s="82"/>
      <c r="Q442" s="80">
        <f>O442+P442</f>
        <v>1164.85</v>
      </c>
    </row>
    <row r="443" spans="1:17" ht="12.75">
      <c r="A443" s="35" t="s">
        <v>146</v>
      </c>
      <c r="B443" s="99"/>
      <c r="C443" s="152">
        <v>20000</v>
      </c>
      <c r="D443" s="149">
        <f>16647.41+48500</f>
        <v>65147.41</v>
      </c>
      <c r="E443" s="115"/>
      <c r="F443" s="196">
        <f t="shared" si="118"/>
        <v>85147.41</v>
      </c>
      <c r="G443" s="88"/>
      <c r="H443" s="7"/>
      <c r="I443" s="74">
        <f>F443+G443+H443</f>
        <v>85147.41</v>
      </c>
      <c r="J443" s="28"/>
      <c r="K443" s="7"/>
      <c r="L443" s="74">
        <f>I443+J443+K443</f>
        <v>85147.41</v>
      </c>
      <c r="M443" s="22"/>
      <c r="N443" s="7"/>
      <c r="O443" s="23">
        <f>L443+M443+N443</f>
        <v>85147.41</v>
      </c>
      <c r="P443" s="82"/>
      <c r="Q443" s="80">
        <f>O443+P443</f>
        <v>85147.41</v>
      </c>
    </row>
    <row r="444" spans="1:17" ht="12.75">
      <c r="A444" s="34" t="s">
        <v>121</v>
      </c>
      <c r="B444" s="99">
        <v>12</v>
      </c>
      <c r="C444" s="152">
        <f aca="true" t="shared" si="119" ref="C444:Q444">C445+C446+C447</f>
        <v>28000</v>
      </c>
      <c r="D444" s="115">
        <f t="shared" si="119"/>
        <v>83682.65</v>
      </c>
      <c r="E444" s="115">
        <f t="shared" si="119"/>
        <v>0</v>
      </c>
      <c r="F444" s="196">
        <f t="shared" si="119"/>
        <v>111682.65</v>
      </c>
      <c r="G444" s="153">
        <f t="shared" si="119"/>
        <v>0</v>
      </c>
      <c r="H444" s="115">
        <f t="shared" si="119"/>
        <v>0</v>
      </c>
      <c r="I444" s="167">
        <f t="shared" si="119"/>
        <v>111682.65</v>
      </c>
      <c r="J444" s="152">
        <f t="shared" si="119"/>
        <v>0</v>
      </c>
      <c r="K444" s="115">
        <f t="shared" si="119"/>
        <v>0</v>
      </c>
      <c r="L444" s="167">
        <f t="shared" si="119"/>
        <v>111682.65</v>
      </c>
      <c r="M444" s="116">
        <f t="shared" si="119"/>
        <v>0</v>
      </c>
      <c r="N444" s="116">
        <f t="shared" si="119"/>
        <v>0</v>
      </c>
      <c r="O444" s="116">
        <f t="shared" si="119"/>
        <v>111682.65</v>
      </c>
      <c r="P444" s="116">
        <f t="shared" si="119"/>
        <v>0</v>
      </c>
      <c r="Q444" s="248">
        <f t="shared" si="119"/>
        <v>111682.65</v>
      </c>
    </row>
    <row r="445" spans="1:17" ht="12.75">
      <c r="A445" s="34" t="s">
        <v>122</v>
      </c>
      <c r="B445" s="99"/>
      <c r="C445" s="152">
        <v>2400</v>
      </c>
      <c r="D445" s="115">
        <f>1119.14</f>
        <v>1119.14</v>
      </c>
      <c r="E445" s="115"/>
      <c r="F445" s="196">
        <f t="shared" si="118"/>
        <v>3519.1400000000003</v>
      </c>
      <c r="G445" s="88"/>
      <c r="H445" s="7"/>
      <c r="I445" s="74">
        <f>F445+G445+H445</f>
        <v>3519.1400000000003</v>
      </c>
      <c r="J445" s="28"/>
      <c r="K445" s="7"/>
      <c r="L445" s="74">
        <f>I445+J445+K445</f>
        <v>3519.1400000000003</v>
      </c>
      <c r="M445" s="22"/>
      <c r="N445" s="7"/>
      <c r="O445" s="23">
        <f>L445+M445+N445</f>
        <v>3519.1400000000003</v>
      </c>
      <c r="P445" s="82"/>
      <c r="Q445" s="80">
        <f>O445+P445</f>
        <v>3519.1400000000003</v>
      </c>
    </row>
    <row r="446" spans="1:17" ht="12.75">
      <c r="A446" s="34" t="s">
        <v>120</v>
      </c>
      <c r="B446" s="99"/>
      <c r="C446" s="152">
        <v>25600</v>
      </c>
      <c r="D446" s="115">
        <f>78963.51+3600</f>
        <v>82563.51</v>
      </c>
      <c r="E446" s="115"/>
      <c r="F446" s="196">
        <f t="shared" si="118"/>
        <v>108163.51</v>
      </c>
      <c r="G446" s="88"/>
      <c r="H446" s="7"/>
      <c r="I446" s="74">
        <f>F446+G446+H446</f>
        <v>108163.51</v>
      </c>
      <c r="J446" s="28"/>
      <c r="K446" s="7"/>
      <c r="L446" s="74">
        <f>I446+J446+K446</f>
        <v>108163.51</v>
      </c>
      <c r="M446" s="22"/>
      <c r="N446" s="7"/>
      <c r="O446" s="23">
        <f>L446+M446+N446</f>
        <v>108163.51</v>
      </c>
      <c r="P446" s="82"/>
      <c r="Q446" s="80">
        <f>O446+P446</f>
        <v>108163.51</v>
      </c>
    </row>
    <row r="447" spans="1:17" ht="12.75" customHeight="1" hidden="1">
      <c r="A447" s="34" t="s">
        <v>117</v>
      </c>
      <c r="B447" s="99"/>
      <c r="C447" s="152"/>
      <c r="D447" s="115"/>
      <c r="E447" s="115"/>
      <c r="F447" s="196">
        <f t="shared" si="118"/>
        <v>0</v>
      </c>
      <c r="G447" s="88"/>
      <c r="H447" s="7"/>
      <c r="I447" s="74">
        <f>F447+G447+H447</f>
        <v>0</v>
      </c>
      <c r="J447" s="28"/>
      <c r="K447" s="7"/>
      <c r="L447" s="74">
        <f>I447+J447+K447</f>
        <v>0</v>
      </c>
      <c r="M447" s="22"/>
      <c r="N447" s="7"/>
      <c r="O447" s="23">
        <f>L447+M447+N447</f>
        <v>0</v>
      </c>
      <c r="P447" s="82"/>
      <c r="Q447" s="80">
        <f>O447+P447</f>
        <v>0</v>
      </c>
    </row>
    <row r="448" spans="1:17" ht="12.75">
      <c r="A448" s="34" t="s">
        <v>123</v>
      </c>
      <c r="B448" s="99">
        <v>14</v>
      </c>
      <c r="C448" s="152">
        <f>SUM(C449:C453)</f>
        <v>107000</v>
      </c>
      <c r="D448" s="115">
        <f aca="true" t="shared" si="120" ref="D448:Q448">SUM(D449:D453)</f>
        <v>32581.260000000002</v>
      </c>
      <c r="E448" s="115">
        <f t="shared" si="120"/>
        <v>0</v>
      </c>
      <c r="F448" s="196">
        <f t="shared" si="120"/>
        <v>139581.26</v>
      </c>
      <c r="G448" s="153">
        <f t="shared" si="120"/>
        <v>0</v>
      </c>
      <c r="H448" s="115">
        <f t="shared" si="120"/>
        <v>0</v>
      </c>
      <c r="I448" s="167">
        <f t="shared" si="120"/>
        <v>139581.26</v>
      </c>
      <c r="J448" s="152">
        <f t="shared" si="120"/>
        <v>0</v>
      </c>
      <c r="K448" s="115">
        <f t="shared" si="120"/>
        <v>0</v>
      </c>
      <c r="L448" s="167">
        <f t="shared" si="120"/>
        <v>139581.26</v>
      </c>
      <c r="M448" s="116">
        <f t="shared" si="120"/>
        <v>0</v>
      </c>
      <c r="N448" s="116">
        <f t="shared" si="120"/>
        <v>0</v>
      </c>
      <c r="O448" s="116">
        <f t="shared" si="120"/>
        <v>139581.26</v>
      </c>
      <c r="P448" s="116">
        <f t="shared" si="120"/>
        <v>0</v>
      </c>
      <c r="Q448" s="248">
        <f t="shared" si="120"/>
        <v>139581.26</v>
      </c>
    </row>
    <row r="449" spans="1:17" ht="12.75">
      <c r="A449" s="34" t="s">
        <v>124</v>
      </c>
      <c r="B449" s="99"/>
      <c r="C449" s="152">
        <v>63000</v>
      </c>
      <c r="D449" s="126">
        <f>23088+900+3099.26</f>
        <v>27087.260000000002</v>
      </c>
      <c r="E449" s="126"/>
      <c r="F449" s="196">
        <f t="shared" si="118"/>
        <v>90087.26000000001</v>
      </c>
      <c r="G449" s="88"/>
      <c r="H449" s="7"/>
      <c r="I449" s="74">
        <f>F449+G449+H449</f>
        <v>90087.26000000001</v>
      </c>
      <c r="J449" s="28"/>
      <c r="K449" s="7"/>
      <c r="L449" s="74">
        <f>I449+J449+K449</f>
        <v>90087.26000000001</v>
      </c>
      <c r="M449" s="22"/>
      <c r="N449" s="7"/>
      <c r="O449" s="23">
        <f>L449+M449+N449</f>
        <v>90087.26000000001</v>
      </c>
      <c r="P449" s="82"/>
      <c r="Q449" s="80">
        <f aca="true" t="shared" si="121" ref="Q449:Q495">O449+P449</f>
        <v>90087.26000000001</v>
      </c>
    </row>
    <row r="450" spans="1:17" ht="12.75">
      <c r="A450" s="34" t="s">
        <v>125</v>
      </c>
      <c r="B450" s="99"/>
      <c r="C450" s="152">
        <v>30200</v>
      </c>
      <c r="D450" s="115">
        <f>2423+1600-91</f>
        <v>3932</v>
      </c>
      <c r="E450" s="115"/>
      <c r="F450" s="196">
        <f t="shared" si="118"/>
        <v>34132</v>
      </c>
      <c r="G450" s="88"/>
      <c r="H450" s="7"/>
      <c r="I450" s="74">
        <f>F450+G450+H450</f>
        <v>34132</v>
      </c>
      <c r="J450" s="28"/>
      <c r="K450" s="7"/>
      <c r="L450" s="74">
        <f>I450+J450+K450</f>
        <v>34132</v>
      </c>
      <c r="M450" s="22"/>
      <c r="N450" s="7"/>
      <c r="O450" s="23">
        <f>L450+M450+N450</f>
        <v>34132</v>
      </c>
      <c r="P450" s="82"/>
      <c r="Q450" s="80">
        <f t="shared" si="121"/>
        <v>34132</v>
      </c>
    </row>
    <row r="451" spans="1:17" ht="13.5" customHeight="1" thickBot="1">
      <c r="A451" s="264" t="s">
        <v>126</v>
      </c>
      <c r="B451" s="150"/>
      <c r="C451" s="182">
        <v>7300</v>
      </c>
      <c r="D451" s="151">
        <f>3362</f>
        <v>3362</v>
      </c>
      <c r="E451" s="151"/>
      <c r="F451" s="202">
        <f t="shared" si="118"/>
        <v>10662</v>
      </c>
      <c r="G451" s="88"/>
      <c r="H451" s="7"/>
      <c r="I451" s="74">
        <f>F451+G451+H451</f>
        <v>10662</v>
      </c>
      <c r="J451" s="28"/>
      <c r="K451" s="7"/>
      <c r="L451" s="74">
        <f>I451+J451+K451</f>
        <v>10662</v>
      </c>
      <c r="M451" s="22"/>
      <c r="N451" s="7"/>
      <c r="O451" s="23">
        <f>L451+M451+N451</f>
        <v>10662</v>
      </c>
      <c r="P451" s="82"/>
      <c r="Q451" s="80">
        <f t="shared" si="121"/>
        <v>10662</v>
      </c>
    </row>
    <row r="452" spans="1:17" ht="13.5" customHeight="1">
      <c r="A452" s="35" t="s">
        <v>146</v>
      </c>
      <c r="B452" s="99"/>
      <c r="C452" s="152">
        <v>4000</v>
      </c>
      <c r="D452" s="115">
        <f>700</f>
        <v>700</v>
      </c>
      <c r="E452" s="115"/>
      <c r="F452" s="196">
        <f t="shared" si="118"/>
        <v>4700</v>
      </c>
      <c r="G452" s="88"/>
      <c r="H452" s="7"/>
      <c r="I452" s="74">
        <f>F452+G452+H452</f>
        <v>4700</v>
      </c>
      <c r="J452" s="28"/>
      <c r="K452" s="7"/>
      <c r="L452" s="74">
        <f>I452+J452+K452</f>
        <v>4700</v>
      </c>
      <c r="M452" s="22"/>
      <c r="N452" s="7"/>
      <c r="O452" s="23">
        <f>L452+M452+N452</f>
        <v>4700</v>
      </c>
      <c r="P452" s="82"/>
      <c r="Q452" s="80">
        <f t="shared" si="121"/>
        <v>4700</v>
      </c>
    </row>
    <row r="453" spans="1:17" ht="12.75">
      <c r="A453" s="34" t="s">
        <v>127</v>
      </c>
      <c r="B453" s="99"/>
      <c r="C453" s="152">
        <v>2500</v>
      </c>
      <c r="D453" s="115">
        <f>-2500</f>
        <v>-2500</v>
      </c>
      <c r="E453" s="115"/>
      <c r="F453" s="196">
        <f t="shared" si="118"/>
        <v>0</v>
      </c>
      <c r="G453" s="88"/>
      <c r="H453" s="7"/>
      <c r="I453" s="74">
        <f>F453+G453+H453</f>
        <v>0</v>
      </c>
      <c r="J453" s="28"/>
      <c r="K453" s="7"/>
      <c r="L453" s="74">
        <f>I453+J453+K453</f>
        <v>0</v>
      </c>
      <c r="M453" s="22"/>
      <c r="N453" s="7"/>
      <c r="O453" s="23">
        <f>L453+M453+N453</f>
        <v>0</v>
      </c>
      <c r="P453" s="82"/>
      <c r="Q453" s="80">
        <f t="shared" si="121"/>
        <v>0</v>
      </c>
    </row>
    <row r="454" spans="1:17" ht="12.75">
      <c r="A454" s="34" t="s">
        <v>128</v>
      </c>
      <c r="B454" s="99">
        <v>15</v>
      </c>
      <c r="C454" s="152">
        <f>SUM(C455:C461)</f>
        <v>120000</v>
      </c>
      <c r="D454" s="115">
        <f aca="true" t="shared" si="122" ref="D454:Q454">SUM(D455:D461)</f>
        <v>331557.48</v>
      </c>
      <c r="E454" s="115">
        <f t="shared" si="122"/>
        <v>0</v>
      </c>
      <c r="F454" s="196">
        <f t="shared" si="122"/>
        <v>451557.48</v>
      </c>
      <c r="G454" s="153">
        <f t="shared" si="122"/>
        <v>0</v>
      </c>
      <c r="H454" s="115">
        <f t="shared" si="122"/>
        <v>0</v>
      </c>
      <c r="I454" s="167">
        <f t="shared" si="122"/>
        <v>451557.48</v>
      </c>
      <c r="J454" s="152">
        <f t="shared" si="122"/>
        <v>0</v>
      </c>
      <c r="K454" s="115">
        <f t="shared" si="122"/>
        <v>0</v>
      </c>
      <c r="L454" s="167">
        <f t="shared" si="122"/>
        <v>451557.48</v>
      </c>
      <c r="M454" s="116">
        <f t="shared" si="122"/>
        <v>0</v>
      </c>
      <c r="N454" s="116">
        <f t="shared" si="122"/>
        <v>0</v>
      </c>
      <c r="O454" s="116">
        <f t="shared" si="122"/>
        <v>451557.48</v>
      </c>
      <c r="P454" s="116">
        <f t="shared" si="122"/>
        <v>0</v>
      </c>
      <c r="Q454" s="248">
        <f t="shared" si="122"/>
        <v>451557.48</v>
      </c>
    </row>
    <row r="455" spans="1:17" ht="12.75">
      <c r="A455" s="34" t="s">
        <v>129</v>
      </c>
      <c r="B455" s="99"/>
      <c r="C455" s="152">
        <v>88465</v>
      </c>
      <c r="D455" s="115">
        <f>289449.46</f>
        <v>289449.46</v>
      </c>
      <c r="E455" s="115"/>
      <c r="F455" s="196">
        <f t="shared" si="118"/>
        <v>377914.46</v>
      </c>
      <c r="G455" s="88"/>
      <c r="H455" s="7"/>
      <c r="I455" s="74">
        <f aca="true" t="shared" si="123" ref="I455:I461">F455+G455+H455</f>
        <v>377914.46</v>
      </c>
      <c r="J455" s="28"/>
      <c r="K455" s="7"/>
      <c r="L455" s="74">
        <f aca="true" t="shared" si="124" ref="L455:L461">I455+J455+K455</f>
        <v>377914.46</v>
      </c>
      <c r="M455" s="22"/>
      <c r="N455" s="7"/>
      <c r="O455" s="23">
        <f aca="true" t="shared" si="125" ref="O455:O461">L455+M455+N455</f>
        <v>377914.46</v>
      </c>
      <c r="P455" s="82"/>
      <c r="Q455" s="80">
        <f t="shared" si="121"/>
        <v>377914.46</v>
      </c>
    </row>
    <row r="456" spans="1:17" ht="12.75" hidden="1">
      <c r="A456" s="34" t="s">
        <v>130</v>
      </c>
      <c r="B456" s="99"/>
      <c r="C456" s="152"/>
      <c r="D456" s="115"/>
      <c r="E456" s="115"/>
      <c r="F456" s="196">
        <f t="shared" si="118"/>
        <v>0</v>
      </c>
      <c r="G456" s="88"/>
      <c r="H456" s="7"/>
      <c r="I456" s="74">
        <f t="shared" si="123"/>
        <v>0</v>
      </c>
      <c r="J456" s="28"/>
      <c r="K456" s="7"/>
      <c r="L456" s="74">
        <f t="shared" si="124"/>
        <v>0</v>
      </c>
      <c r="M456" s="22"/>
      <c r="N456" s="7"/>
      <c r="O456" s="23">
        <f t="shared" si="125"/>
        <v>0</v>
      </c>
      <c r="P456" s="82"/>
      <c r="Q456" s="80">
        <f t="shared" si="121"/>
        <v>0</v>
      </c>
    </row>
    <row r="457" spans="1:17" ht="12.75" hidden="1">
      <c r="A457" s="34" t="s">
        <v>131</v>
      </c>
      <c r="B457" s="99"/>
      <c r="C457" s="152"/>
      <c r="D457" s="126"/>
      <c r="E457" s="126"/>
      <c r="F457" s="196">
        <f t="shared" si="118"/>
        <v>0</v>
      </c>
      <c r="G457" s="88"/>
      <c r="H457" s="7"/>
      <c r="I457" s="74">
        <f t="shared" si="123"/>
        <v>0</v>
      </c>
      <c r="J457" s="28"/>
      <c r="K457" s="7"/>
      <c r="L457" s="74">
        <f t="shared" si="124"/>
        <v>0</v>
      </c>
      <c r="M457" s="22"/>
      <c r="N457" s="7"/>
      <c r="O457" s="23">
        <f t="shared" si="125"/>
        <v>0</v>
      </c>
      <c r="P457" s="82"/>
      <c r="Q457" s="80">
        <f t="shared" si="121"/>
        <v>0</v>
      </c>
    </row>
    <row r="458" spans="1:17" ht="12.75">
      <c r="A458" s="34" t="s">
        <v>132</v>
      </c>
      <c r="B458" s="99"/>
      <c r="C458" s="152">
        <v>17400</v>
      </c>
      <c r="D458" s="115">
        <f>20901.1</f>
        <v>20901.1</v>
      </c>
      <c r="E458" s="115"/>
      <c r="F458" s="196">
        <f t="shared" si="118"/>
        <v>38301.1</v>
      </c>
      <c r="G458" s="88"/>
      <c r="H458" s="7"/>
      <c r="I458" s="74">
        <f t="shared" si="123"/>
        <v>38301.1</v>
      </c>
      <c r="J458" s="28"/>
      <c r="K458" s="7"/>
      <c r="L458" s="74">
        <f t="shared" si="124"/>
        <v>38301.1</v>
      </c>
      <c r="M458" s="22"/>
      <c r="N458" s="7"/>
      <c r="O458" s="23">
        <f t="shared" si="125"/>
        <v>38301.1</v>
      </c>
      <c r="P458" s="82"/>
      <c r="Q458" s="80">
        <f t="shared" si="121"/>
        <v>38301.1</v>
      </c>
    </row>
    <row r="459" spans="1:17" ht="12.75">
      <c r="A459" s="34" t="s">
        <v>133</v>
      </c>
      <c r="B459" s="99"/>
      <c r="C459" s="152">
        <v>2600</v>
      </c>
      <c r="D459" s="115">
        <f>5094.91+300</f>
        <v>5394.91</v>
      </c>
      <c r="E459" s="115"/>
      <c r="F459" s="196">
        <f t="shared" si="118"/>
        <v>7994.91</v>
      </c>
      <c r="G459" s="88"/>
      <c r="H459" s="7"/>
      <c r="I459" s="74">
        <f t="shared" si="123"/>
        <v>7994.91</v>
      </c>
      <c r="J459" s="232"/>
      <c r="K459" s="7"/>
      <c r="L459" s="74">
        <f t="shared" si="124"/>
        <v>7994.91</v>
      </c>
      <c r="M459" s="22"/>
      <c r="N459" s="7"/>
      <c r="O459" s="23">
        <f t="shared" si="125"/>
        <v>7994.91</v>
      </c>
      <c r="P459" s="82"/>
      <c r="Q459" s="80">
        <f t="shared" si="121"/>
        <v>7994.91</v>
      </c>
    </row>
    <row r="460" spans="1:17" ht="12.75">
      <c r="A460" s="34" t="s">
        <v>134</v>
      </c>
      <c r="B460" s="99"/>
      <c r="C460" s="152">
        <v>6700</v>
      </c>
      <c r="D460" s="115">
        <f>10991.14</f>
        <v>10991.14</v>
      </c>
      <c r="E460" s="115"/>
      <c r="F460" s="196">
        <f t="shared" si="118"/>
        <v>17691.14</v>
      </c>
      <c r="G460" s="88"/>
      <c r="H460" s="7"/>
      <c r="I460" s="74">
        <f t="shared" si="123"/>
        <v>17691.14</v>
      </c>
      <c r="J460" s="28"/>
      <c r="K460" s="7"/>
      <c r="L460" s="74">
        <f t="shared" si="124"/>
        <v>17691.14</v>
      </c>
      <c r="M460" s="22"/>
      <c r="N460" s="7"/>
      <c r="O460" s="23">
        <f t="shared" si="125"/>
        <v>17691.14</v>
      </c>
      <c r="P460" s="82"/>
      <c r="Q460" s="80">
        <f t="shared" si="121"/>
        <v>17691.14</v>
      </c>
    </row>
    <row r="461" spans="1:17" ht="12.75">
      <c r="A461" s="34" t="s">
        <v>127</v>
      </c>
      <c r="B461" s="99"/>
      <c r="C461" s="152">
        <v>4835</v>
      </c>
      <c r="D461" s="115">
        <f>4820.87</f>
        <v>4820.87</v>
      </c>
      <c r="E461" s="115"/>
      <c r="F461" s="196">
        <f t="shared" si="118"/>
        <v>9655.869999999999</v>
      </c>
      <c r="G461" s="88"/>
      <c r="H461" s="7"/>
      <c r="I461" s="74">
        <f t="shared" si="123"/>
        <v>9655.869999999999</v>
      </c>
      <c r="J461" s="28"/>
      <c r="K461" s="7"/>
      <c r="L461" s="74">
        <f t="shared" si="124"/>
        <v>9655.869999999999</v>
      </c>
      <c r="M461" s="22"/>
      <c r="N461" s="7"/>
      <c r="O461" s="23">
        <f t="shared" si="125"/>
        <v>9655.869999999999</v>
      </c>
      <c r="P461" s="82"/>
      <c r="Q461" s="80">
        <f t="shared" si="121"/>
        <v>9655.869999999999</v>
      </c>
    </row>
    <row r="462" spans="1:17" ht="12.75">
      <c r="A462" s="34" t="s">
        <v>135</v>
      </c>
      <c r="B462" s="99">
        <v>16</v>
      </c>
      <c r="C462" s="152">
        <f>SUM(C463:C466)</f>
        <v>18000</v>
      </c>
      <c r="D462" s="115">
        <f aca="true" t="shared" si="126" ref="D462:Q462">SUM(D463:D466)</f>
        <v>22645.31</v>
      </c>
      <c r="E462" s="115">
        <f t="shared" si="126"/>
        <v>0</v>
      </c>
      <c r="F462" s="196">
        <f t="shared" si="126"/>
        <v>40645.31</v>
      </c>
      <c r="G462" s="153">
        <f t="shared" si="126"/>
        <v>0</v>
      </c>
      <c r="H462" s="115">
        <f t="shared" si="126"/>
        <v>0</v>
      </c>
      <c r="I462" s="167">
        <f t="shared" si="126"/>
        <v>40645.31</v>
      </c>
      <c r="J462" s="152">
        <f t="shared" si="126"/>
        <v>0</v>
      </c>
      <c r="K462" s="115">
        <f t="shared" si="126"/>
        <v>0</v>
      </c>
      <c r="L462" s="167">
        <f t="shared" si="126"/>
        <v>40645.31</v>
      </c>
      <c r="M462" s="116">
        <f t="shared" si="126"/>
        <v>0</v>
      </c>
      <c r="N462" s="116">
        <f t="shared" si="126"/>
        <v>0</v>
      </c>
      <c r="O462" s="116">
        <f t="shared" si="126"/>
        <v>40645.31</v>
      </c>
      <c r="P462" s="116">
        <f t="shared" si="126"/>
        <v>0</v>
      </c>
      <c r="Q462" s="248">
        <f t="shared" si="126"/>
        <v>40645.31</v>
      </c>
    </row>
    <row r="463" spans="1:17" ht="12.75">
      <c r="A463" s="34" t="s">
        <v>124</v>
      </c>
      <c r="B463" s="99"/>
      <c r="C463" s="152">
        <v>2650</v>
      </c>
      <c r="D463" s="115">
        <f>468.35-300</f>
        <v>168.35000000000002</v>
      </c>
      <c r="E463" s="115"/>
      <c r="F463" s="196">
        <f t="shared" si="118"/>
        <v>2818.35</v>
      </c>
      <c r="G463" s="88"/>
      <c r="H463" s="7"/>
      <c r="I463" s="74">
        <f>F463+G463+H463</f>
        <v>2818.35</v>
      </c>
      <c r="J463" s="28"/>
      <c r="K463" s="7"/>
      <c r="L463" s="74">
        <f>I463+J463+K463</f>
        <v>2818.35</v>
      </c>
      <c r="M463" s="22"/>
      <c r="N463" s="7"/>
      <c r="O463" s="23">
        <f>L463+M463+N463</f>
        <v>2818.35</v>
      </c>
      <c r="P463" s="82"/>
      <c r="Q463" s="80">
        <f t="shared" si="121"/>
        <v>2818.35</v>
      </c>
    </row>
    <row r="464" spans="1:17" ht="12.75">
      <c r="A464" s="34" t="s">
        <v>125</v>
      </c>
      <c r="B464" s="99"/>
      <c r="C464" s="152">
        <v>300</v>
      </c>
      <c r="D464" s="115">
        <f>439.92</f>
        <v>439.92</v>
      </c>
      <c r="E464" s="115"/>
      <c r="F464" s="196">
        <f t="shared" si="118"/>
        <v>739.9200000000001</v>
      </c>
      <c r="G464" s="88"/>
      <c r="H464" s="7"/>
      <c r="I464" s="74">
        <f>F464+G464+H464</f>
        <v>739.9200000000001</v>
      </c>
      <c r="J464" s="28"/>
      <c r="K464" s="7"/>
      <c r="L464" s="74">
        <f>I464+J464+K464</f>
        <v>739.9200000000001</v>
      </c>
      <c r="M464" s="22"/>
      <c r="N464" s="7"/>
      <c r="O464" s="23">
        <f>L464+M464+N464</f>
        <v>739.9200000000001</v>
      </c>
      <c r="P464" s="82"/>
      <c r="Q464" s="80">
        <f t="shared" si="121"/>
        <v>739.9200000000001</v>
      </c>
    </row>
    <row r="465" spans="1:17" ht="12.75">
      <c r="A465" s="34" t="s">
        <v>126</v>
      </c>
      <c r="B465" s="99"/>
      <c r="C465" s="152">
        <v>15000</v>
      </c>
      <c r="D465" s="115">
        <f>21384+300</f>
        <v>21684</v>
      </c>
      <c r="E465" s="115"/>
      <c r="F465" s="196">
        <f t="shared" si="118"/>
        <v>36684</v>
      </c>
      <c r="G465" s="88"/>
      <c r="H465" s="7"/>
      <c r="I465" s="74">
        <f>F465+G465+H465</f>
        <v>36684</v>
      </c>
      <c r="J465" s="28"/>
      <c r="K465" s="7"/>
      <c r="L465" s="74">
        <f>I465+J465+K465</f>
        <v>36684</v>
      </c>
      <c r="M465" s="22"/>
      <c r="N465" s="7"/>
      <c r="O465" s="23">
        <f>L465+M465+N465</f>
        <v>36684</v>
      </c>
      <c r="P465" s="82"/>
      <c r="Q465" s="80">
        <f t="shared" si="121"/>
        <v>36684</v>
      </c>
    </row>
    <row r="466" spans="1:17" ht="12.75">
      <c r="A466" s="34" t="s">
        <v>127</v>
      </c>
      <c r="B466" s="99"/>
      <c r="C466" s="152">
        <v>50</v>
      </c>
      <c r="D466" s="115">
        <f>353.04</f>
        <v>353.04</v>
      </c>
      <c r="E466" s="115"/>
      <c r="F466" s="196">
        <f t="shared" si="118"/>
        <v>403.04</v>
      </c>
      <c r="G466" s="88"/>
      <c r="H466" s="7"/>
      <c r="I466" s="74">
        <f>F466+G466+H466</f>
        <v>403.04</v>
      </c>
      <c r="J466" s="28"/>
      <c r="K466" s="7"/>
      <c r="L466" s="74">
        <f>I466+J466+K466</f>
        <v>403.04</v>
      </c>
      <c r="M466" s="22"/>
      <c r="N466" s="7"/>
      <c r="O466" s="23">
        <f>L466+M466+N466</f>
        <v>403.04</v>
      </c>
      <c r="P466" s="82"/>
      <c r="Q466" s="80">
        <f t="shared" si="121"/>
        <v>403.04</v>
      </c>
    </row>
    <row r="467" spans="1:17" ht="12.75" hidden="1">
      <c r="A467" s="34" t="s">
        <v>115</v>
      </c>
      <c r="B467" s="99">
        <v>18</v>
      </c>
      <c r="C467" s="152">
        <f>C468+C469</f>
        <v>0</v>
      </c>
      <c r="D467" s="115">
        <f>D468+D469</f>
        <v>0</v>
      </c>
      <c r="E467" s="115">
        <f>E468+E469</f>
        <v>0</v>
      </c>
      <c r="F467" s="196">
        <f>F468+F469</f>
        <v>0</v>
      </c>
      <c r="G467" s="88"/>
      <c r="H467" s="7"/>
      <c r="I467" s="88"/>
      <c r="J467" s="28"/>
      <c r="K467" s="7"/>
      <c r="L467" s="88"/>
      <c r="M467" s="22"/>
      <c r="N467" s="141"/>
      <c r="O467" s="88"/>
      <c r="P467" s="82"/>
      <c r="Q467" s="80"/>
    </row>
    <row r="468" spans="1:17" ht="12.75" hidden="1">
      <c r="A468" s="34" t="s">
        <v>116</v>
      </c>
      <c r="B468" s="99"/>
      <c r="C468" s="152"/>
      <c r="D468" s="115">
        <f>1000-1000</f>
        <v>0</v>
      </c>
      <c r="E468" s="115"/>
      <c r="F468" s="196">
        <f>C468+D468+E468</f>
        <v>0</v>
      </c>
      <c r="G468" s="88"/>
      <c r="H468" s="7"/>
      <c r="I468" s="88"/>
      <c r="J468" s="28"/>
      <c r="K468" s="7"/>
      <c r="L468" s="88"/>
      <c r="M468" s="22"/>
      <c r="N468" s="141"/>
      <c r="O468" s="88"/>
      <c r="P468" s="82"/>
      <c r="Q468" s="80"/>
    </row>
    <row r="469" spans="1:17" ht="12.75" hidden="1">
      <c r="A469" s="34" t="s">
        <v>117</v>
      </c>
      <c r="B469" s="99"/>
      <c r="C469" s="152"/>
      <c r="D469" s="115"/>
      <c r="E469" s="115"/>
      <c r="F469" s="196">
        <f>C469+D469+E469</f>
        <v>0</v>
      </c>
      <c r="G469" s="88"/>
      <c r="H469" s="7"/>
      <c r="I469" s="88"/>
      <c r="J469" s="28"/>
      <c r="K469" s="7"/>
      <c r="L469" s="88"/>
      <c r="M469" s="22"/>
      <c r="N469" s="141"/>
      <c r="O469" s="88"/>
      <c r="P469" s="82"/>
      <c r="Q469" s="80"/>
    </row>
    <row r="470" spans="1:17" ht="12.75">
      <c r="A470" s="100" t="s">
        <v>287</v>
      </c>
      <c r="B470" s="99">
        <v>19</v>
      </c>
      <c r="C470" s="152">
        <f>C471+C472</f>
        <v>32371</v>
      </c>
      <c r="D470" s="115">
        <f>D471+D472</f>
        <v>16917.16</v>
      </c>
      <c r="E470" s="115">
        <f>E471+E472</f>
        <v>0</v>
      </c>
      <c r="F470" s="196">
        <f>F471+F472</f>
        <v>49288.16</v>
      </c>
      <c r="G470" s="88"/>
      <c r="H470" s="7"/>
      <c r="I470" s="88"/>
      <c r="J470" s="28"/>
      <c r="K470" s="7"/>
      <c r="L470" s="88"/>
      <c r="M470" s="22"/>
      <c r="N470" s="141"/>
      <c r="O470" s="88"/>
      <c r="P470" s="82"/>
      <c r="Q470" s="80"/>
    </row>
    <row r="471" spans="1:17" ht="12.75">
      <c r="A471" s="34" t="s">
        <v>116</v>
      </c>
      <c r="B471" s="99"/>
      <c r="C471" s="152">
        <v>32371</v>
      </c>
      <c r="D471" s="115">
        <f>13229.22+160+3100</f>
        <v>16489.22</v>
      </c>
      <c r="E471" s="115"/>
      <c r="F471" s="196">
        <f>C471+D471+E471</f>
        <v>48860.22</v>
      </c>
      <c r="G471" s="88"/>
      <c r="H471" s="7"/>
      <c r="I471" s="88"/>
      <c r="J471" s="28"/>
      <c r="K471" s="7"/>
      <c r="L471" s="88"/>
      <c r="M471" s="22"/>
      <c r="N471" s="141"/>
      <c r="O471" s="88"/>
      <c r="P471" s="82"/>
      <c r="Q471" s="80"/>
    </row>
    <row r="472" spans="1:17" ht="12.75">
      <c r="A472" s="34" t="s">
        <v>117</v>
      </c>
      <c r="B472" s="99"/>
      <c r="C472" s="152"/>
      <c r="D472" s="115">
        <f>427.94</f>
        <v>427.94</v>
      </c>
      <c r="E472" s="115"/>
      <c r="F472" s="196">
        <f>C472+D472+E472</f>
        <v>427.94</v>
      </c>
      <c r="G472" s="88"/>
      <c r="H472" s="7"/>
      <c r="I472" s="88"/>
      <c r="J472" s="28"/>
      <c r="K472" s="7"/>
      <c r="L472" s="88"/>
      <c r="M472" s="22"/>
      <c r="N472" s="141"/>
      <c r="O472" s="88"/>
      <c r="P472" s="82"/>
      <c r="Q472" s="80"/>
    </row>
    <row r="473" spans="1:17" ht="12.75">
      <c r="A473" s="34" t="s">
        <v>136</v>
      </c>
      <c r="B473" s="99">
        <v>28</v>
      </c>
      <c r="C473" s="152">
        <f>SUM(C474:C478)</f>
        <v>50000</v>
      </c>
      <c r="D473" s="115">
        <f aca="true" t="shared" si="127" ref="D473:Q473">SUM(D474:D478)</f>
        <v>63812.28999999999</v>
      </c>
      <c r="E473" s="115">
        <f t="shared" si="127"/>
        <v>0</v>
      </c>
      <c r="F473" s="196">
        <f t="shared" si="127"/>
        <v>113812.29</v>
      </c>
      <c r="G473" s="153">
        <f t="shared" si="127"/>
        <v>0</v>
      </c>
      <c r="H473" s="115">
        <f t="shared" si="127"/>
        <v>0</v>
      </c>
      <c r="I473" s="167">
        <f t="shared" si="127"/>
        <v>113812.29</v>
      </c>
      <c r="J473" s="152">
        <f t="shared" si="127"/>
        <v>0</v>
      </c>
      <c r="K473" s="115">
        <f t="shared" si="127"/>
        <v>0</v>
      </c>
      <c r="L473" s="167">
        <f t="shared" si="127"/>
        <v>113812.29</v>
      </c>
      <c r="M473" s="116">
        <f t="shared" si="127"/>
        <v>0</v>
      </c>
      <c r="N473" s="116">
        <f t="shared" si="127"/>
        <v>0</v>
      </c>
      <c r="O473" s="116">
        <f t="shared" si="127"/>
        <v>113812.29</v>
      </c>
      <c r="P473" s="116">
        <f t="shared" si="127"/>
        <v>0</v>
      </c>
      <c r="Q473" s="248">
        <f t="shared" si="127"/>
        <v>113812.29</v>
      </c>
    </row>
    <row r="474" spans="1:17" ht="12.75">
      <c r="A474" s="34" t="s">
        <v>124</v>
      </c>
      <c r="B474" s="99"/>
      <c r="C474" s="152">
        <v>12740</v>
      </c>
      <c r="D474" s="115">
        <f>4138.82+650</f>
        <v>4788.82</v>
      </c>
      <c r="E474" s="115"/>
      <c r="F474" s="196">
        <f t="shared" si="118"/>
        <v>17528.82</v>
      </c>
      <c r="G474" s="88"/>
      <c r="H474" s="7"/>
      <c r="I474" s="74">
        <f>F474+G474+H474</f>
        <v>17528.82</v>
      </c>
      <c r="J474" s="28"/>
      <c r="K474" s="7"/>
      <c r="L474" s="74">
        <f>I474+J474+K474</f>
        <v>17528.82</v>
      </c>
      <c r="M474" s="22"/>
      <c r="N474" s="7"/>
      <c r="O474" s="23">
        <f>L474+M474+N474</f>
        <v>17528.82</v>
      </c>
      <c r="P474" s="82"/>
      <c r="Q474" s="80">
        <f t="shared" si="121"/>
        <v>17528.82</v>
      </c>
    </row>
    <row r="475" spans="1:17" ht="12.75">
      <c r="A475" s="34" t="s">
        <v>125</v>
      </c>
      <c r="B475" s="99"/>
      <c r="C475" s="152">
        <v>3200</v>
      </c>
      <c r="D475" s="115">
        <f>-300</f>
        <v>-300</v>
      </c>
      <c r="E475" s="115"/>
      <c r="F475" s="196">
        <f t="shared" si="118"/>
        <v>2900</v>
      </c>
      <c r="G475" s="88"/>
      <c r="H475" s="7"/>
      <c r="I475" s="74">
        <f>F475+G475+H475</f>
        <v>2900</v>
      </c>
      <c r="J475" s="28"/>
      <c r="K475" s="7"/>
      <c r="L475" s="74">
        <f>I475+J475+K475</f>
        <v>2900</v>
      </c>
      <c r="M475" s="22"/>
      <c r="N475" s="7"/>
      <c r="O475" s="23">
        <f>L475+M475+N475</f>
        <v>2900</v>
      </c>
      <c r="P475" s="82"/>
      <c r="Q475" s="80">
        <f t="shared" si="121"/>
        <v>2900</v>
      </c>
    </row>
    <row r="476" spans="1:17" ht="12.75">
      <c r="A476" s="34" t="s">
        <v>137</v>
      </c>
      <c r="B476" s="99"/>
      <c r="C476" s="152">
        <v>28600</v>
      </c>
      <c r="D476" s="115">
        <f>58822.27-3350</f>
        <v>55472.27</v>
      </c>
      <c r="E476" s="115"/>
      <c r="F476" s="196">
        <f t="shared" si="118"/>
        <v>84072.26999999999</v>
      </c>
      <c r="G476" s="88"/>
      <c r="H476" s="7"/>
      <c r="I476" s="74">
        <f>F476+G476+H476</f>
        <v>84072.26999999999</v>
      </c>
      <c r="J476" s="28"/>
      <c r="K476" s="7"/>
      <c r="L476" s="74">
        <f>I476+J476+K476</f>
        <v>84072.26999999999</v>
      </c>
      <c r="M476" s="22"/>
      <c r="N476" s="7"/>
      <c r="O476" s="23">
        <f>L476+M476+N476</f>
        <v>84072.26999999999</v>
      </c>
      <c r="P476" s="82"/>
      <c r="Q476" s="80">
        <f t="shared" si="121"/>
        <v>84072.26999999999</v>
      </c>
    </row>
    <row r="477" spans="1:17" ht="12.75">
      <c r="A477" s="34" t="s">
        <v>134</v>
      </c>
      <c r="B477" s="99"/>
      <c r="C477" s="152"/>
      <c r="D477" s="115">
        <f>3503.2+3000</f>
        <v>6503.2</v>
      </c>
      <c r="E477" s="115"/>
      <c r="F477" s="196">
        <f t="shared" si="118"/>
        <v>6503.2</v>
      </c>
      <c r="G477" s="88"/>
      <c r="H477" s="7"/>
      <c r="I477" s="74">
        <f>F477+G477+H477</f>
        <v>6503.2</v>
      </c>
      <c r="J477" s="28"/>
      <c r="K477" s="7"/>
      <c r="L477" s="74">
        <f>I477+J477+K477</f>
        <v>6503.2</v>
      </c>
      <c r="M477" s="22"/>
      <c r="N477" s="7"/>
      <c r="O477" s="23">
        <f>L477+M477+N477</f>
        <v>6503.2</v>
      </c>
      <c r="P477" s="82"/>
      <c r="Q477" s="80">
        <f t="shared" si="121"/>
        <v>6503.2</v>
      </c>
    </row>
    <row r="478" spans="1:17" ht="12.75">
      <c r="A478" s="34" t="s">
        <v>127</v>
      </c>
      <c r="B478" s="99"/>
      <c r="C478" s="152">
        <v>5460</v>
      </c>
      <c r="D478" s="126">
        <f>948-3600</f>
        <v>-2652</v>
      </c>
      <c r="E478" s="115"/>
      <c r="F478" s="196">
        <f t="shared" si="118"/>
        <v>2808</v>
      </c>
      <c r="G478" s="88"/>
      <c r="H478" s="7"/>
      <c r="I478" s="74">
        <f>F478+G478+H478</f>
        <v>2808</v>
      </c>
      <c r="J478" s="28"/>
      <c r="K478" s="7"/>
      <c r="L478" s="74">
        <f>I478+J478+K478</f>
        <v>2808</v>
      </c>
      <c r="M478" s="22"/>
      <c r="N478" s="7"/>
      <c r="O478" s="23">
        <f>L478+M478+N478</f>
        <v>2808</v>
      </c>
      <c r="P478" s="82"/>
      <c r="Q478" s="80">
        <f t="shared" si="121"/>
        <v>2808</v>
      </c>
    </row>
    <row r="479" spans="1:17" ht="12.75">
      <c r="A479" s="35" t="s">
        <v>138</v>
      </c>
      <c r="B479" s="99"/>
      <c r="C479" s="152">
        <f>C480+C481</f>
        <v>2</v>
      </c>
      <c r="D479" s="115">
        <f aca="true" t="shared" si="128" ref="D479:Q479">D480+D481</f>
        <v>4840.35</v>
      </c>
      <c r="E479" s="115">
        <f t="shared" si="128"/>
        <v>0</v>
      </c>
      <c r="F479" s="196">
        <f t="shared" si="128"/>
        <v>4842.35</v>
      </c>
      <c r="G479" s="153">
        <f t="shared" si="128"/>
        <v>0</v>
      </c>
      <c r="H479" s="115">
        <f t="shared" si="128"/>
        <v>0</v>
      </c>
      <c r="I479" s="153">
        <f t="shared" si="128"/>
        <v>0</v>
      </c>
      <c r="J479" s="152">
        <f t="shared" si="128"/>
        <v>0</v>
      </c>
      <c r="K479" s="115">
        <f t="shared" si="128"/>
        <v>0</v>
      </c>
      <c r="L479" s="153">
        <f t="shared" si="128"/>
        <v>0</v>
      </c>
      <c r="M479" s="152">
        <f t="shared" si="128"/>
        <v>0</v>
      </c>
      <c r="N479" s="152">
        <f t="shared" si="128"/>
        <v>0</v>
      </c>
      <c r="O479" s="152">
        <f t="shared" si="128"/>
        <v>0</v>
      </c>
      <c r="P479" s="152">
        <f t="shared" si="128"/>
        <v>0</v>
      </c>
      <c r="Q479" s="248">
        <f t="shared" si="128"/>
        <v>0</v>
      </c>
    </row>
    <row r="480" spans="1:17" ht="12.75">
      <c r="A480" s="35" t="s">
        <v>264</v>
      </c>
      <c r="B480" s="99"/>
      <c r="C480" s="152"/>
      <c r="D480" s="115">
        <f>100</f>
        <v>100</v>
      </c>
      <c r="E480" s="115"/>
      <c r="F480" s="196">
        <f t="shared" si="118"/>
        <v>100</v>
      </c>
      <c r="G480" s="88"/>
      <c r="H480" s="7"/>
      <c r="I480" s="74"/>
      <c r="J480" s="28"/>
      <c r="K480" s="7"/>
      <c r="L480" s="74"/>
      <c r="M480" s="22"/>
      <c r="N480" s="7"/>
      <c r="O480" s="23"/>
      <c r="P480" s="82"/>
      <c r="Q480" s="80"/>
    </row>
    <row r="481" spans="1:17" ht="12.75">
      <c r="A481" s="38" t="s">
        <v>334</v>
      </c>
      <c r="B481" s="102"/>
      <c r="C481" s="180">
        <v>2</v>
      </c>
      <c r="D481" s="123">
        <f>4740.35</f>
        <v>4740.35</v>
      </c>
      <c r="E481" s="123"/>
      <c r="F481" s="200">
        <f t="shared" si="118"/>
        <v>4742.35</v>
      </c>
      <c r="G481" s="88"/>
      <c r="H481" s="7"/>
      <c r="I481" s="74"/>
      <c r="J481" s="28"/>
      <c r="K481" s="7"/>
      <c r="L481" s="74"/>
      <c r="M481" s="22"/>
      <c r="N481" s="7"/>
      <c r="O481" s="23"/>
      <c r="P481" s="82"/>
      <c r="Q481" s="80"/>
    </row>
    <row r="482" spans="1:17" ht="13.5" thickBot="1">
      <c r="A482" s="49" t="s">
        <v>139</v>
      </c>
      <c r="B482" s="103"/>
      <c r="C482" s="145">
        <v>7650.62</v>
      </c>
      <c r="D482" s="115">
        <f>325.01+61.36</f>
        <v>386.37</v>
      </c>
      <c r="E482" s="118"/>
      <c r="F482" s="197">
        <f t="shared" si="118"/>
        <v>8036.99</v>
      </c>
      <c r="G482" s="215"/>
      <c r="H482" s="8"/>
      <c r="I482" s="29">
        <f>SUM(F482:H482)</f>
        <v>8036.99</v>
      </c>
      <c r="J482" s="233"/>
      <c r="K482" s="8"/>
      <c r="L482" s="238">
        <f>SUM(I482:K482)</f>
        <v>8036.99</v>
      </c>
      <c r="M482" s="24"/>
      <c r="N482" s="8"/>
      <c r="O482" s="25">
        <f>SUM(L482:N482)</f>
        <v>8036.99</v>
      </c>
      <c r="P482" s="83"/>
      <c r="Q482" s="29">
        <f>O482+P482</f>
        <v>8036.99</v>
      </c>
    </row>
    <row r="483" spans="1:17" ht="14.25" thickBot="1">
      <c r="A483" s="50" t="s">
        <v>140</v>
      </c>
      <c r="B483" s="106"/>
      <c r="C483" s="156">
        <f aca="true" t="shared" si="129" ref="C483:Q483">+C90+C110+C121+C139+C151+C174+C220+C239+C255+C274+C345+C371+C393+C400+C430+C434+C482+C407+C296</f>
        <v>4848154.899999999</v>
      </c>
      <c r="D483" s="133">
        <f t="shared" si="129"/>
        <v>10928241</v>
      </c>
      <c r="E483" s="157">
        <f t="shared" si="129"/>
        <v>0</v>
      </c>
      <c r="F483" s="130">
        <f t="shared" si="129"/>
        <v>15776395.9</v>
      </c>
      <c r="G483" s="156" t="e">
        <f t="shared" si="129"/>
        <v>#REF!</v>
      </c>
      <c r="H483" s="156" t="e">
        <f t="shared" si="129"/>
        <v>#REF!</v>
      </c>
      <c r="I483" s="156" t="e">
        <f t="shared" si="129"/>
        <v>#REF!</v>
      </c>
      <c r="J483" s="156" t="e">
        <f t="shared" si="129"/>
        <v>#REF!</v>
      </c>
      <c r="K483" s="156" t="e">
        <f t="shared" si="129"/>
        <v>#REF!</v>
      </c>
      <c r="L483" s="156" t="e">
        <f t="shared" si="129"/>
        <v>#REF!</v>
      </c>
      <c r="M483" s="156" t="e">
        <f t="shared" si="129"/>
        <v>#REF!</v>
      </c>
      <c r="N483" s="156" t="e">
        <f t="shared" si="129"/>
        <v>#REF!</v>
      </c>
      <c r="O483" s="156" t="e">
        <f t="shared" si="129"/>
        <v>#REF!</v>
      </c>
      <c r="P483" s="156" t="e">
        <f t="shared" si="129"/>
        <v>#REF!</v>
      </c>
      <c r="Q483" s="255" t="e">
        <f t="shared" si="129"/>
        <v>#REF!</v>
      </c>
    </row>
    <row r="484" spans="1:17" ht="13.5" thickBot="1">
      <c r="A484" s="51" t="s">
        <v>141</v>
      </c>
      <c r="B484" s="106"/>
      <c r="C484" s="185">
        <v>-7650.62</v>
      </c>
      <c r="D484" s="243">
        <f>-325.01-61.36</f>
        <v>-386.37</v>
      </c>
      <c r="E484" s="221"/>
      <c r="F484" s="244">
        <f t="shared" si="118"/>
        <v>-8036.99</v>
      </c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256"/>
    </row>
    <row r="485" spans="1:17" ht="15.75" thickBot="1">
      <c r="A485" s="52" t="s">
        <v>142</v>
      </c>
      <c r="B485" s="106"/>
      <c r="C485" s="186">
        <f aca="true" t="shared" si="130" ref="C485:Q485">C483+C484</f>
        <v>4840504.279999999</v>
      </c>
      <c r="D485" s="120">
        <f t="shared" si="130"/>
        <v>10927854.63</v>
      </c>
      <c r="E485" s="222">
        <f t="shared" si="130"/>
        <v>0</v>
      </c>
      <c r="F485" s="127">
        <f t="shared" si="130"/>
        <v>15768358.91</v>
      </c>
      <c r="G485" s="186" t="e">
        <f t="shared" si="130"/>
        <v>#REF!</v>
      </c>
      <c r="H485" s="186" t="e">
        <f t="shared" si="130"/>
        <v>#REF!</v>
      </c>
      <c r="I485" s="186" t="e">
        <f t="shared" si="130"/>
        <v>#REF!</v>
      </c>
      <c r="J485" s="186" t="e">
        <f t="shared" si="130"/>
        <v>#REF!</v>
      </c>
      <c r="K485" s="186" t="e">
        <f t="shared" si="130"/>
        <v>#REF!</v>
      </c>
      <c r="L485" s="186" t="e">
        <f t="shared" si="130"/>
        <v>#REF!</v>
      </c>
      <c r="M485" s="186" t="e">
        <f t="shared" si="130"/>
        <v>#REF!</v>
      </c>
      <c r="N485" s="186" t="e">
        <f t="shared" si="130"/>
        <v>#REF!</v>
      </c>
      <c r="O485" s="186" t="e">
        <f t="shared" si="130"/>
        <v>#REF!</v>
      </c>
      <c r="P485" s="186" t="e">
        <f t="shared" si="130"/>
        <v>#REF!</v>
      </c>
      <c r="Q485" s="257" t="e">
        <f t="shared" si="130"/>
        <v>#REF!</v>
      </c>
    </row>
    <row r="486" spans="1:17" ht="15">
      <c r="A486" s="53" t="s">
        <v>27</v>
      </c>
      <c r="B486" s="107"/>
      <c r="C486" s="187"/>
      <c r="D486" s="134"/>
      <c r="E486" s="223"/>
      <c r="F486" s="128"/>
      <c r="G486" s="187"/>
      <c r="H486" s="187"/>
      <c r="I486" s="187"/>
      <c r="J486" s="187"/>
      <c r="K486" s="187"/>
      <c r="L486" s="187"/>
      <c r="M486" s="187"/>
      <c r="N486" s="187"/>
      <c r="O486" s="187"/>
      <c r="P486" s="187"/>
      <c r="Q486" s="258"/>
    </row>
    <row r="487" spans="1:17" ht="15">
      <c r="A487" s="54" t="s">
        <v>251</v>
      </c>
      <c r="B487" s="108"/>
      <c r="C487" s="188">
        <f aca="true" t="shared" si="131" ref="C487:Q487">+C91+C111+C122+C140+C152+C175+C221+C240+C256+C275+C346+C372+C394+C401+C431+C436+C482+C484+C408+C297</f>
        <v>3531673.2799999993</v>
      </c>
      <c r="D487" s="135">
        <f t="shared" si="131"/>
        <v>8621357.889999999</v>
      </c>
      <c r="E487" s="224">
        <f t="shared" si="131"/>
        <v>0</v>
      </c>
      <c r="F487" s="131">
        <f t="shared" si="131"/>
        <v>12153031.170000002</v>
      </c>
      <c r="G487" s="188">
        <f t="shared" si="131"/>
        <v>0</v>
      </c>
      <c r="H487" s="188">
        <f t="shared" si="131"/>
        <v>0</v>
      </c>
      <c r="I487" s="188">
        <f t="shared" si="131"/>
        <v>10593543.240000002</v>
      </c>
      <c r="J487" s="188">
        <f t="shared" si="131"/>
        <v>0</v>
      </c>
      <c r="K487" s="188">
        <f t="shared" si="131"/>
        <v>0</v>
      </c>
      <c r="L487" s="188">
        <f t="shared" si="131"/>
        <v>10593543.240000002</v>
      </c>
      <c r="M487" s="188">
        <f t="shared" si="131"/>
        <v>0</v>
      </c>
      <c r="N487" s="188">
        <f t="shared" si="131"/>
        <v>0</v>
      </c>
      <c r="O487" s="188">
        <f t="shared" si="131"/>
        <v>10593543.240000002</v>
      </c>
      <c r="P487" s="188">
        <f t="shared" si="131"/>
        <v>0</v>
      </c>
      <c r="Q487" s="259">
        <f t="shared" si="131"/>
        <v>10593543.240000002</v>
      </c>
    </row>
    <row r="488" spans="1:17" ht="15.75" thickBot="1">
      <c r="A488" s="40" t="s">
        <v>252</v>
      </c>
      <c r="B488" s="109"/>
      <c r="C488" s="189">
        <f aca="true" t="shared" si="132" ref="C488:Q488">+C100+C118+C134+C145+C166+C211+C232+C249+C267+C292+C366+C384+C397+C437+C422+C319</f>
        <v>1308831</v>
      </c>
      <c r="D488" s="136">
        <f t="shared" si="132"/>
        <v>2306496.74</v>
      </c>
      <c r="E488" s="225">
        <f t="shared" si="132"/>
        <v>0</v>
      </c>
      <c r="F488" s="132">
        <f t="shared" si="132"/>
        <v>3615327.7399999993</v>
      </c>
      <c r="G488" s="189" t="e">
        <f t="shared" si="132"/>
        <v>#REF!</v>
      </c>
      <c r="H488" s="189" t="e">
        <f t="shared" si="132"/>
        <v>#REF!</v>
      </c>
      <c r="I488" s="189" t="e">
        <f t="shared" si="132"/>
        <v>#REF!</v>
      </c>
      <c r="J488" s="189" t="e">
        <f t="shared" si="132"/>
        <v>#REF!</v>
      </c>
      <c r="K488" s="189" t="e">
        <f t="shared" si="132"/>
        <v>#REF!</v>
      </c>
      <c r="L488" s="189" t="e">
        <f t="shared" si="132"/>
        <v>#REF!</v>
      </c>
      <c r="M488" s="189" t="e">
        <f t="shared" si="132"/>
        <v>#REF!</v>
      </c>
      <c r="N488" s="189" t="e">
        <f t="shared" si="132"/>
        <v>#REF!</v>
      </c>
      <c r="O488" s="189" t="e">
        <f t="shared" si="132"/>
        <v>#REF!</v>
      </c>
      <c r="P488" s="189" t="e">
        <f t="shared" si="132"/>
        <v>#REF!</v>
      </c>
      <c r="Q488" s="260" t="e">
        <f t="shared" si="132"/>
        <v>#REF!</v>
      </c>
    </row>
    <row r="489" spans="1:17" ht="15.75" thickBot="1">
      <c r="A489" s="54" t="s">
        <v>245</v>
      </c>
      <c r="B489" s="108"/>
      <c r="C489" s="156">
        <f aca="true" t="shared" si="133" ref="C489:Q489">C88-C485</f>
        <v>-337499.99999999907</v>
      </c>
      <c r="D489" s="133">
        <f t="shared" si="133"/>
        <v>-2421728.9000000004</v>
      </c>
      <c r="E489" s="133">
        <f t="shared" si="133"/>
        <v>0</v>
      </c>
      <c r="F489" s="204">
        <f t="shared" si="133"/>
        <v>-2759228.9000000004</v>
      </c>
      <c r="G489" s="157" t="e">
        <f t="shared" si="133"/>
        <v>#REF!</v>
      </c>
      <c r="H489" s="133" t="e">
        <f t="shared" si="133"/>
        <v>#REF!</v>
      </c>
      <c r="I489" s="157" t="e">
        <f t="shared" si="133"/>
        <v>#REF!</v>
      </c>
      <c r="J489" s="156" t="e">
        <f t="shared" si="133"/>
        <v>#REF!</v>
      </c>
      <c r="K489" s="133" t="e">
        <f t="shared" si="133"/>
        <v>#REF!</v>
      </c>
      <c r="L489" s="157" t="e">
        <f t="shared" si="133"/>
        <v>#REF!</v>
      </c>
      <c r="M489" s="156" t="e">
        <f t="shared" si="133"/>
        <v>#REF!</v>
      </c>
      <c r="N489" s="156" t="e">
        <f t="shared" si="133"/>
        <v>#REF!</v>
      </c>
      <c r="O489" s="156" t="e">
        <f t="shared" si="133"/>
        <v>#REF!</v>
      </c>
      <c r="P489" s="156" t="e">
        <f t="shared" si="133"/>
        <v>#REF!</v>
      </c>
      <c r="Q489" s="255" t="e">
        <f t="shared" si="133"/>
        <v>#REF!</v>
      </c>
    </row>
    <row r="490" spans="1:17" ht="15">
      <c r="A490" s="53" t="s">
        <v>253</v>
      </c>
      <c r="B490" s="107"/>
      <c r="C490" s="190">
        <f>SUM(C492:C495)</f>
        <v>337500</v>
      </c>
      <c r="D490" s="137">
        <f aca="true" t="shared" si="134" ref="D490:Q490">SUM(D492:D495)</f>
        <v>2421728.9</v>
      </c>
      <c r="E490" s="137">
        <f t="shared" si="134"/>
        <v>0</v>
      </c>
      <c r="F490" s="205">
        <f t="shared" si="134"/>
        <v>2759228.9</v>
      </c>
      <c r="G490" s="226">
        <f t="shared" si="134"/>
        <v>0</v>
      </c>
      <c r="H490" s="137">
        <f t="shared" si="134"/>
        <v>0</v>
      </c>
      <c r="I490" s="173">
        <f t="shared" si="134"/>
        <v>2759228.9</v>
      </c>
      <c r="J490" s="190">
        <f t="shared" si="134"/>
        <v>0</v>
      </c>
      <c r="K490" s="137">
        <f t="shared" si="134"/>
        <v>0</v>
      </c>
      <c r="L490" s="173">
        <f t="shared" si="134"/>
        <v>2759228.9</v>
      </c>
      <c r="M490" s="144">
        <f t="shared" si="134"/>
        <v>0</v>
      </c>
      <c r="N490" s="144">
        <f t="shared" si="134"/>
        <v>0</v>
      </c>
      <c r="O490" s="144">
        <f t="shared" si="134"/>
        <v>2759228.9</v>
      </c>
      <c r="P490" s="144">
        <f t="shared" si="134"/>
        <v>0</v>
      </c>
      <c r="Q490" s="261">
        <f t="shared" si="134"/>
        <v>2759228.9</v>
      </c>
    </row>
    <row r="491" spans="1:17" ht="12.75" customHeight="1">
      <c r="A491" s="55" t="s">
        <v>27</v>
      </c>
      <c r="B491" s="110"/>
      <c r="C491" s="191"/>
      <c r="D491" s="138"/>
      <c r="E491" s="138"/>
      <c r="F491" s="206"/>
      <c r="G491" s="227"/>
      <c r="H491" s="12"/>
      <c r="I491" s="210"/>
      <c r="J491" s="235"/>
      <c r="K491" s="12"/>
      <c r="L491" s="210"/>
      <c r="M491" s="15"/>
      <c r="N491" s="12"/>
      <c r="O491" s="63"/>
      <c r="P491" s="82"/>
      <c r="Q491" s="80"/>
    </row>
    <row r="492" spans="1:17" ht="13.5">
      <c r="A492" s="55" t="s">
        <v>143</v>
      </c>
      <c r="B492" s="110"/>
      <c r="C492" s="192">
        <v>400000</v>
      </c>
      <c r="D492" s="164"/>
      <c r="E492" s="164"/>
      <c r="F492" s="207">
        <f>SUM(C492:E492)</f>
        <v>400000</v>
      </c>
      <c r="G492" s="228"/>
      <c r="H492" s="13"/>
      <c r="I492" s="210">
        <f>SUM(F492:H492)</f>
        <v>400000</v>
      </c>
      <c r="J492" s="236"/>
      <c r="K492" s="13"/>
      <c r="L492" s="210">
        <f>SUM(I492:K492)</f>
        <v>400000</v>
      </c>
      <c r="M492" s="16"/>
      <c r="N492" s="13"/>
      <c r="O492" s="63">
        <f>SUM(L492:N492)</f>
        <v>400000</v>
      </c>
      <c r="P492" s="82"/>
      <c r="Q492" s="80">
        <f t="shared" si="121"/>
        <v>400000</v>
      </c>
    </row>
    <row r="493" spans="1:17" ht="13.5">
      <c r="A493" s="56" t="s">
        <v>151</v>
      </c>
      <c r="B493" s="110"/>
      <c r="C493" s="192">
        <v>-62500</v>
      </c>
      <c r="D493" s="164">
        <v>-85301.94</v>
      </c>
      <c r="E493" s="164"/>
      <c r="F493" s="207">
        <f>SUM(C493:E493)</f>
        <v>-147801.94</v>
      </c>
      <c r="G493" s="228"/>
      <c r="H493" s="13"/>
      <c r="I493" s="210">
        <f>SUM(F493:H493)</f>
        <v>-147801.94</v>
      </c>
      <c r="J493" s="236"/>
      <c r="K493" s="13"/>
      <c r="L493" s="210">
        <f>SUM(I493:K493)</f>
        <v>-147801.94</v>
      </c>
      <c r="M493" s="16"/>
      <c r="N493" s="13"/>
      <c r="O493" s="63">
        <f>SUM(L493:N493)</f>
        <v>-147801.94</v>
      </c>
      <c r="P493" s="82"/>
      <c r="Q493" s="80">
        <f t="shared" si="121"/>
        <v>-147801.94</v>
      </c>
    </row>
    <row r="494" spans="1:17" ht="14.25" thickBot="1">
      <c r="A494" s="68" t="s">
        <v>144</v>
      </c>
      <c r="B494" s="111"/>
      <c r="C494" s="193"/>
      <c r="D494" s="165">
        <f>1117496.24+80+2350+4820+1200+53138.43+589362.95+6000+26820.5+14658.97+17233+6722.35+2350+46171.6+2652.44+8600+3629.31+25140.91+46003.3+5292.85+85301.94+317+22470.21+428.39+927+1613+97959.59+4051.42+706.31+1000+268571.85+3025.7+2888.74+17660.78+4172.21+25+12883.26+2608.09+26.5+671</f>
        <v>2507030.84</v>
      </c>
      <c r="E494" s="165"/>
      <c r="F494" s="208">
        <f>SUM(C494:E494)</f>
        <v>2507030.84</v>
      </c>
      <c r="G494" s="229"/>
      <c r="H494" s="14"/>
      <c r="I494" s="211">
        <f>SUM(F494:H494)</f>
        <v>2507030.84</v>
      </c>
      <c r="J494" s="237"/>
      <c r="K494" s="14"/>
      <c r="L494" s="211">
        <f>SUM(I494:K494)</f>
        <v>2507030.84</v>
      </c>
      <c r="M494" s="67"/>
      <c r="N494" s="14"/>
      <c r="O494" s="65">
        <f>SUM(L494:N494)</f>
        <v>2507030.84</v>
      </c>
      <c r="P494" s="84"/>
      <c r="Q494" s="81">
        <f t="shared" si="121"/>
        <v>2507030.84</v>
      </c>
    </row>
    <row r="495" spans="1:17" ht="14.25" hidden="1" thickBot="1">
      <c r="A495" s="68" t="s">
        <v>163</v>
      </c>
      <c r="B495" s="111"/>
      <c r="C495" s="194"/>
      <c r="D495" s="165" t="s">
        <v>221</v>
      </c>
      <c r="E495" s="165"/>
      <c r="F495" s="208">
        <f>SUM(C495:E495)</f>
        <v>0</v>
      </c>
      <c r="G495" s="229"/>
      <c r="H495" s="14"/>
      <c r="I495" s="211">
        <f>SUM(F495:H495)</f>
        <v>0</v>
      </c>
      <c r="J495" s="237">
        <v>0</v>
      </c>
      <c r="K495" s="14">
        <v>0</v>
      </c>
      <c r="L495" s="211">
        <f>SUM(I495:K495)</f>
        <v>0</v>
      </c>
      <c r="M495" s="67"/>
      <c r="N495" s="14"/>
      <c r="O495" s="65">
        <f>SUM(L495:N495)</f>
        <v>0</v>
      </c>
      <c r="P495" s="84"/>
      <c r="Q495" s="81">
        <f t="shared" si="121"/>
        <v>0</v>
      </c>
    </row>
    <row r="496" spans="2:17" ht="12.75">
      <c r="B496" s="112"/>
      <c r="C496" s="129">
        <f aca="true" t="shared" si="135" ref="C496:Q496">C88+C490-C485</f>
        <v>0</v>
      </c>
      <c r="D496" s="129">
        <f t="shared" si="135"/>
        <v>0</v>
      </c>
      <c r="E496" s="129">
        <f t="shared" si="135"/>
        <v>0</v>
      </c>
      <c r="F496" s="129">
        <f t="shared" si="135"/>
        <v>0</v>
      </c>
      <c r="G496" s="66" t="e">
        <f t="shared" si="135"/>
        <v>#REF!</v>
      </c>
      <c r="H496" s="66" t="e">
        <f t="shared" si="135"/>
        <v>#REF!</v>
      </c>
      <c r="I496" s="66" t="e">
        <f t="shared" si="135"/>
        <v>#REF!</v>
      </c>
      <c r="J496" s="66" t="e">
        <f t="shared" si="135"/>
        <v>#REF!</v>
      </c>
      <c r="K496" s="66" t="e">
        <f t="shared" si="135"/>
        <v>#REF!</v>
      </c>
      <c r="L496" s="66" t="e">
        <f t="shared" si="135"/>
        <v>#REF!</v>
      </c>
      <c r="M496" s="66" t="e">
        <f t="shared" si="135"/>
        <v>#REF!</v>
      </c>
      <c r="N496" s="66" t="e">
        <f t="shared" si="135"/>
        <v>#REF!</v>
      </c>
      <c r="O496" s="66" t="e">
        <f t="shared" si="135"/>
        <v>#REF!</v>
      </c>
      <c r="P496" s="66" t="e">
        <f t="shared" si="135"/>
        <v>#REF!</v>
      </c>
      <c r="Q496" s="66" t="e">
        <f t="shared" si="135"/>
        <v>#REF!</v>
      </c>
    </row>
    <row r="497" spans="2:16" ht="12.75">
      <c r="B497" s="112"/>
      <c r="P497" s="66"/>
    </row>
    <row r="498" spans="2:16" ht="12.75">
      <c r="B498" s="112"/>
      <c r="D498" s="155"/>
      <c r="P498" s="66"/>
    </row>
    <row r="499" spans="2:16" ht="12.75">
      <c r="B499" s="112"/>
      <c r="P499" s="66"/>
    </row>
    <row r="500" spans="2:16" ht="12.75">
      <c r="B500" s="112"/>
      <c r="P500" s="66"/>
    </row>
    <row r="501" spans="2:16" ht="12.75">
      <c r="B501" s="112"/>
      <c r="P501" s="66"/>
    </row>
    <row r="502" spans="2:16" ht="12.75">
      <c r="B502" s="112"/>
      <c r="P502" s="66"/>
    </row>
    <row r="503" spans="2:16" ht="12.75">
      <c r="B503" s="112"/>
      <c r="P503" s="66"/>
    </row>
    <row r="504" spans="2:16" ht="12.75">
      <c r="B504" s="112"/>
      <c r="P504" s="66"/>
    </row>
    <row r="505" spans="2:16" ht="12.75">
      <c r="B505" s="112"/>
      <c r="P505" s="66"/>
    </row>
    <row r="506" spans="2:16" ht="12.75">
      <c r="B506" s="112"/>
      <c r="P506" s="66"/>
    </row>
    <row r="507" spans="2:16" ht="12.75">
      <c r="B507" s="112"/>
      <c r="P507" s="66"/>
    </row>
    <row r="508" spans="2:16" ht="12.75">
      <c r="B508" s="112"/>
      <c r="P508" s="66"/>
    </row>
    <row r="509" spans="2:16" ht="12.75">
      <c r="B509" s="112"/>
      <c r="P509" s="66"/>
    </row>
    <row r="510" spans="2:16" ht="12.75">
      <c r="B510" s="112"/>
      <c r="P510" s="66"/>
    </row>
    <row r="511" spans="2:16" ht="12.75">
      <c r="B511" s="112"/>
      <c r="P511" s="66"/>
    </row>
    <row r="512" spans="2:16" ht="12.75">
      <c r="B512" s="112"/>
      <c r="P512" s="66"/>
    </row>
    <row r="513" spans="2:16" ht="12.75">
      <c r="B513" s="112"/>
      <c r="P513" s="66"/>
    </row>
    <row r="514" spans="2:16" ht="12.75">
      <c r="B514" s="112"/>
      <c r="P514" s="66"/>
    </row>
    <row r="515" spans="2:16" ht="12.75">
      <c r="B515" s="112"/>
      <c r="P515" s="66"/>
    </row>
    <row r="516" ht="12.75">
      <c r="P516" s="66"/>
    </row>
    <row r="517" ht="12.75">
      <c r="P517" s="66"/>
    </row>
    <row r="518" ht="12.75">
      <c r="P518" s="66"/>
    </row>
    <row r="519" ht="12.75">
      <c r="P519" s="66"/>
    </row>
    <row r="520" ht="12.75">
      <c r="P520" s="66"/>
    </row>
    <row r="521" ht="12.75">
      <c r="P521" s="66"/>
    </row>
    <row r="522" ht="12.75">
      <c r="P522" s="66"/>
    </row>
    <row r="523" ht="12.75">
      <c r="P523" s="66"/>
    </row>
    <row r="524" ht="12.75">
      <c r="P524" s="66"/>
    </row>
    <row r="525" ht="12.75">
      <c r="P525" s="66"/>
    </row>
    <row r="526" ht="12.75">
      <c r="P526" s="66"/>
    </row>
    <row r="527" ht="12.75">
      <c r="P527" s="66"/>
    </row>
    <row r="528" ht="12.75">
      <c r="P528" s="66"/>
    </row>
  </sheetData>
  <sheetProtection/>
  <mergeCells count="5">
    <mergeCell ref="A8:A9"/>
    <mergeCell ref="A3:Q3"/>
    <mergeCell ref="A4:Q4"/>
    <mergeCell ref="A5:Q5"/>
    <mergeCell ref="A6:Q6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94" r:id="rId1"/>
  <headerFooter alignWithMargins="0">
    <oddFooter>&amp;CStránka &amp;P</oddFooter>
  </headerFooter>
  <rowBreaks count="5" manualBreakCount="5">
    <brk id="97" max="5" man="1"/>
    <brk id="180" max="5" man="1"/>
    <brk id="280" max="5" man="1"/>
    <brk id="370" max="5" man="1"/>
    <brk id="4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28"/>
  <sheetViews>
    <sheetView tabSelected="1" zoomScaleSheetLayoutView="69" zoomScalePageLayoutView="0" workbookViewId="0" topLeftCell="A1">
      <pane xSplit="1" ySplit="9" topLeftCell="C40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424" sqref="D424"/>
    </sheetView>
  </sheetViews>
  <sheetFormatPr defaultColWidth="9.00390625" defaultRowHeight="12.75"/>
  <cols>
    <col min="1" max="1" width="50.50390625" style="0" customWidth="1"/>
    <col min="2" max="2" width="10.00390625" style="0" hidden="1" customWidth="1"/>
    <col min="3" max="3" width="15.375" style="0" customWidth="1"/>
    <col min="4" max="4" width="16.625" style="0" customWidth="1"/>
    <col min="5" max="5" width="12.875" style="0" customWidth="1"/>
    <col min="6" max="6" width="16.375" style="0" customWidth="1"/>
    <col min="7" max="7" width="12.50390625" style="0" hidden="1" customWidth="1"/>
    <col min="8" max="8" width="12.625" style="0" hidden="1" customWidth="1"/>
    <col min="9" max="9" width="14.125" style="0" hidden="1" customWidth="1"/>
    <col min="10" max="11" width="13.625" style="0" hidden="1" customWidth="1"/>
    <col min="12" max="12" width="14.375" style="0" hidden="1" customWidth="1"/>
    <col min="13" max="13" width="11.875" style="0" hidden="1" customWidth="1"/>
    <col min="14" max="14" width="13.50390625" style="0" hidden="1" customWidth="1"/>
    <col min="15" max="15" width="15.00390625" style="0" hidden="1" customWidth="1"/>
    <col min="16" max="16" width="13.375" style="0" hidden="1" customWidth="1"/>
    <col min="17" max="17" width="15.125" style="0" hidden="1" customWidth="1"/>
    <col min="19" max="19" width="15.125" style="0" customWidth="1"/>
  </cols>
  <sheetData>
    <row r="1" spans="3:17" ht="12.75">
      <c r="C1" s="1"/>
      <c r="D1" s="1"/>
      <c r="E1" s="1"/>
      <c r="F1" s="2" t="s">
        <v>148</v>
      </c>
      <c r="I1" s="2"/>
      <c r="L1" s="2"/>
      <c r="O1" s="2"/>
      <c r="Q1" s="2" t="s">
        <v>148</v>
      </c>
    </row>
    <row r="2" spans="3:6" ht="9.75" customHeight="1">
      <c r="C2" s="1"/>
      <c r="D2" s="1"/>
      <c r="E2" s="1"/>
      <c r="F2" s="2"/>
    </row>
    <row r="3" spans="1:17" ht="15">
      <c r="A3" s="268" t="s">
        <v>276</v>
      </c>
      <c r="B3" s="268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1:17" ht="15">
      <c r="A4" s="270" t="s">
        <v>306</v>
      </c>
      <c r="B4" s="270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</row>
    <row r="5" spans="1:17" ht="13.5">
      <c r="A5" s="271" t="s">
        <v>0</v>
      </c>
      <c r="B5" s="271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</row>
    <row r="6" spans="1:17" ht="12.75">
      <c r="A6" s="272" t="s">
        <v>1</v>
      </c>
      <c r="B6" s="272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</row>
    <row r="7" spans="1:13" ht="18" customHeight="1" thickBot="1">
      <c r="A7" s="3"/>
      <c r="B7" s="3"/>
      <c r="C7" s="4"/>
      <c r="D7" s="148"/>
      <c r="E7" s="4"/>
      <c r="F7" s="4"/>
      <c r="J7" s="71"/>
      <c r="M7" s="64"/>
    </row>
    <row r="8" spans="1:17" ht="12.75">
      <c r="A8" s="266" t="s">
        <v>2</v>
      </c>
      <c r="B8" s="89" t="s">
        <v>258</v>
      </c>
      <c r="C8" s="175" t="s">
        <v>3</v>
      </c>
      <c r="D8" s="18" t="s">
        <v>4</v>
      </c>
      <c r="E8" s="18" t="s">
        <v>5</v>
      </c>
      <c r="F8" s="75" t="s">
        <v>6</v>
      </c>
      <c r="G8" s="212" t="s">
        <v>7</v>
      </c>
      <c r="H8" s="18" t="s">
        <v>5</v>
      </c>
      <c r="I8" s="75" t="s">
        <v>6</v>
      </c>
      <c r="J8" s="175" t="s">
        <v>8</v>
      </c>
      <c r="K8" s="18" t="s">
        <v>5</v>
      </c>
      <c r="L8" s="75" t="s">
        <v>6</v>
      </c>
      <c r="M8" s="17" t="s">
        <v>9</v>
      </c>
      <c r="N8" s="18" t="s">
        <v>5</v>
      </c>
      <c r="O8" s="19" t="s">
        <v>6</v>
      </c>
      <c r="P8" s="17" t="s">
        <v>173</v>
      </c>
      <c r="Q8" s="75" t="s">
        <v>6</v>
      </c>
    </row>
    <row r="9" spans="1:17" ht="13.5" thickBot="1">
      <c r="A9" s="267"/>
      <c r="B9" s="162" t="s">
        <v>194</v>
      </c>
      <c r="C9" s="176" t="s">
        <v>10</v>
      </c>
      <c r="D9" s="61" t="s">
        <v>11</v>
      </c>
      <c r="E9" s="61" t="s">
        <v>12</v>
      </c>
      <c r="F9" s="76" t="s">
        <v>13</v>
      </c>
      <c r="G9" s="213" t="s">
        <v>11</v>
      </c>
      <c r="H9" s="61" t="s">
        <v>12</v>
      </c>
      <c r="I9" s="76" t="s">
        <v>14</v>
      </c>
      <c r="J9" s="176" t="s">
        <v>11</v>
      </c>
      <c r="K9" s="61" t="s">
        <v>12</v>
      </c>
      <c r="L9" s="76" t="s">
        <v>15</v>
      </c>
      <c r="M9" s="60" t="s">
        <v>11</v>
      </c>
      <c r="N9" s="61" t="s">
        <v>12</v>
      </c>
      <c r="O9" s="62" t="s">
        <v>16</v>
      </c>
      <c r="P9" s="60" t="s">
        <v>11</v>
      </c>
      <c r="Q9" s="76" t="s">
        <v>174</v>
      </c>
    </row>
    <row r="10" spans="1:17" ht="15.75" customHeight="1">
      <c r="A10" s="58" t="s">
        <v>17</v>
      </c>
      <c r="B10" s="90"/>
      <c r="C10" s="177"/>
      <c r="D10" s="5"/>
      <c r="E10" s="5"/>
      <c r="F10" s="195"/>
      <c r="G10" s="214"/>
      <c r="H10" s="5"/>
      <c r="I10" s="195"/>
      <c r="J10" s="177"/>
      <c r="K10" s="5"/>
      <c r="L10" s="195"/>
      <c r="M10" s="30"/>
      <c r="N10" s="5"/>
      <c r="O10" s="59"/>
      <c r="P10" s="78"/>
      <c r="Q10" s="79"/>
    </row>
    <row r="11" spans="1:17" ht="12.75">
      <c r="A11" s="32" t="s">
        <v>247</v>
      </c>
      <c r="B11" s="91"/>
      <c r="C11" s="159">
        <f>C13+C14+C15</f>
        <v>4132740</v>
      </c>
      <c r="D11" s="114">
        <f>D13+D14+D15</f>
        <v>30285</v>
      </c>
      <c r="E11" s="114">
        <f>E13+E14+E15</f>
        <v>49680.65</v>
      </c>
      <c r="F11" s="174">
        <f aca="true" t="shared" si="0" ref="F11:Q11">F13+F14+F15</f>
        <v>4212705.65</v>
      </c>
      <c r="G11" s="160">
        <f t="shared" si="0"/>
        <v>0</v>
      </c>
      <c r="H11" s="114">
        <f t="shared" si="0"/>
        <v>0</v>
      </c>
      <c r="I11" s="160">
        <f t="shared" si="0"/>
        <v>18285</v>
      </c>
      <c r="J11" s="160">
        <f t="shared" si="0"/>
        <v>0</v>
      </c>
      <c r="K11" s="114">
        <f t="shared" si="0"/>
        <v>0</v>
      </c>
      <c r="L11" s="160">
        <f t="shared" si="0"/>
        <v>18285</v>
      </c>
      <c r="M11" s="160">
        <f t="shared" si="0"/>
        <v>0</v>
      </c>
      <c r="N11" s="160">
        <f t="shared" si="0"/>
        <v>0</v>
      </c>
      <c r="O11" s="160">
        <f t="shared" si="0"/>
        <v>18285</v>
      </c>
      <c r="P11" s="160">
        <f t="shared" si="0"/>
        <v>0</v>
      </c>
      <c r="Q11" s="174">
        <f t="shared" si="0"/>
        <v>18285</v>
      </c>
    </row>
    <row r="12" spans="1:17" ht="12.75">
      <c r="A12" s="33" t="s">
        <v>18</v>
      </c>
      <c r="B12" s="92"/>
      <c r="C12" s="159"/>
      <c r="D12" s="114"/>
      <c r="E12" s="114"/>
      <c r="F12" s="174"/>
      <c r="G12" s="143"/>
      <c r="H12" s="6"/>
      <c r="I12" s="70"/>
      <c r="J12" s="231"/>
      <c r="K12" s="6"/>
      <c r="L12" s="70"/>
      <c r="M12" s="20"/>
      <c r="N12" s="6"/>
      <c r="O12" s="21"/>
      <c r="P12" s="82"/>
      <c r="Q12" s="80"/>
    </row>
    <row r="13" spans="1:17" ht="12.75">
      <c r="A13" s="100" t="s">
        <v>254</v>
      </c>
      <c r="B13" s="92"/>
      <c r="C13" s="152">
        <v>4130300</v>
      </c>
      <c r="D13" s="115">
        <f>12000</f>
        <v>12000</v>
      </c>
      <c r="E13" s="115">
        <f>12000+37680.65</f>
        <v>49680.65</v>
      </c>
      <c r="F13" s="196">
        <f>C13+D13+E13</f>
        <v>4191980.65</v>
      </c>
      <c r="G13" s="143"/>
      <c r="H13" s="6"/>
      <c r="I13" s="70"/>
      <c r="J13" s="231"/>
      <c r="K13" s="6"/>
      <c r="L13" s="70"/>
      <c r="M13" s="20"/>
      <c r="N13" s="6"/>
      <c r="O13" s="21"/>
      <c r="P13" s="82"/>
      <c r="Q13" s="80"/>
    </row>
    <row r="14" spans="1:17" ht="12.75">
      <c r="A14" s="34" t="s">
        <v>19</v>
      </c>
      <c r="B14" s="93"/>
      <c r="C14" s="152"/>
      <c r="D14" s="126">
        <f>18285</f>
        <v>18285</v>
      </c>
      <c r="E14" s="115"/>
      <c r="F14" s="196">
        <f>C14+D14+E14</f>
        <v>18285</v>
      </c>
      <c r="G14" s="88"/>
      <c r="H14" s="6"/>
      <c r="I14" s="74">
        <f>F14+G14+H14</f>
        <v>18285</v>
      </c>
      <c r="J14" s="28"/>
      <c r="K14" s="6"/>
      <c r="L14" s="74">
        <f>I14+J14+K14</f>
        <v>18285</v>
      </c>
      <c r="M14" s="22"/>
      <c r="N14" s="6"/>
      <c r="O14" s="23">
        <f>L14+M14+N14</f>
        <v>18285</v>
      </c>
      <c r="P14" s="82"/>
      <c r="Q14" s="80">
        <f aca="true" t="shared" si="1" ref="Q14:Q77">O14+P14</f>
        <v>18285</v>
      </c>
    </row>
    <row r="15" spans="1:17" ht="12.75">
      <c r="A15" s="100" t="s">
        <v>255</v>
      </c>
      <c r="B15" s="93"/>
      <c r="C15" s="152">
        <v>2440</v>
      </c>
      <c r="D15" s="126"/>
      <c r="E15" s="115"/>
      <c r="F15" s="196">
        <f>C15+D15+E15</f>
        <v>2440</v>
      </c>
      <c r="G15" s="88"/>
      <c r="H15" s="6"/>
      <c r="I15" s="74"/>
      <c r="J15" s="88"/>
      <c r="K15" s="6"/>
      <c r="L15" s="74"/>
      <c r="M15" s="141"/>
      <c r="N15" s="6"/>
      <c r="O15" s="23"/>
      <c r="P15" s="158"/>
      <c r="Q15" s="80"/>
    </row>
    <row r="16" spans="1:17" ht="12.75">
      <c r="A16" s="32" t="s">
        <v>248</v>
      </c>
      <c r="B16" s="91"/>
      <c r="C16" s="159">
        <f aca="true" t="shared" si="2" ref="C16:Q16">SUM(C18:C24)+C31</f>
        <v>252963.78</v>
      </c>
      <c r="D16" s="114">
        <f t="shared" si="2"/>
        <v>64059.79</v>
      </c>
      <c r="E16" s="114">
        <f t="shared" si="2"/>
        <v>0</v>
      </c>
      <c r="F16" s="174">
        <f t="shared" si="2"/>
        <v>317023.57</v>
      </c>
      <c r="G16" s="160">
        <f t="shared" si="2"/>
        <v>0</v>
      </c>
      <c r="H16" s="114">
        <f t="shared" si="2"/>
        <v>0</v>
      </c>
      <c r="I16" s="142">
        <f t="shared" si="2"/>
        <v>311364.25</v>
      </c>
      <c r="J16" s="159">
        <f t="shared" si="2"/>
        <v>0</v>
      </c>
      <c r="K16" s="114">
        <f t="shared" si="2"/>
        <v>0</v>
      </c>
      <c r="L16" s="142">
        <f t="shared" si="2"/>
        <v>311364.25</v>
      </c>
      <c r="M16" s="113">
        <f t="shared" si="2"/>
        <v>0</v>
      </c>
      <c r="N16" s="113">
        <f t="shared" si="2"/>
        <v>0</v>
      </c>
      <c r="O16" s="113">
        <f t="shared" si="2"/>
        <v>311364.25</v>
      </c>
      <c r="P16" s="113">
        <f t="shared" si="2"/>
        <v>0</v>
      </c>
      <c r="Q16" s="247">
        <f t="shared" si="2"/>
        <v>311364.25</v>
      </c>
    </row>
    <row r="17" spans="1:17" ht="10.5" customHeight="1">
      <c r="A17" s="33" t="s">
        <v>20</v>
      </c>
      <c r="B17" s="92"/>
      <c r="C17" s="159"/>
      <c r="D17" s="114"/>
      <c r="E17" s="114"/>
      <c r="F17" s="174"/>
      <c r="G17" s="143"/>
      <c r="H17" s="6"/>
      <c r="I17" s="70"/>
      <c r="J17" s="231"/>
      <c r="K17" s="6"/>
      <c r="L17" s="70"/>
      <c r="M17" s="20"/>
      <c r="N17" s="6"/>
      <c r="O17" s="21"/>
      <c r="P17" s="82"/>
      <c r="Q17" s="80"/>
    </row>
    <row r="18" spans="1:17" ht="12.75">
      <c r="A18" s="34" t="s">
        <v>21</v>
      </c>
      <c r="B18" s="93"/>
      <c r="C18" s="152">
        <v>1500</v>
      </c>
      <c r="D18" s="115"/>
      <c r="E18" s="115"/>
      <c r="F18" s="196">
        <f>C18+D18+E18</f>
        <v>1500</v>
      </c>
      <c r="G18" s="88"/>
      <c r="H18" s="7"/>
      <c r="I18" s="74">
        <f>F18+G18+H18</f>
        <v>1500</v>
      </c>
      <c r="J18" s="28"/>
      <c r="K18" s="7"/>
      <c r="L18" s="74">
        <f>I18+J18+K18</f>
        <v>1500</v>
      </c>
      <c r="M18" s="22"/>
      <c r="N18" s="7"/>
      <c r="O18" s="23">
        <f>L18+M18+N18</f>
        <v>1500</v>
      </c>
      <c r="P18" s="82"/>
      <c r="Q18" s="80">
        <f t="shared" si="1"/>
        <v>1500</v>
      </c>
    </row>
    <row r="19" spans="1:17" ht="12.75">
      <c r="A19" s="100" t="s">
        <v>293</v>
      </c>
      <c r="B19" s="93"/>
      <c r="C19" s="152"/>
      <c r="D19" s="115">
        <f>47113.71</f>
        <v>47113.71</v>
      </c>
      <c r="E19" s="115"/>
      <c r="F19" s="196">
        <f aca="true" t="shared" si="3" ref="F19:F31">C19+D19+E19</f>
        <v>47113.71</v>
      </c>
      <c r="G19" s="88"/>
      <c r="H19" s="7"/>
      <c r="I19" s="74">
        <f>F19+G19+H19</f>
        <v>47113.71</v>
      </c>
      <c r="J19" s="28"/>
      <c r="K19" s="7"/>
      <c r="L19" s="74">
        <f>I19+J19+K19</f>
        <v>47113.71</v>
      </c>
      <c r="M19" s="22"/>
      <c r="N19" s="7"/>
      <c r="O19" s="23">
        <f>L19+M19+N19</f>
        <v>47113.71</v>
      </c>
      <c r="P19" s="82"/>
      <c r="Q19" s="80">
        <f t="shared" si="1"/>
        <v>47113.71</v>
      </c>
    </row>
    <row r="20" spans="1:17" ht="12.75">
      <c r="A20" s="100" t="s">
        <v>299</v>
      </c>
      <c r="B20" s="93"/>
      <c r="C20" s="152">
        <v>30000</v>
      </c>
      <c r="D20" s="115"/>
      <c r="E20" s="115"/>
      <c r="F20" s="196">
        <f t="shared" si="3"/>
        <v>30000</v>
      </c>
      <c r="G20" s="88"/>
      <c r="H20" s="7"/>
      <c r="I20" s="74">
        <f>F20+G20+H20</f>
        <v>30000</v>
      </c>
      <c r="J20" s="28"/>
      <c r="K20" s="7"/>
      <c r="L20" s="74">
        <f>I20+J20+K20</f>
        <v>30000</v>
      </c>
      <c r="M20" s="22"/>
      <c r="N20" s="7"/>
      <c r="O20" s="23">
        <f>L20+M20+N20</f>
        <v>30000</v>
      </c>
      <c r="P20" s="82"/>
      <c r="Q20" s="80">
        <f t="shared" si="1"/>
        <v>30000</v>
      </c>
    </row>
    <row r="21" spans="1:17" ht="12.75">
      <c r="A21" s="35" t="s">
        <v>294</v>
      </c>
      <c r="B21" s="94"/>
      <c r="C21" s="152">
        <v>122051</v>
      </c>
      <c r="D21" s="115"/>
      <c r="E21" s="115"/>
      <c r="F21" s="196">
        <f t="shared" si="3"/>
        <v>122051</v>
      </c>
      <c r="G21" s="88"/>
      <c r="H21" s="7"/>
      <c r="I21" s="74">
        <f>F21+G21+H21</f>
        <v>122051</v>
      </c>
      <c r="J21" s="28"/>
      <c r="K21" s="7"/>
      <c r="L21" s="74">
        <f>I21+J21+K21</f>
        <v>122051</v>
      </c>
      <c r="M21" s="22"/>
      <c r="N21" s="7"/>
      <c r="O21" s="23">
        <f>L21+M21+N21</f>
        <v>122051</v>
      </c>
      <c r="P21" s="82"/>
      <c r="Q21" s="80">
        <f t="shared" si="1"/>
        <v>122051</v>
      </c>
    </row>
    <row r="22" spans="1:17" ht="12.75" hidden="1">
      <c r="A22" s="35" t="s">
        <v>295</v>
      </c>
      <c r="B22" s="94"/>
      <c r="C22" s="152"/>
      <c r="D22" s="115"/>
      <c r="E22" s="115"/>
      <c r="F22" s="196">
        <f t="shared" si="3"/>
        <v>0</v>
      </c>
      <c r="G22" s="88"/>
      <c r="H22" s="7"/>
      <c r="I22" s="74"/>
      <c r="J22" s="28"/>
      <c r="K22" s="7"/>
      <c r="L22" s="74"/>
      <c r="M22" s="22"/>
      <c r="N22" s="7"/>
      <c r="O22" s="23"/>
      <c r="P22" s="82"/>
      <c r="Q22" s="80"/>
    </row>
    <row r="23" spans="1:17" ht="12.75">
      <c r="A23" s="35" t="s">
        <v>296</v>
      </c>
      <c r="B23" s="94"/>
      <c r="C23" s="152"/>
      <c r="D23" s="115">
        <f>7.72+1217.73+220.01+1889.45+4216.45+25+47.95+119.52</f>
        <v>7743.83</v>
      </c>
      <c r="E23" s="115"/>
      <c r="F23" s="196">
        <f t="shared" si="3"/>
        <v>7743.83</v>
      </c>
      <c r="G23" s="88"/>
      <c r="H23" s="7"/>
      <c r="I23" s="74">
        <f>F23+G23+H23</f>
        <v>7743.83</v>
      </c>
      <c r="J23" s="28"/>
      <c r="K23" s="7"/>
      <c r="L23" s="74">
        <f>I23+J23+K23</f>
        <v>7743.83</v>
      </c>
      <c r="M23" s="31"/>
      <c r="N23" s="7"/>
      <c r="O23" s="23">
        <f>L23+M23+N23</f>
        <v>7743.83</v>
      </c>
      <c r="P23" s="82"/>
      <c r="Q23" s="80">
        <f t="shared" si="1"/>
        <v>7743.83</v>
      </c>
    </row>
    <row r="24" spans="1:17" ht="12.75">
      <c r="A24" s="34" t="s">
        <v>22</v>
      </c>
      <c r="B24" s="93"/>
      <c r="C24" s="152">
        <f>SUM(C25:C30)</f>
        <v>99412.78</v>
      </c>
      <c r="D24" s="115">
        <f>SUM(D25:D30)</f>
        <v>3542.9300000000003</v>
      </c>
      <c r="E24" s="115">
        <f aca="true" t="shared" si="4" ref="E24:Q24">SUM(E25:E30)</f>
        <v>0</v>
      </c>
      <c r="F24" s="196">
        <f t="shared" si="4"/>
        <v>102955.70999999999</v>
      </c>
      <c r="G24" s="153">
        <f t="shared" si="4"/>
        <v>0</v>
      </c>
      <c r="H24" s="115">
        <f t="shared" si="4"/>
        <v>0</v>
      </c>
      <c r="I24" s="167">
        <f t="shared" si="4"/>
        <v>102955.70999999999</v>
      </c>
      <c r="J24" s="152">
        <f t="shared" si="4"/>
        <v>0</v>
      </c>
      <c r="K24" s="115">
        <f t="shared" si="4"/>
        <v>0</v>
      </c>
      <c r="L24" s="167">
        <f t="shared" si="4"/>
        <v>102955.70999999999</v>
      </c>
      <c r="M24" s="116">
        <f t="shared" si="4"/>
        <v>0</v>
      </c>
      <c r="N24" s="116">
        <f t="shared" si="4"/>
        <v>0</v>
      </c>
      <c r="O24" s="116">
        <f t="shared" si="4"/>
        <v>102955.70999999999</v>
      </c>
      <c r="P24" s="116">
        <f t="shared" si="4"/>
        <v>0</v>
      </c>
      <c r="Q24" s="248">
        <f t="shared" si="4"/>
        <v>102955.70999999999</v>
      </c>
    </row>
    <row r="25" spans="1:17" ht="12.75">
      <c r="A25" s="34" t="s">
        <v>23</v>
      </c>
      <c r="B25" s="93"/>
      <c r="C25" s="152">
        <v>38857.2</v>
      </c>
      <c r="D25" s="115">
        <f>3490.13</f>
        <v>3490.13</v>
      </c>
      <c r="E25" s="115"/>
      <c r="F25" s="196">
        <f t="shared" si="3"/>
        <v>42347.329999999994</v>
      </c>
      <c r="G25" s="88"/>
      <c r="H25" s="7"/>
      <c r="I25" s="74">
        <f aca="true" t="shared" si="5" ref="I25:I30">F25+G25+H25</f>
        <v>42347.329999999994</v>
      </c>
      <c r="J25" s="28"/>
      <c r="K25" s="7"/>
      <c r="L25" s="74">
        <f aca="true" t="shared" si="6" ref="L25:L30">I25+J25+K25</f>
        <v>42347.329999999994</v>
      </c>
      <c r="M25" s="22"/>
      <c r="N25" s="7"/>
      <c r="O25" s="23">
        <f aca="true" t="shared" si="7" ref="O25:O30">L25+M25+N25</f>
        <v>42347.329999999994</v>
      </c>
      <c r="P25" s="82"/>
      <c r="Q25" s="80">
        <f t="shared" si="1"/>
        <v>42347.329999999994</v>
      </c>
    </row>
    <row r="26" spans="1:17" ht="12.75">
      <c r="A26" s="35" t="s">
        <v>160</v>
      </c>
      <c r="B26" s="94"/>
      <c r="C26" s="152">
        <v>696.38</v>
      </c>
      <c r="D26" s="115"/>
      <c r="E26" s="115"/>
      <c r="F26" s="196">
        <f t="shared" si="3"/>
        <v>696.38</v>
      </c>
      <c r="G26" s="88"/>
      <c r="H26" s="7"/>
      <c r="I26" s="74">
        <f t="shared" si="5"/>
        <v>696.38</v>
      </c>
      <c r="J26" s="28"/>
      <c r="K26" s="7"/>
      <c r="L26" s="74">
        <f t="shared" si="6"/>
        <v>696.38</v>
      </c>
      <c r="M26" s="22"/>
      <c r="N26" s="7"/>
      <c r="O26" s="23">
        <f t="shared" si="7"/>
        <v>696.38</v>
      </c>
      <c r="P26" s="82"/>
      <c r="Q26" s="80">
        <f t="shared" si="1"/>
        <v>696.38</v>
      </c>
    </row>
    <row r="27" spans="1:17" ht="12.75">
      <c r="A27" s="34" t="s">
        <v>24</v>
      </c>
      <c r="B27" s="93"/>
      <c r="C27" s="152">
        <v>19821</v>
      </c>
      <c r="D27" s="115"/>
      <c r="E27" s="115"/>
      <c r="F27" s="196">
        <f t="shared" si="3"/>
        <v>19821</v>
      </c>
      <c r="G27" s="88"/>
      <c r="H27" s="7"/>
      <c r="I27" s="74">
        <f t="shared" si="5"/>
        <v>19821</v>
      </c>
      <c r="J27" s="28"/>
      <c r="K27" s="7"/>
      <c r="L27" s="74">
        <f t="shared" si="6"/>
        <v>19821</v>
      </c>
      <c r="M27" s="22"/>
      <c r="N27" s="7"/>
      <c r="O27" s="23">
        <f t="shared" si="7"/>
        <v>19821</v>
      </c>
      <c r="P27" s="82"/>
      <c r="Q27" s="80">
        <f t="shared" si="1"/>
        <v>19821</v>
      </c>
    </row>
    <row r="28" spans="1:17" ht="12.75">
      <c r="A28" s="35" t="s">
        <v>161</v>
      </c>
      <c r="B28" s="94"/>
      <c r="C28" s="152">
        <v>9794.5</v>
      </c>
      <c r="D28" s="115"/>
      <c r="E28" s="115"/>
      <c r="F28" s="196">
        <f t="shared" si="3"/>
        <v>9794.5</v>
      </c>
      <c r="G28" s="88"/>
      <c r="H28" s="7"/>
      <c r="I28" s="74">
        <f t="shared" si="5"/>
        <v>9794.5</v>
      </c>
      <c r="J28" s="28"/>
      <c r="K28" s="7"/>
      <c r="L28" s="74">
        <f t="shared" si="6"/>
        <v>9794.5</v>
      </c>
      <c r="M28" s="22"/>
      <c r="N28" s="7"/>
      <c r="O28" s="23">
        <f t="shared" si="7"/>
        <v>9794.5</v>
      </c>
      <c r="P28" s="82"/>
      <c r="Q28" s="80">
        <f t="shared" si="1"/>
        <v>9794.5</v>
      </c>
    </row>
    <row r="29" spans="1:17" ht="12.75">
      <c r="A29" s="35" t="s">
        <v>277</v>
      </c>
      <c r="B29" s="94"/>
      <c r="C29" s="152">
        <v>304.8</v>
      </c>
      <c r="D29" s="115">
        <f>52.8</f>
        <v>52.8</v>
      </c>
      <c r="E29" s="115"/>
      <c r="F29" s="196">
        <f t="shared" si="3"/>
        <v>357.6</v>
      </c>
      <c r="G29" s="88"/>
      <c r="H29" s="7"/>
      <c r="I29" s="74">
        <f t="shared" si="5"/>
        <v>357.6</v>
      </c>
      <c r="J29" s="28"/>
      <c r="K29" s="7"/>
      <c r="L29" s="74">
        <f t="shared" si="6"/>
        <v>357.6</v>
      </c>
      <c r="M29" s="22"/>
      <c r="N29" s="7"/>
      <c r="O29" s="23">
        <f t="shared" si="7"/>
        <v>357.6</v>
      </c>
      <c r="P29" s="82"/>
      <c r="Q29" s="80">
        <f t="shared" si="1"/>
        <v>357.6</v>
      </c>
    </row>
    <row r="30" spans="1:17" ht="12.75">
      <c r="A30" s="35" t="s">
        <v>162</v>
      </c>
      <c r="B30" s="94"/>
      <c r="C30" s="152">
        <v>29938.9</v>
      </c>
      <c r="D30" s="115"/>
      <c r="E30" s="115"/>
      <c r="F30" s="196">
        <f t="shared" si="3"/>
        <v>29938.9</v>
      </c>
      <c r="G30" s="88"/>
      <c r="H30" s="7"/>
      <c r="I30" s="74">
        <f t="shared" si="5"/>
        <v>29938.9</v>
      </c>
      <c r="J30" s="28"/>
      <c r="K30" s="7"/>
      <c r="L30" s="74">
        <f t="shared" si="6"/>
        <v>29938.9</v>
      </c>
      <c r="M30" s="22"/>
      <c r="N30" s="7"/>
      <c r="O30" s="23">
        <f t="shared" si="7"/>
        <v>29938.9</v>
      </c>
      <c r="P30" s="82"/>
      <c r="Q30" s="80">
        <f>O30+P30</f>
        <v>29938.9</v>
      </c>
    </row>
    <row r="31" spans="1:17" ht="12.75">
      <c r="A31" s="35" t="s">
        <v>212</v>
      </c>
      <c r="B31" s="94"/>
      <c r="C31" s="152"/>
      <c r="D31" s="149">
        <f>1148.09+407+967+2082.7+113.82+940.71</f>
        <v>5659.32</v>
      </c>
      <c r="E31" s="115"/>
      <c r="F31" s="196">
        <f t="shared" si="3"/>
        <v>5659.32</v>
      </c>
      <c r="G31" s="249"/>
      <c r="H31" s="230"/>
      <c r="I31" s="249"/>
      <c r="J31" s="249"/>
      <c r="K31" s="230"/>
      <c r="L31" s="249"/>
      <c r="M31" s="249"/>
      <c r="N31" s="249"/>
      <c r="O31" s="249"/>
      <c r="P31" s="249"/>
      <c r="Q31" s="79"/>
    </row>
    <row r="32" spans="1:17" ht="12.75">
      <c r="A32" s="36" t="s">
        <v>249</v>
      </c>
      <c r="B32" s="95"/>
      <c r="C32" s="145">
        <f>SUM(C34:C38)</f>
        <v>25000</v>
      </c>
      <c r="D32" s="118">
        <f aca="true" t="shared" si="8" ref="D32:Q32">SUM(D34:D38)</f>
        <v>0</v>
      </c>
      <c r="E32" s="118">
        <f t="shared" si="8"/>
        <v>0</v>
      </c>
      <c r="F32" s="197">
        <f t="shared" si="8"/>
        <v>25000</v>
      </c>
      <c r="G32" s="146">
        <f t="shared" si="8"/>
        <v>0</v>
      </c>
      <c r="H32" s="118">
        <f t="shared" si="8"/>
        <v>0</v>
      </c>
      <c r="I32" s="168">
        <f t="shared" si="8"/>
        <v>25000</v>
      </c>
      <c r="J32" s="145">
        <f t="shared" si="8"/>
        <v>0</v>
      </c>
      <c r="K32" s="118">
        <f t="shared" si="8"/>
        <v>0</v>
      </c>
      <c r="L32" s="168">
        <f t="shared" si="8"/>
        <v>25000</v>
      </c>
      <c r="M32" s="117">
        <f t="shared" si="8"/>
        <v>0</v>
      </c>
      <c r="N32" s="117">
        <f t="shared" si="8"/>
        <v>0</v>
      </c>
      <c r="O32" s="117">
        <f t="shared" si="8"/>
        <v>25000</v>
      </c>
      <c r="P32" s="117">
        <f t="shared" si="8"/>
        <v>0</v>
      </c>
      <c r="Q32" s="250">
        <f t="shared" si="8"/>
        <v>25000</v>
      </c>
    </row>
    <row r="33" spans="1:17" ht="11.25" customHeight="1">
      <c r="A33" s="33" t="s">
        <v>20</v>
      </c>
      <c r="B33" s="92"/>
      <c r="C33" s="152"/>
      <c r="D33" s="115"/>
      <c r="E33" s="115"/>
      <c r="F33" s="196"/>
      <c r="G33" s="88"/>
      <c r="H33" s="7"/>
      <c r="I33" s="74"/>
      <c r="J33" s="28"/>
      <c r="K33" s="7"/>
      <c r="L33" s="74"/>
      <c r="M33" s="22"/>
      <c r="N33" s="7"/>
      <c r="O33" s="23"/>
      <c r="P33" s="82"/>
      <c r="Q33" s="80"/>
    </row>
    <row r="34" spans="1:17" ht="12.75" hidden="1">
      <c r="A34" s="100" t="s">
        <v>123</v>
      </c>
      <c r="B34" s="93"/>
      <c r="C34" s="152"/>
      <c r="D34" s="115"/>
      <c r="E34" s="115"/>
      <c r="F34" s="196">
        <f>C34+D34+E34</f>
        <v>0</v>
      </c>
      <c r="G34" s="88"/>
      <c r="H34" s="7"/>
      <c r="I34" s="74">
        <f>F34+G34+H34</f>
        <v>0</v>
      </c>
      <c r="J34" s="28"/>
      <c r="K34" s="7"/>
      <c r="L34" s="74">
        <f>I34+J34+K34</f>
        <v>0</v>
      </c>
      <c r="M34" s="22"/>
      <c r="N34" s="7"/>
      <c r="O34" s="23">
        <f>L34+M34+N34</f>
        <v>0</v>
      </c>
      <c r="P34" s="82"/>
      <c r="Q34" s="80">
        <f t="shared" si="1"/>
        <v>0</v>
      </c>
    </row>
    <row r="35" spans="1:17" ht="12.75" hidden="1">
      <c r="A35" s="35" t="s">
        <v>118</v>
      </c>
      <c r="B35" s="94"/>
      <c r="C35" s="152"/>
      <c r="D35" s="115"/>
      <c r="E35" s="115"/>
      <c r="F35" s="196">
        <f>C35+D35+E35</f>
        <v>0</v>
      </c>
      <c r="G35" s="88"/>
      <c r="H35" s="7"/>
      <c r="I35" s="74">
        <f>F35+G35+H35</f>
        <v>0</v>
      </c>
      <c r="J35" s="232"/>
      <c r="K35" s="7"/>
      <c r="L35" s="74">
        <f>I35+J35+K35</f>
        <v>0</v>
      </c>
      <c r="M35" s="31"/>
      <c r="N35" s="7"/>
      <c r="O35" s="23">
        <f>L35+M35+N35</f>
        <v>0</v>
      </c>
      <c r="P35" s="82"/>
      <c r="Q35" s="80">
        <f t="shared" si="1"/>
        <v>0</v>
      </c>
    </row>
    <row r="36" spans="1:17" ht="12.75" hidden="1">
      <c r="A36" s="35" t="s">
        <v>121</v>
      </c>
      <c r="B36" s="94"/>
      <c r="C36" s="152"/>
      <c r="D36" s="115"/>
      <c r="E36" s="115"/>
      <c r="F36" s="196">
        <f>C36+D36+E36</f>
        <v>0</v>
      </c>
      <c r="G36" s="88"/>
      <c r="H36" s="7"/>
      <c r="I36" s="74"/>
      <c r="J36" s="232"/>
      <c r="K36" s="7"/>
      <c r="L36" s="74"/>
      <c r="M36" s="31"/>
      <c r="N36" s="7"/>
      <c r="O36" s="23"/>
      <c r="P36" s="82"/>
      <c r="Q36" s="80"/>
    </row>
    <row r="37" spans="1:17" ht="12.75" hidden="1">
      <c r="A37" s="35" t="s">
        <v>128</v>
      </c>
      <c r="B37" s="94"/>
      <c r="C37" s="152"/>
      <c r="D37" s="115"/>
      <c r="E37" s="115"/>
      <c r="F37" s="196">
        <f>C37+D37+E37</f>
        <v>0</v>
      </c>
      <c r="G37" s="88"/>
      <c r="H37" s="7"/>
      <c r="I37" s="74">
        <f>F37+G37+H37</f>
        <v>0</v>
      </c>
      <c r="J37" s="232"/>
      <c r="K37" s="7"/>
      <c r="L37" s="74">
        <f>I37+J37+K37</f>
        <v>0</v>
      </c>
      <c r="M37" s="31"/>
      <c r="N37" s="7"/>
      <c r="O37" s="23">
        <f>L37+M37+N37</f>
        <v>0</v>
      </c>
      <c r="P37" s="82"/>
      <c r="Q37" s="80">
        <f t="shared" si="1"/>
        <v>0</v>
      </c>
    </row>
    <row r="38" spans="1:17" ht="12.75">
      <c r="A38" s="100" t="s">
        <v>278</v>
      </c>
      <c r="B38" s="93"/>
      <c r="C38" s="152">
        <v>25000</v>
      </c>
      <c r="D38" s="115"/>
      <c r="E38" s="115"/>
      <c r="F38" s="196">
        <f>C38+D38+E38</f>
        <v>25000</v>
      </c>
      <c r="G38" s="88"/>
      <c r="H38" s="7"/>
      <c r="I38" s="74">
        <f>F38+G38+H38</f>
        <v>25000</v>
      </c>
      <c r="J38" s="28"/>
      <c r="K38" s="7"/>
      <c r="L38" s="74">
        <f>I38+J38+K38</f>
        <v>25000</v>
      </c>
      <c r="M38" s="22"/>
      <c r="N38" s="7"/>
      <c r="O38" s="23">
        <f>L38+M38+N38</f>
        <v>25000</v>
      </c>
      <c r="P38" s="82"/>
      <c r="Q38" s="80">
        <f t="shared" si="1"/>
        <v>25000</v>
      </c>
    </row>
    <row r="39" spans="1:17" ht="12.75">
      <c r="A39" s="36" t="s">
        <v>250</v>
      </c>
      <c r="B39" s="93"/>
      <c r="C39" s="152"/>
      <c r="D39" s="115"/>
      <c r="E39" s="115"/>
      <c r="F39" s="196"/>
      <c r="G39" s="88"/>
      <c r="H39" s="7"/>
      <c r="I39" s="74"/>
      <c r="J39" s="28"/>
      <c r="K39" s="7"/>
      <c r="L39" s="74"/>
      <c r="M39" s="22"/>
      <c r="N39" s="7"/>
      <c r="O39" s="23"/>
      <c r="P39" s="82"/>
      <c r="Q39" s="80"/>
    </row>
    <row r="40" spans="1:17" ht="12.75">
      <c r="A40" s="32" t="s">
        <v>26</v>
      </c>
      <c r="B40" s="91"/>
      <c r="C40" s="159">
        <f>SUM(C42:C61)</f>
        <v>92300.5</v>
      </c>
      <c r="D40" s="114">
        <f aca="true" t="shared" si="9" ref="D40:Q40">SUM(D42:D61)</f>
        <v>8153461.38</v>
      </c>
      <c r="E40" s="114">
        <f t="shared" si="9"/>
        <v>0</v>
      </c>
      <c r="F40" s="174">
        <f t="shared" si="9"/>
        <v>8245761.88</v>
      </c>
      <c r="G40" s="160">
        <f t="shared" si="9"/>
        <v>0</v>
      </c>
      <c r="H40" s="114">
        <f t="shared" si="9"/>
        <v>0</v>
      </c>
      <c r="I40" s="142">
        <f t="shared" si="9"/>
        <v>8244744.07</v>
      </c>
      <c r="J40" s="159">
        <f t="shared" si="9"/>
        <v>0</v>
      </c>
      <c r="K40" s="114">
        <f t="shared" si="9"/>
        <v>0</v>
      </c>
      <c r="L40" s="142">
        <f t="shared" si="9"/>
        <v>8244744.07</v>
      </c>
      <c r="M40" s="113">
        <f t="shared" si="9"/>
        <v>0</v>
      </c>
      <c r="N40" s="113">
        <f t="shared" si="9"/>
        <v>0</v>
      </c>
      <c r="O40" s="113">
        <f t="shared" si="9"/>
        <v>8244744.07</v>
      </c>
      <c r="P40" s="113">
        <f t="shared" si="9"/>
        <v>0</v>
      </c>
      <c r="Q40" s="247">
        <f t="shared" si="9"/>
        <v>8244744.07</v>
      </c>
    </row>
    <row r="41" spans="1:17" ht="10.5" customHeight="1">
      <c r="A41" s="37" t="s">
        <v>27</v>
      </c>
      <c r="B41" s="96"/>
      <c r="C41" s="152"/>
      <c r="D41" s="115"/>
      <c r="E41" s="115"/>
      <c r="F41" s="196"/>
      <c r="G41" s="88"/>
      <c r="H41" s="7"/>
      <c r="I41" s="74"/>
      <c r="J41" s="28"/>
      <c r="K41" s="7"/>
      <c r="L41" s="74"/>
      <c r="M41" s="22"/>
      <c r="N41" s="7"/>
      <c r="O41" s="23"/>
      <c r="P41" s="82"/>
      <c r="Q41" s="80"/>
    </row>
    <row r="42" spans="1:17" ht="12.75">
      <c r="A42" s="35" t="s">
        <v>28</v>
      </c>
      <c r="B42" s="94"/>
      <c r="C42" s="152">
        <v>92050.5</v>
      </c>
      <c r="D42" s="115"/>
      <c r="E42" s="115"/>
      <c r="F42" s="196">
        <f aca="true" t="shared" si="10" ref="F42:F61">C42+D42+E42</f>
        <v>92050.5</v>
      </c>
      <c r="G42" s="88"/>
      <c r="H42" s="7"/>
      <c r="I42" s="74">
        <f>F42+G42+H42</f>
        <v>92050.5</v>
      </c>
      <c r="J42" s="28"/>
      <c r="K42" s="7"/>
      <c r="L42" s="74">
        <f>I42+J42+K42</f>
        <v>92050.5</v>
      </c>
      <c r="M42" s="22"/>
      <c r="N42" s="7"/>
      <c r="O42" s="23">
        <f>L42+M42+N42</f>
        <v>92050.5</v>
      </c>
      <c r="P42" s="82"/>
      <c r="Q42" s="80">
        <f t="shared" si="1"/>
        <v>92050.5</v>
      </c>
    </row>
    <row r="43" spans="1:17" ht="12.75">
      <c r="A43" s="35" t="s">
        <v>29</v>
      </c>
      <c r="B43" s="94" t="s">
        <v>336</v>
      </c>
      <c r="C43" s="152"/>
      <c r="D43" s="115">
        <f>42+15+8.7+57.92+10.67+35.64</f>
        <v>169.93</v>
      </c>
      <c r="E43" s="115"/>
      <c r="F43" s="196">
        <f t="shared" si="10"/>
        <v>169.93</v>
      </c>
      <c r="G43" s="88"/>
      <c r="H43" s="7"/>
      <c r="I43" s="74">
        <f aca="true" t="shared" si="11" ref="I43:I60">F43+G43+H43</f>
        <v>169.93</v>
      </c>
      <c r="J43" s="28"/>
      <c r="K43" s="7"/>
      <c r="L43" s="74">
        <f aca="true" t="shared" si="12" ref="L43:L61">I43+J43+K43</f>
        <v>169.93</v>
      </c>
      <c r="M43" s="22"/>
      <c r="N43" s="7"/>
      <c r="O43" s="23">
        <f aca="true" t="shared" si="13" ref="O43:O61">L43+M43+N43</f>
        <v>169.93</v>
      </c>
      <c r="P43" s="82"/>
      <c r="Q43" s="80">
        <f t="shared" si="1"/>
        <v>169.93</v>
      </c>
    </row>
    <row r="44" spans="1:17" ht="12.75">
      <c r="A44" s="35" t="s">
        <v>30</v>
      </c>
      <c r="B44" s="94" t="s">
        <v>337</v>
      </c>
      <c r="C44" s="152"/>
      <c r="D44" s="115">
        <f>6796592.4+82582.99+445.26+612.5+114637.51+2843+568.9+11285.15+104.38+2348.06+1251.56+1500+17100</f>
        <v>7031871.71</v>
      </c>
      <c r="E44" s="115"/>
      <c r="F44" s="196">
        <f t="shared" si="10"/>
        <v>7031871.71</v>
      </c>
      <c r="G44" s="88"/>
      <c r="H44" s="7"/>
      <c r="I44" s="74">
        <f t="shared" si="11"/>
        <v>7031871.71</v>
      </c>
      <c r="J44" s="28"/>
      <c r="K44" s="7"/>
      <c r="L44" s="74">
        <f t="shared" si="12"/>
        <v>7031871.71</v>
      </c>
      <c r="M44" s="22"/>
      <c r="N44" s="7"/>
      <c r="O44" s="23">
        <f t="shared" si="13"/>
        <v>7031871.71</v>
      </c>
      <c r="P44" s="82"/>
      <c r="Q44" s="80">
        <f t="shared" si="1"/>
        <v>7031871.71</v>
      </c>
    </row>
    <row r="45" spans="1:17" ht="12.75">
      <c r="A45" s="35" t="s">
        <v>31</v>
      </c>
      <c r="B45" s="94" t="s">
        <v>338</v>
      </c>
      <c r="C45" s="152"/>
      <c r="D45" s="115">
        <f>825803.8+7000+5874.31</f>
        <v>838678.1100000001</v>
      </c>
      <c r="E45" s="115"/>
      <c r="F45" s="196">
        <f t="shared" si="10"/>
        <v>838678.1100000001</v>
      </c>
      <c r="G45" s="88"/>
      <c r="H45" s="7"/>
      <c r="I45" s="74">
        <f t="shared" si="11"/>
        <v>838678.1100000001</v>
      </c>
      <c r="J45" s="28"/>
      <c r="K45" s="7"/>
      <c r="L45" s="74">
        <f t="shared" si="12"/>
        <v>838678.1100000001</v>
      </c>
      <c r="M45" s="22"/>
      <c r="N45" s="7"/>
      <c r="O45" s="23">
        <f t="shared" si="13"/>
        <v>838678.1100000001</v>
      </c>
      <c r="P45" s="82"/>
      <c r="Q45" s="80">
        <f t="shared" si="1"/>
        <v>838678.1100000001</v>
      </c>
    </row>
    <row r="46" spans="1:17" ht="12.75">
      <c r="A46" s="35" t="s">
        <v>32</v>
      </c>
      <c r="B46" s="94" t="s">
        <v>339</v>
      </c>
      <c r="C46" s="152"/>
      <c r="D46" s="115">
        <f>19.89+999.1+36.95+1030.93</f>
        <v>2086.87</v>
      </c>
      <c r="E46" s="115"/>
      <c r="F46" s="196">
        <f t="shared" si="10"/>
        <v>2086.87</v>
      </c>
      <c r="G46" s="88"/>
      <c r="H46" s="7"/>
      <c r="I46" s="74">
        <f t="shared" si="11"/>
        <v>2086.87</v>
      </c>
      <c r="J46" s="28"/>
      <c r="K46" s="7"/>
      <c r="L46" s="74">
        <f t="shared" si="12"/>
        <v>2086.87</v>
      </c>
      <c r="M46" s="22"/>
      <c r="N46" s="7"/>
      <c r="O46" s="23">
        <f t="shared" si="13"/>
        <v>2086.87</v>
      </c>
      <c r="P46" s="82"/>
      <c r="Q46" s="80">
        <f t="shared" si="1"/>
        <v>2086.87</v>
      </c>
    </row>
    <row r="47" spans="1:17" ht="12.75" hidden="1">
      <c r="A47" s="35" t="s">
        <v>33</v>
      </c>
      <c r="B47" s="94"/>
      <c r="C47" s="152"/>
      <c r="D47" s="115"/>
      <c r="E47" s="115"/>
      <c r="F47" s="196">
        <f t="shared" si="10"/>
        <v>0</v>
      </c>
      <c r="G47" s="88"/>
      <c r="H47" s="7"/>
      <c r="I47" s="74">
        <f t="shared" si="11"/>
        <v>0</v>
      </c>
      <c r="J47" s="28"/>
      <c r="K47" s="7"/>
      <c r="L47" s="74">
        <f t="shared" si="12"/>
        <v>0</v>
      </c>
      <c r="M47" s="22"/>
      <c r="N47" s="7"/>
      <c r="O47" s="23">
        <f t="shared" si="13"/>
        <v>0</v>
      </c>
      <c r="P47" s="82"/>
      <c r="Q47" s="80">
        <f t="shared" si="1"/>
        <v>0</v>
      </c>
    </row>
    <row r="48" spans="1:17" ht="12.75">
      <c r="A48" s="35" t="s">
        <v>34</v>
      </c>
      <c r="B48" s="94" t="s">
        <v>340</v>
      </c>
      <c r="C48" s="152"/>
      <c r="D48" s="115">
        <f>2000</f>
        <v>2000</v>
      </c>
      <c r="E48" s="115"/>
      <c r="F48" s="196">
        <f t="shared" si="10"/>
        <v>2000</v>
      </c>
      <c r="G48" s="88"/>
      <c r="H48" s="7"/>
      <c r="I48" s="74">
        <f t="shared" si="11"/>
        <v>2000</v>
      </c>
      <c r="J48" s="28"/>
      <c r="K48" s="7"/>
      <c r="L48" s="74">
        <f t="shared" si="12"/>
        <v>2000</v>
      </c>
      <c r="M48" s="22"/>
      <c r="N48" s="7"/>
      <c r="O48" s="23">
        <f t="shared" si="13"/>
        <v>2000</v>
      </c>
      <c r="P48" s="82"/>
      <c r="Q48" s="80">
        <f t="shared" si="1"/>
        <v>2000</v>
      </c>
    </row>
    <row r="49" spans="1:17" ht="12.75" hidden="1">
      <c r="A49" s="35" t="s">
        <v>35</v>
      </c>
      <c r="B49" s="94" t="s">
        <v>344</v>
      </c>
      <c r="C49" s="152"/>
      <c r="D49" s="115"/>
      <c r="E49" s="115"/>
      <c r="F49" s="196">
        <f t="shared" si="10"/>
        <v>0</v>
      </c>
      <c r="G49" s="88"/>
      <c r="H49" s="7"/>
      <c r="I49" s="74">
        <f t="shared" si="11"/>
        <v>0</v>
      </c>
      <c r="J49" s="28"/>
      <c r="K49" s="7"/>
      <c r="L49" s="74">
        <f t="shared" si="12"/>
        <v>0</v>
      </c>
      <c r="M49" s="22"/>
      <c r="N49" s="7"/>
      <c r="O49" s="23">
        <f t="shared" si="13"/>
        <v>0</v>
      </c>
      <c r="P49" s="82"/>
      <c r="Q49" s="80">
        <f t="shared" si="1"/>
        <v>0</v>
      </c>
    </row>
    <row r="50" spans="1:17" ht="12.75">
      <c r="A50" s="35" t="s">
        <v>153</v>
      </c>
      <c r="B50" s="94" t="s">
        <v>341</v>
      </c>
      <c r="C50" s="152"/>
      <c r="D50" s="115">
        <f>277153.29</f>
        <v>277153.29</v>
      </c>
      <c r="E50" s="115"/>
      <c r="F50" s="196">
        <f t="shared" si="10"/>
        <v>277153.29</v>
      </c>
      <c r="G50" s="88"/>
      <c r="H50" s="7"/>
      <c r="I50" s="74">
        <f t="shared" si="11"/>
        <v>277153.29</v>
      </c>
      <c r="J50" s="28"/>
      <c r="K50" s="7"/>
      <c r="L50" s="74">
        <f t="shared" si="12"/>
        <v>277153.29</v>
      </c>
      <c r="M50" s="22"/>
      <c r="N50" s="7"/>
      <c r="O50" s="23">
        <f t="shared" si="13"/>
        <v>277153.29</v>
      </c>
      <c r="P50" s="82"/>
      <c r="Q50" s="80">
        <f t="shared" si="1"/>
        <v>277153.29</v>
      </c>
    </row>
    <row r="51" spans="1:17" ht="12.75">
      <c r="A51" s="35" t="s">
        <v>166</v>
      </c>
      <c r="B51" s="94" t="s">
        <v>342</v>
      </c>
      <c r="C51" s="152"/>
      <c r="D51" s="115">
        <f>1017.81</f>
        <v>1017.81</v>
      </c>
      <c r="E51" s="115"/>
      <c r="F51" s="196">
        <f t="shared" si="10"/>
        <v>1017.81</v>
      </c>
      <c r="G51" s="88"/>
      <c r="H51" s="7"/>
      <c r="I51" s="74"/>
      <c r="J51" s="28"/>
      <c r="K51" s="7"/>
      <c r="L51" s="74"/>
      <c r="M51" s="22"/>
      <c r="N51" s="7"/>
      <c r="O51" s="23">
        <f t="shared" si="13"/>
        <v>0</v>
      </c>
      <c r="P51" s="82"/>
      <c r="Q51" s="80">
        <f t="shared" si="1"/>
        <v>0</v>
      </c>
    </row>
    <row r="52" spans="1:17" ht="12.75" hidden="1">
      <c r="A52" s="35" t="s">
        <v>36</v>
      </c>
      <c r="B52" s="94" t="s">
        <v>345</v>
      </c>
      <c r="C52" s="152"/>
      <c r="D52" s="115"/>
      <c r="E52" s="115"/>
      <c r="F52" s="196">
        <f t="shared" si="10"/>
        <v>0</v>
      </c>
      <c r="G52" s="88"/>
      <c r="H52" s="7"/>
      <c r="I52" s="74">
        <f t="shared" si="11"/>
        <v>0</v>
      </c>
      <c r="J52" s="28"/>
      <c r="K52" s="7"/>
      <c r="L52" s="74">
        <f t="shared" si="12"/>
        <v>0</v>
      </c>
      <c r="M52" s="22"/>
      <c r="N52" s="7"/>
      <c r="O52" s="23">
        <f t="shared" si="13"/>
        <v>0</v>
      </c>
      <c r="P52" s="87"/>
      <c r="Q52" s="80">
        <f t="shared" si="1"/>
        <v>0</v>
      </c>
    </row>
    <row r="53" spans="1:17" ht="12.75" hidden="1">
      <c r="A53" s="35" t="s">
        <v>37</v>
      </c>
      <c r="B53" s="94" t="s">
        <v>346</v>
      </c>
      <c r="C53" s="152"/>
      <c r="D53" s="115"/>
      <c r="E53" s="115"/>
      <c r="F53" s="196">
        <f t="shared" si="10"/>
        <v>0</v>
      </c>
      <c r="G53" s="88"/>
      <c r="H53" s="7"/>
      <c r="I53" s="74">
        <f t="shared" si="11"/>
        <v>0</v>
      </c>
      <c r="J53" s="232"/>
      <c r="K53" s="7"/>
      <c r="L53" s="74">
        <f t="shared" si="12"/>
        <v>0</v>
      </c>
      <c r="M53" s="22"/>
      <c r="N53" s="7"/>
      <c r="O53" s="23">
        <f t="shared" si="13"/>
        <v>0</v>
      </c>
      <c r="P53" s="82"/>
      <c r="Q53" s="80">
        <f t="shared" si="1"/>
        <v>0</v>
      </c>
    </row>
    <row r="54" spans="1:17" ht="12.75" hidden="1">
      <c r="A54" s="35" t="s">
        <v>222</v>
      </c>
      <c r="B54" s="94"/>
      <c r="C54" s="152"/>
      <c r="D54" s="115"/>
      <c r="E54" s="115"/>
      <c r="F54" s="196">
        <f t="shared" si="10"/>
        <v>0</v>
      </c>
      <c r="G54" s="88"/>
      <c r="H54" s="7"/>
      <c r="I54" s="74"/>
      <c r="J54" s="232"/>
      <c r="K54" s="7"/>
      <c r="L54" s="74"/>
      <c r="M54" s="22"/>
      <c r="N54" s="7"/>
      <c r="O54" s="23"/>
      <c r="P54" s="82"/>
      <c r="Q54" s="80"/>
    </row>
    <row r="55" spans="1:17" ht="12.75" hidden="1">
      <c r="A55" s="35" t="s">
        <v>167</v>
      </c>
      <c r="B55" s="94" t="s">
        <v>347</v>
      </c>
      <c r="C55" s="152"/>
      <c r="D55" s="115"/>
      <c r="E55" s="115"/>
      <c r="F55" s="196">
        <f t="shared" si="10"/>
        <v>0</v>
      </c>
      <c r="G55" s="88"/>
      <c r="H55" s="7"/>
      <c r="I55" s="74"/>
      <c r="J55" s="232"/>
      <c r="K55" s="7"/>
      <c r="L55" s="74"/>
      <c r="M55" s="22"/>
      <c r="N55" s="7"/>
      <c r="O55" s="23">
        <f t="shared" si="13"/>
        <v>0</v>
      </c>
      <c r="P55" s="82"/>
      <c r="Q55" s="80">
        <f t="shared" si="1"/>
        <v>0</v>
      </c>
    </row>
    <row r="56" spans="1:17" ht="12.75" hidden="1">
      <c r="A56" s="35" t="s">
        <v>38</v>
      </c>
      <c r="B56" s="94"/>
      <c r="C56" s="152"/>
      <c r="D56" s="115"/>
      <c r="E56" s="115"/>
      <c r="F56" s="196">
        <f t="shared" si="10"/>
        <v>0</v>
      </c>
      <c r="G56" s="88"/>
      <c r="H56" s="7"/>
      <c r="I56" s="74">
        <f t="shared" si="11"/>
        <v>0</v>
      </c>
      <c r="J56" s="28"/>
      <c r="K56" s="7"/>
      <c r="L56" s="74">
        <f t="shared" si="12"/>
        <v>0</v>
      </c>
      <c r="M56" s="22"/>
      <c r="N56" s="7"/>
      <c r="O56" s="23">
        <f t="shared" si="13"/>
        <v>0</v>
      </c>
      <c r="P56" s="82"/>
      <c r="Q56" s="80">
        <f t="shared" si="1"/>
        <v>0</v>
      </c>
    </row>
    <row r="57" spans="1:17" ht="12.75" hidden="1">
      <c r="A57" s="35" t="s">
        <v>49</v>
      </c>
      <c r="B57" s="94"/>
      <c r="C57" s="152"/>
      <c r="D57" s="115"/>
      <c r="E57" s="115"/>
      <c r="F57" s="196">
        <f t="shared" si="10"/>
        <v>0</v>
      </c>
      <c r="G57" s="88"/>
      <c r="H57" s="7"/>
      <c r="I57" s="74">
        <f t="shared" si="11"/>
        <v>0</v>
      </c>
      <c r="J57" s="28"/>
      <c r="K57" s="7"/>
      <c r="L57" s="74">
        <f t="shared" si="12"/>
        <v>0</v>
      </c>
      <c r="M57" s="22"/>
      <c r="N57" s="7"/>
      <c r="O57" s="23">
        <f t="shared" si="13"/>
        <v>0</v>
      </c>
      <c r="P57" s="82"/>
      <c r="Q57" s="80">
        <f t="shared" si="1"/>
        <v>0</v>
      </c>
    </row>
    <row r="58" spans="1:17" ht="12.75" hidden="1">
      <c r="A58" s="35" t="s">
        <v>39</v>
      </c>
      <c r="B58" s="94" t="s">
        <v>343</v>
      </c>
      <c r="C58" s="152"/>
      <c r="D58" s="115"/>
      <c r="E58" s="115"/>
      <c r="F58" s="196">
        <f t="shared" si="10"/>
        <v>0</v>
      </c>
      <c r="G58" s="88"/>
      <c r="H58" s="7"/>
      <c r="I58" s="74">
        <f t="shared" si="11"/>
        <v>0</v>
      </c>
      <c r="J58" s="28"/>
      <c r="K58" s="7"/>
      <c r="L58" s="74">
        <f t="shared" si="12"/>
        <v>0</v>
      </c>
      <c r="M58" s="22"/>
      <c r="N58" s="7"/>
      <c r="O58" s="23">
        <f t="shared" si="13"/>
        <v>0</v>
      </c>
      <c r="P58" s="82"/>
      <c r="Q58" s="80">
        <f t="shared" si="1"/>
        <v>0</v>
      </c>
    </row>
    <row r="59" spans="1:17" ht="12.75">
      <c r="A59" s="35" t="s">
        <v>40</v>
      </c>
      <c r="B59" s="94"/>
      <c r="C59" s="152"/>
      <c r="D59" s="115">
        <f>146.37+337.29</f>
        <v>483.66</v>
      </c>
      <c r="E59" s="115"/>
      <c r="F59" s="196">
        <f t="shared" si="10"/>
        <v>483.66</v>
      </c>
      <c r="G59" s="88"/>
      <c r="H59" s="7"/>
      <c r="I59" s="74">
        <f t="shared" si="11"/>
        <v>483.66</v>
      </c>
      <c r="J59" s="28"/>
      <c r="K59" s="7"/>
      <c r="L59" s="74">
        <f t="shared" si="12"/>
        <v>483.66</v>
      </c>
      <c r="M59" s="22"/>
      <c r="N59" s="7"/>
      <c r="O59" s="23">
        <f t="shared" si="13"/>
        <v>483.66</v>
      </c>
      <c r="P59" s="82"/>
      <c r="Q59" s="80">
        <f t="shared" si="1"/>
        <v>483.66</v>
      </c>
    </row>
    <row r="60" spans="1:17" ht="12.75">
      <c r="A60" s="35" t="s">
        <v>41</v>
      </c>
      <c r="B60" s="94"/>
      <c r="C60" s="152">
        <v>250</v>
      </c>
      <c r="D60" s="115"/>
      <c r="E60" s="115"/>
      <c r="F60" s="196">
        <f t="shared" si="10"/>
        <v>250</v>
      </c>
      <c r="G60" s="88"/>
      <c r="H60" s="7"/>
      <c r="I60" s="74">
        <f t="shared" si="11"/>
        <v>250</v>
      </c>
      <c r="J60" s="28"/>
      <c r="K60" s="7"/>
      <c r="L60" s="74">
        <f t="shared" si="12"/>
        <v>250</v>
      </c>
      <c r="M60" s="22"/>
      <c r="N60" s="7"/>
      <c r="O60" s="23">
        <f t="shared" si="13"/>
        <v>250</v>
      </c>
      <c r="P60" s="82"/>
      <c r="Q60" s="80">
        <f t="shared" si="1"/>
        <v>250</v>
      </c>
    </row>
    <row r="61" spans="1:17" ht="12.75" hidden="1">
      <c r="A61" s="35" t="s">
        <v>171</v>
      </c>
      <c r="B61" s="94"/>
      <c r="C61" s="152"/>
      <c r="D61" s="115"/>
      <c r="E61" s="115"/>
      <c r="F61" s="196">
        <f t="shared" si="10"/>
        <v>0</v>
      </c>
      <c r="G61" s="88"/>
      <c r="H61" s="7"/>
      <c r="I61" s="74"/>
      <c r="J61" s="28"/>
      <c r="K61" s="7"/>
      <c r="L61" s="74">
        <f t="shared" si="12"/>
        <v>0</v>
      </c>
      <c r="M61" s="22"/>
      <c r="N61" s="7"/>
      <c r="O61" s="23">
        <f t="shared" si="13"/>
        <v>0</v>
      </c>
      <c r="P61" s="82"/>
      <c r="Q61" s="80">
        <f t="shared" si="1"/>
        <v>0</v>
      </c>
    </row>
    <row r="62" spans="1:17" ht="12.75" hidden="1">
      <c r="A62" s="36" t="s">
        <v>42</v>
      </c>
      <c r="B62" s="95"/>
      <c r="C62" s="145">
        <f>SUM(C64:C66)</f>
        <v>0</v>
      </c>
      <c r="D62" s="118">
        <f>SUM(D64:D66)</f>
        <v>0</v>
      </c>
      <c r="E62" s="118">
        <f>SUM(E64:E66)</f>
        <v>0</v>
      </c>
      <c r="F62" s="197">
        <f>SUM(F64:F66)</f>
        <v>0</v>
      </c>
      <c r="G62" s="215"/>
      <c r="H62" s="8"/>
      <c r="I62" s="29">
        <f>SUM(I64:I66)</f>
        <v>0</v>
      </c>
      <c r="J62" s="233"/>
      <c r="K62" s="8"/>
      <c r="L62" s="29">
        <f>SUM(L64:L66)</f>
        <v>0</v>
      </c>
      <c r="M62" s="24"/>
      <c r="N62" s="8"/>
      <c r="O62" s="25">
        <f>SUM(O64:O66)</f>
        <v>0</v>
      </c>
      <c r="P62" s="83"/>
      <c r="Q62" s="29">
        <f>SUM(Q64:Q66)</f>
        <v>0</v>
      </c>
    </row>
    <row r="63" spans="1:17" ht="12.75" hidden="1">
      <c r="A63" s="33" t="s">
        <v>27</v>
      </c>
      <c r="B63" s="92"/>
      <c r="C63" s="152"/>
      <c r="D63" s="115"/>
      <c r="E63" s="115"/>
      <c r="F63" s="196"/>
      <c r="G63" s="88"/>
      <c r="H63" s="7"/>
      <c r="I63" s="74"/>
      <c r="J63" s="28"/>
      <c r="K63" s="7"/>
      <c r="L63" s="74"/>
      <c r="M63" s="22"/>
      <c r="N63" s="7"/>
      <c r="O63" s="23">
        <f>L63+M63+N63</f>
        <v>0</v>
      </c>
      <c r="P63" s="82"/>
      <c r="Q63" s="80"/>
    </row>
    <row r="64" spans="1:17" ht="12.75" hidden="1">
      <c r="A64" s="35" t="s">
        <v>43</v>
      </c>
      <c r="B64" s="94"/>
      <c r="C64" s="152"/>
      <c r="D64" s="115"/>
      <c r="E64" s="115"/>
      <c r="F64" s="196">
        <f>C64+D64+E64</f>
        <v>0</v>
      </c>
      <c r="G64" s="88"/>
      <c r="H64" s="7"/>
      <c r="I64" s="74">
        <f>F64+G64+H64</f>
        <v>0</v>
      </c>
      <c r="J64" s="28"/>
      <c r="K64" s="7"/>
      <c r="L64" s="74">
        <f>I64+J64+K64</f>
        <v>0</v>
      </c>
      <c r="M64" s="22"/>
      <c r="N64" s="7"/>
      <c r="O64" s="23">
        <f>L64+M64+N64</f>
        <v>0</v>
      </c>
      <c r="P64" s="82"/>
      <c r="Q64" s="80">
        <f t="shared" si="1"/>
        <v>0</v>
      </c>
    </row>
    <row r="65" spans="1:17" ht="12.75" hidden="1">
      <c r="A65" s="35" t="s">
        <v>44</v>
      </c>
      <c r="B65" s="94"/>
      <c r="C65" s="152"/>
      <c r="D65" s="115"/>
      <c r="E65" s="115"/>
      <c r="F65" s="196">
        <f>C65+D65+E65</f>
        <v>0</v>
      </c>
      <c r="G65" s="88"/>
      <c r="H65" s="7"/>
      <c r="I65" s="74">
        <f>F65+G65+H65</f>
        <v>0</v>
      </c>
      <c r="J65" s="28"/>
      <c r="K65" s="7"/>
      <c r="L65" s="74">
        <f>I65+J65+K65</f>
        <v>0</v>
      </c>
      <c r="M65" s="22"/>
      <c r="N65" s="7"/>
      <c r="O65" s="23">
        <f>L65+M65+N65</f>
        <v>0</v>
      </c>
      <c r="P65" s="82"/>
      <c r="Q65" s="80">
        <f t="shared" si="1"/>
        <v>0</v>
      </c>
    </row>
    <row r="66" spans="1:17" ht="12.75" hidden="1">
      <c r="A66" s="35" t="s">
        <v>45</v>
      </c>
      <c r="B66" s="94"/>
      <c r="C66" s="152"/>
      <c r="D66" s="115"/>
      <c r="E66" s="115"/>
      <c r="F66" s="196">
        <f>C66+D66+E66</f>
        <v>0</v>
      </c>
      <c r="G66" s="88"/>
      <c r="H66" s="7"/>
      <c r="I66" s="74">
        <f>F66+G66+H66</f>
        <v>0</v>
      </c>
      <c r="J66" s="28"/>
      <c r="K66" s="7"/>
      <c r="L66" s="74">
        <f>I66+J66+K66</f>
        <v>0</v>
      </c>
      <c r="M66" s="22"/>
      <c r="N66" s="7"/>
      <c r="O66" s="23">
        <f>L66+M66+N66</f>
        <v>0</v>
      </c>
      <c r="P66" s="82"/>
      <c r="Q66" s="80">
        <f t="shared" si="1"/>
        <v>0</v>
      </c>
    </row>
    <row r="67" spans="1:17" ht="12.75">
      <c r="A67" s="32" t="s">
        <v>46</v>
      </c>
      <c r="B67" s="91"/>
      <c r="C67" s="159">
        <f>SUM(C69:C82)</f>
        <v>0</v>
      </c>
      <c r="D67" s="114">
        <f aca="true" t="shared" si="14" ref="D67:Q67">SUM(D69:D82)</f>
        <v>258319.56</v>
      </c>
      <c r="E67" s="114">
        <f t="shared" si="14"/>
        <v>0</v>
      </c>
      <c r="F67" s="174">
        <f t="shared" si="14"/>
        <v>258319.56</v>
      </c>
      <c r="G67" s="160">
        <f t="shared" si="14"/>
        <v>0</v>
      </c>
      <c r="H67" s="114">
        <f t="shared" si="14"/>
        <v>0</v>
      </c>
      <c r="I67" s="142">
        <f t="shared" si="14"/>
        <v>237695.35</v>
      </c>
      <c r="J67" s="159">
        <f t="shared" si="14"/>
        <v>0</v>
      </c>
      <c r="K67" s="114">
        <f t="shared" si="14"/>
        <v>0</v>
      </c>
      <c r="L67" s="142">
        <f t="shared" si="14"/>
        <v>237695.35</v>
      </c>
      <c r="M67" s="113">
        <f t="shared" si="14"/>
        <v>0</v>
      </c>
      <c r="N67" s="113">
        <f t="shared" si="14"/>
        <v>0</v>
      </c>
      <c r="O67" s="113">
        <f t="shared" si="14"/>
        <v>237695.35</v>
      </c>
      <c r="P67" s="113">
        <f t="shared" si="14"/>
        <v>0</v>
      </c>
      <c r="Q67" s="247">
        <f t="shared" si="14"/>
        <v>237695.35</v>
      </c>
    </row>
    <row r="68" spans="1:17" ht="12.75">
      <c r="A68" s="37" t="s">
        <v>27</v>
      </c>
      <c r="B68" s="96"/>
      <c r="C68" s="152"/>
      <c r="D68" s="115"/>
      <c r="E68" s="115"/>
      <c r="F68" s="196"/>
      <c r="G68" s="88"/>
      <c r="H68" s="7"/>
      <c r="I68" s="74"/>
      <c r="J68" s="28"/>
      <c r="K68" s="7"/>
      <c r="L68" s="74"/>
      <c r="M68" s="22"/>
      <c r="N68" s="7"/>
      <c r="O68" s="23"/>
      <c r="P68" s="82"/>
      <c r="Q68" s="80"/>
    </row>
    <row r="69" spans="1:17" ht="12.75">
      <c r="A69" s="35" t="s">
        <v>30</v>
      </c>
      <c r="B69" s="94" t="s">
        <v>337</v>
      </c>
      <c r="C69" s="152"/>
      <c r="D69" s="115">
        <f>3015.83</f>
        <v>3015.83</v>
      </c>
      <c r="E69" s="115"/>
      <c r="F69" s="196">
        <f aca="true" t="shared" si="15" ref="F69:F82">C69+D69+E69</f>
        <v>3015.83</v>
      </c>
      <c r="G69" s="88"/>
      <c r="H69" s="7"/>
      <c r="I69" s="74">
        <f>F69+G69+H69</f>
        <v>3015.83</v>
      </c>
      <c r="J69" s="28"/>
      <c r="K69" s="7"/>
      <c r="L69" s="74">
        <f>I69+J69+K69</f>
        <v>3015.83</v>
      </c>
      <c r="M69" s="22"/>
      <c r="N69" s="7"/>
      <c r="O69" s="23">
        <f>L69+M69+N69</f>
        <v>3015.83</v>
      </c>
      <c r="P69" s="82"/>
      <c r="Q69" s="80">
        <f t="shared" si="1"/>
        <v>3015.83</v>
      </c>
    </row>
    <row r="70" spans="1:17" ht="12.75" hidden="1">
      <c r="A70" s="39" t="s">
        <v>31</v>
      </c>
      <c r="B70" s="97" t="s">
        <v>338</v>
      </c>
      <c r="C70" s="152"/>
      <c r="D70" s="115"/>
      <c r="E70" s="115"/>
      <c r="F70" s="196">
        <f t="shared" si="15"/>
        <v>0</v>
      </c>
      <c r="G70" s="88"/>
      <c r="H70" s="7"/>
      <c r="I70" s="74">
        <f aca="true" t="shared" si="16" ref="I70:I82">F70+G70+H70</f>
        <v>0</v>
      </c>
      <c r="J70" s="28"/>
      <c r="K70" s="7"/>
      <c r="L70" s="74">
        <f aca="true" t="shared" si="17" ref="L70:L82">I70+J70+K70</f>
        <v>0</v>
      </c>
      <c r="M70" s="22"/>
      <c r="N70" s="7"/>
      <c r="O70" s="23">
        <f aca="true" t="shared" si="18" ref="O70:O82">L70+M70+N70</f>
        <v>0</v>
      </c>
      <c r="P70" s="82"/>
      <c r="Q70" s="80">
        <f t="shared" si="1"/>
        <v>0</v>
      </c>
    </row>
    <row r="71" spans="1:17" ht="12.75">
      <c r="A71" s="39" t="s">
        <v>29</v>
      </c>
      <c r="B71" s="97" t="s">
        <v>336</v>
      </c>
      <c r="C71" s="152"/>
      <c r="D71" s="115">
        <f>33000</f>
        <v>33000</v>
      </c>
      <c r="E71" s="115"/>
      <c r="F71" s="196">
        <f t="shared" si="15"/>
        <v>33000</v>
      </c>
      <c r="G71" s="88"/>
      <c r="H71" s="7"/>
      <c r="I71" s="74">
        <f t="shared" si="16"/>
        <v>33000</v>
      </c>
      <c r="J71" s="28"/>
      <c r="K71" s="7"/>
      <c r="L71" s="74">
        <f t="shared" si="17"/>
        <v>33000</v>
      </c>
      <c r="M71" s="22"/>
      <c r="N71" s="7"/>
      <c r="O71" s="23">
        <f t="shared" si="18"/>
        <v>33000</v>
      </c>
      <c r="P71" s="82"/>
      <c r="Q71" s="80">
        <f t="shared" si="1"/>
        <v>33000</v>
      </c>
    </row>
    <row r="72" spans="1:17" ht="12.75" hidden="1">
      <c r="A72" s="39" t="s">
        <v>47</v>
      </c>
      <c r="B72" s="97" t="s">
        <v>348</v>
      </c>
      <c r="C72" s="152"/>
      <c r="D72" s="115"/>
      <c r="E72" s="115"/>
      <c r="F72" s="196">
        <f t="shared" si="15"/>
        <v>0</v>
      </c>
      <c r="G72" s="88"/>
      <c r="H72" s="7"/>
      <c r="I72" s="74">
        <f t="shared" si="16"/>
        <v>0</v>
      </c>
      <c r="J72" s="28"/>
      <c r="K72" s="7"/>
      <c r="L72" s="74">
        <f t="shared" si="17"/>
        <v>0</v>
      </c>
      <c r="M72" s="22"/>
      <c r="N72" s="7"/>
      <c r="O72" s="23">
        <f t="shared" si="18"/>
        <v>0</v>
      </c>
      <c r="P72" s="82"/>
      <c r="Q72" s="80">
        <f t="shared" si="1"/>
        <v>0</v>
      </c>
    </row>
    <row r="73" spans="1:17" ht="12.75">
      <c r="A73" s="35" t="s">
        <v>32</v>
      </c>
      <c r="B73" s="94" t="s">
        <v>339</v>
      </c>
      <c r="C73" s="152"/>
      <c r="D73" s="115">
        <f>8669.63+4191.02+4793.63</f>
        <v>17654.28</v>
      </c>
      <c r="E73" s="115"/>
      <c r="F73" s="196">
        <f t="shared" si="15"/>
        <v>17654.28</v>
      </c>
      <c r="G73" s="88"/>
      <c r="H73" s="7"/>
      <c r="I73" s="74">
        <f t="shared" si="16"/>
        <v>17654.28</v>
      </c>
      <c r="J73" s="28"/>
      <c r="K73" s="7"/>
      <c r="L73" s="74">
        <f t="shared" si="17"/>
        <v>17654.28</v>
      </c>
      <c r="M73" s="22"/>
      <c r="N73" s="7"/>
      <c r="O73" s="23">
        <f t="shared" si="18"/>
        <v>17654.28</v>
      </c>
      <c r="P73" s="82"/>
      <c r="Q73" s="80">
        <f t="shared" si="1"/>
        <v>17654.28</v>
      </c>
    </row>
    <row r="74" spans="1:17" ht="12.75" hidden="1">
      <c r="A74" s="35" t="s">
        <v>241</v>
      </c>
      <c r="B74" s="94" t="s">
        <v>349</v>
      </c>
      <c r="C74" s="152"/>
      <c r="D74" s="115"/>
      <c r="E74" s="115"/>
      <c r="F74" s="196">
        <f t="shared" si="15"/>
        <v>0</v>
      </c>
      <c r="G74" s="88"/>
      <c r="H74" s="7"/>
      <c r="I74" s="74"/>
      <c r="J74" s="28"/>
      <c r="K74" s="7"/>
      <c r="L74" s="74"/>
      <c r="M74" s="22"/>
      <c r="N74" s="7"/>
      <c r="O74" s="23"/>
      <c r="P74" s="82"/>
      <c r="Q74" s="80"/>
    </row>
    <row r="75" spans="1:17" ht="12.75">
      <c r="A75" s="35" t="s">
        <v>166</v>
      </c>
      <c r="B75" s="94" t="s">
        <v>342</v>
      </c>
      <c r="C75" s="152"/>
      <c r="D75" s="115">
        <f>30038.24</f>
        <v>30038.24</v>
      </c>
      <c r="E75" s="115"/>
      <c r="F75" s="196">
        <f t="shared" si="15"/>
        <v>30038.24</v>
      </c>
      <c r="G75" s="88"/>
      <c r="H75" s="7"/>
      <c r="I75" s="74">
        <f t="shared" si="16"/>
        <v>30038.24</v>
      </c>
      <c r="J75" s="28"/>
      <c r="K75" s="7"/>
      <c r="L75" s="74">
        <f t="shared" si="17"/>
        <v>30038.24</v>
      </c>
      <c r="M75" s="22"/>
      <c r="N75" s="7"/>
      <c r="O75" s="23">
        <f t="shared" si="18"/>
        <v>30038.24</v>
      </c>
      <c r="P75" s="82"/>
      <c r="Q75" s="80">
        <f t="shared" si="1"/>
        <v>30038.24</v>
      </c>
    </row>
    <row r="76" spans="1:17" ht="12.75" hidden="1">
      <c r="A76" s="35" t="s">
        <v>167</v>
      </c>
      <c r="B76" s="94" t="s">
        <v>347</v>
      </c>
      <c r="C76" s="152"/>
      <c r="D76" s="115"/>
      <c r="E76" s="115"/>
      <c r="F76" s="196">
        <f t="shared" si="15"/>
        <v>0</v>
      </c>
      <c r="G76" s="88"/>
      <c r="H76" s="7"/>
      <c r="I76" s="74">
        <f t="shared" si="16"/>
        <v>0</v>
      </c>
      <c r="J76" s="28"/>
      <c r="K76" s="7"/>
      <c r="L76" s="74">
        <f t="shared" si="17"/>
        <v>0</v>
      </c>
      <c r="M76" s="22"/>
      <c r="N76" s="7"/>
      <c r="O76" s="23">
        <f t="shared" si="18"/>
        <v>0</v>
      </c>
      <c r="P76" s="82"/>
      <c r="Q76" s="80">
        <f t="shared" si="1"/>
        <v>0</v>
      </c>
    </row>
    <row r="77" spans="1:17" ht="12.75">
      <c r="A77" s="35" t="s">
        <v>48</v>
      </c>
      <c r="B77" s="94" t="s">
        <v>343</v>
      </c>
      <c r="C77" s="152"/>
      <c r="D77" s="115">
        <f>153987</f>
        <v>153987</v>
      </c>
      <c r="E77" s="115"/>
      <c r="F77" s="196">
        <f t="shared" si="15"/>
        <v>153987</v>
      </c>
      <c r="G77" s="88"/>
      <c r="H77" s="7"/>
      <c r="I77" s="74">
        <f t="shared" si="16"/>
        <v>153987</v>
      </c>
      <c r="J77" s="28"/>
      <c r="K77" s="7"/>
      <c r="L77" s="74">
        <f t="shared" si="17"/>
        <v>153987</v>
      </c>
      <c r="M77" s="22"/>
      <c r="N77" s="7"/>
      <c r="O77" s="23">
        <f t="shared" si="18"/>
        <v>153987</v>
      </c>
      <c r="P77" s="82"/>
      <c r="Q77" s="80">
        <f t="shared" si="1"/>
        <v>153987</v>
      </c>
    </row>
    <row r="78" spans="1:17" ht="12.75" hidden="1">
      <c r="A78" s="35" t="s">
        <v>49</v>
      </c>
      <c r="B78" s="94"/>
      <c r="C78" s="152"/>
      <c r="D78" s="115"/>
      <c r="E78" s="115"/>
      <c r="F78" s="196">
        <f t="shared" si="15"/>
        <v>0</v>
      </c>
      <c r="G78" s="88"/>
      <c r="H78" s="7"/>
      <c r="I78" s="74">
        <f t="shared" si="16"/>
        <v>0</v>
      </c>
      <c r="J78" s="28"/>
      <c r="K78" s="7"/>
      <c r="L78" s="74">
        <f t="shared" si="17"/>
        <v>0</v>
      </c>
      <c r="M78" s="22"/>
      <c r="N78" s="7"/>
      <c r="O78" s="23">
        <f t="shared" si="18"/>
        <v>0</v>
      </c>
      <c r="P78" s="82"/>
      <c r="Q78" s="80">
        <f aca="true" t="shared" si="19" ref="Q78:Q138">O78+P78</f>
        <v>0</v>
      </c>
    </row>
    <row r="79" spans="1:17" ht="12.75" hidden="1">
      <c r="A79" s="35" t="s">
        <v>50</v>
      </c>
      <c r="B79" s="94" t="s">
        <v>350</v>
      </c>
      <c r="C79" s="152"/>
      <c r="D79" s="115"/>
      <c r="E79" s="115"/>
      <c r="F79" s="196">
        <f t="shared" si="15"/>
        <v>0</v>
      </c>
      <c r="G79" s="88"/>
      <c r="H79" s="7"/>
      <c r="I79" s="74">
        <f t="shared" si="16"/>
        <v>0</v>
      </c>
      <c r="J79" s="28"/>
      <c r="K79" s="7"/>
      <c r="L79" s="74">
        <f t="shared" si="17"/>
        <v>0</v>
      </c>
      <c r="M79" s="22"/>
      <c r="N79" s="7"/>
      <c r="O79" s="23">
        <f t="shared" si="18"/>
        <v>0</v>
      </c>
      <c r="P79" s="82"/>
      <c r="Q79" s="80">
        <f t="shared" si="19"/>
        <v>0</v>
      </c>
    </row>
    <row r="80" spans="1:17" ht="12.75" hidden="1">
      <c r="A80" s="35" t="s">
        <v>36</v>
      </c>
      <c r="B80" s="94" t="s">
        <v>345</v>
      </c>
      <c r="C80" s="152"/>
      <c r="D80" s="115"/>
      <c r="E80" s="115"/>
      <c r="F80" s="196">
        <f t="shared" si="15"/>
        <v>0</v>
      </c>
      <c r="G80" s="88"/>
      <c r="H80" s="7"/>
      <c r="I80" s="74">
        <f t="shared" si="16"/>
        <v>0</v>
      </c>
      <c r="J80" s="28"/>
      <c r="K80" s="7"/>
      <c r="L80" s="74">
        <f t="shared" si="17"/>
        <v>0</v>
      </c>
      <c r="M80" s="22"/>
      <c r="N80" s="7"/>
      <c r="O80" s="23">
        <f t="shared" si="18"/>
        <v>0</v>
      </c>
      <c r="P80" s="87"/>
      <c r="Q80" s="80">
        <f t="shared" si="19"/>
        <v>0</v>
      </c>
    </row>
    <row r="81" spans="1:17" ht="12.75">
      <c r="A81" s="35" t="s">
        <v>40</v>
      </c>
      <c r="B81" s="94"/>
      <c r="C81" s="152"/>
      <c r="D81" s="115">
        <f>20624.21</f>
        <v>20624.21</v>
      </c>
      <c r="E81" s="115"/>
      <c r="F81" s="196">
        <f t="shared" si="15"/>
        <v>20624.21</v>
      </c>
      <c r="G81" s="88"/>
      <c r="H81" s="7"/>
      <c r="I81" s="74"/>
      <c r="J81" s="28"/>
      <c r="K81" s="7"/>
      <c r="L81" s="74"/>
      <c r="M81" s="22"/>
      <c r="N81" s="7"/>
      <c r="O81" s="23"/>
      <c r="P81" s="87"/>
      <c r="Q81" s="80"/>
    </row>
    <row r="82" spans="1:17" ht="12.75" hidden="1">
      <c r="A82" s="35" t="s">
        <v>171</v>
      </c>
      <c r="B82" s="94"/>
      <c r="C82" s="152"/>
      <c r="D82" s="115"/>
      <c r="E82" s="115"/>
      <c r="F82" s="196">
        <f t="shared" si="15"/>
        <v>0</v>
      </c>
      <c r="G82" s="88"/>
      <c r="H82" s="7"/>
      <c r="I82" s="74">
        <f t="shared" si="16"/>
        <v>0</v>
      </c>
      <c r="J82" s="28"/>
      <c r="K82" s="7"/>
      <c r="L82" s="74">
        <f t="shared" si="17"/>
        <v>0</v>
      </c>
      <c r="M82" s="22"/>
      <c r="N82" s="7"/>
      <c r="O82" s="23">
        <f t="shared" si="18"/>
        <v>0</v>
      </c>
      <c r="P82" s="82"/>
      <c r="Q82" s="80">
        <f t="shared" si="19"/>
        <v>0</v>
      </c>
    </row>
    <row r="83" spans="1:17" ht="15" customHeight="1" hidden="1">
      <c r="A83" s="36" t="s">
        <v>51</v>
      </c>
      <c r="B83" s="95"/>
      <c r="C83" s="145">
        <f>SUM(C85:C87)</f>
        <v>0</v>
      </c>
      <c r="D83" s="118">
        <f>SUM(D85:D87)</f>
        <v>0</v>
      </c>
      <c r="E83" s="118">
        <f>SUM(E85:E87)</f>
        <v>0</v>
      </c>
      <c r="F83" s="197">
        <f>SUM(F85:F87)</f>
        <v>0</v>
      </c>
      <c r="G83" s="215"/>
      <c r="H83" s="8"/>
      <c r="I83" s="29">
        <f>SUM(I85:I87)</f>
        <v>0</v>
      </c>
      <c r="J83" s="233"/>
      <c r="K83" s="8"/>
      <c r="L83" s="29">
        <f>SUM(L85:L87)</f>
        <v>0</v>
      </c>
      <c r="M83" s="24"/>
      <c r="N83" s="8"/>
      <c r="O83" s="25">
        <f>SUM(O85:O87)</f>
        <v>0</v>
      </c>
      <c r="P83" s="83"/>
      <c r="Q83" s="29">
        <f>SUM(Q85:Q87)</f>
        <v>0</v>
      </c>
    </row>
    <row r="84" spans="1:17" ht="12.75" hidden="1">
      <c r="A84" s="33" t="s">
        <v>27</v>
      </c>
      <c r="B84" s="92"/>
      <c r="C84" s="152"/>
      <c r="D84" s="115"/>
      <c r="E84" s="115"/>
      <c r="F84" s="196"/>
      <c r="G84" s="88"/>
      <c r="H84" s="7"/>
      <c r="I84" s="74"/>
      <c r="J84" s="28"/>
      <c r="K84" s="7"/>
      <c r="L84" s="74"/>
      <c r="M84" s="22"/>
      <c r="N84" s="7"/>
      <c r="O84" s="23"/>
      <c r="P84" s="82"/>
      <c r="Q84" s="80"/>
    </row>
    <row r="85" spans="1:17" ht="12.75" hidden="1">
      <c r="A85" s="35" t="s">
        <v>52</v>
      </c>
      <c r="B85" s="94"/>
      <c r="C85" s="152"/>
      <c r="D85" s="115"/>
      <c r="E85" s="115"/>
      <c r="F85" s="196">
        <f>C85+D85+E85</f>
        <v>0</v>
      </c>
      <c r="G85" s="88"/>
      <c r="H85" s="7"/>
      <c r="I85" s="74">
        <f>F85+G85+H85</f>
        <v>0</v>
      </c>
      <c r="J85" s="28"/>
      <c r="K85" s="7"/>
      <c r="L85" s="74">
        <f>I85+J85+K85</f>
        <v>0</v>
      </c>
      <c r="M85" s="22"/>
      <c r="N85" s="7"/>
      <c r="O85" s="23">
        <f>L85+M85+N85</f>
        <v>0</v>
      </c>
      <c r="P85" s="82"/>
      <c r="Q85" s="80">
        <f t="shared" si="19"/>
        <v>0</v>
      </c>
    </row>
    <row r="86" spans="1:17" ht="12.75" hidden="1">
      <c r="A86" s="35" t="s">
        <v>25</v>
      </c>
      <c r="B86" s="94"/>
      <c r="C86" s="152"/>
      <c r="D86" s="115"/>
      <c r="E86" s="115"/>
      <c r="F86" s="196">
        <f>C86+D86+E86</f>
        <v>0</v>
      </c>
      <c r="G86" s="88"/>
      <c r="H86" s="7"/>
      <c r="I86" s="74">
        <f>F86+G86+H86</f>
        <v>0</v>
      </c>
      <c r="J86" s="28"/>
      <c r="K86" s="7"/>
      <c r="L86" s="74">
        <f>I86+J86+K86</f>
        <v>0</v>
      </c>
      <c r="M86" s="22"/>
      <c r="N86" s="7"/>
      <c r="O86" s="23">
        <f>L86+M86+N86</f>
        <v>0</v>
      </c>
      <c r="P86" s="82"/>
      <c r="Q86" s="80">
        <f t="shared" si="19"/>
        <v>0</v>
      </c>
    </row>
    <row r="87" spans="1:17" ht="12.75" hidden="1">
      <c r="A87" s="35" t="s">
        <v>44</v>
      </c>
      <c r="B87" s="94"/>
      <c r="C87" s="152"/>
      <c r="D87" s="115"/>
      <c r="E87" s="115"/>
      <c r="F87" s="196">
        <f>C87+D87+E87</f>
        <v>0</v>
      </c>
      <c r="G87" s="88"/>
      <c r="H87" s="7"/>
      <c r="I87" s="74">
        <f>F87+G87+H87</f>
        <v>0</v>
      </c>
      <c r="J87" s="28"/>
      <c r="K87" s="7"/>
      <c r="L87" s="74">
        <f>I87+J87+K87</f>
        <v>0</v>
      </c>
      <c r="M87" s="22"/>
      <c r="N87" s="7"/>
      <c r="O87" s="23">
        <f>L87+M87+N87</f>
        <v>0</v>
      </c>
      <c r="P87" s="82"/>
      <c r="Q87" s="80">
        <f t="shared" si="19"/>
        <v>0</v>
      </c>
    </row>
    <row r="88" spans="1:17" ht="15.75" thickBot="1">
      <c r="A88" s="40" t="s">
        <v>53</v>
      </c>
      <c r="B88" s="98"/>
      <c r="C88" s="178">
        <f aca="true" t="shared" si="20" ref="C88:Q88">C11+C16+C40+C67+C32+C83</f>
        <v>4503004.28</v>
      </c>
      <c r="D88" s="120">
        <f t="shared" si="20"/>
        <v>8506125.73</v>
      </c>
      <c r="E88" s="120">
        <f t="shared" si="20"/>
        <v>49680.65</v>
      </c>
      <c r="F88" s="198">
        <f t="shared" si="20"/>
        <v>13058810.660000002</v>
      </c>
      <c r="G88" s="216">
        <f t="shared" si="20"/>
        <v>0</v>
      </c>
      <c r="H88" s="120">
        <f t="shared" si="20"/>
        <v>0</v>
      </c>
      <c r="I88" s="169">
        <f t="shared" si="20"/>
        <v>8837088.67</v>
      </c>
      <c r="J88" s="178">
        <f t="shared" si="20"/>
        <v>0</v>
      </c>
      <c r="K88" s="120">
        <f t="shared" si="20"/>
        <v>0</v>
      </c>
      <c r="L88" s="169">
        <f t="shared" si="20"/>
        <v>8837088.67</v>
      </c>
      <c r="M88" s="119">
        <f t="shared" si="20"/>
        <v>0</v>
      </c>
      <c r="N88" s="119">
        <f t="shared" si="20"/>
        <v>0</v>
      </c>
      <c r="O88" s="119">
        <f t="shared" si="20"/>
        <v>8837088.67</v>
      </c>
      <c r="P88" s="119">
        <f t="shared" si="20"/>
        <v>0</v>
      </c>
      <c r="Q88" s="251">
        <f t="shared" si="20"/>
        <v>8837088.67</v>
      </c>
    </row>
    <row r="89" spans="1:17" ht="12.75">
      <c r="A89" s="32" t="s">
        <v>54</v>
      </c>
      <c r="B89" s="91"/>
      <c r="C89" s="159"/>
      <c r="D89" s="115"/>
      <c r="E89" s="115"/>
      <c r="F89" s="196"/>
      <c r="G89" s="88"/>
      <c r="H89" s="7"/>
      <c r="I89" s="74"/>
      <c r="J89" s="28"/>
      <c r="K89" s="7"/>
      <c r="L89" s="74"/>
      <c r="M89" s="22"/>
      <c r="N89" s="7"/>
      <c r="O89" s="23"/>
      <c r="P89" s="82"/>
      <c r="Q89" s="80"/>
    </row>
    <row r="90" spans="1:17" ht="12.75">
      <c r="A90" s="32" t="s">
        <v>70</v>
      </c>
      <c r="B90" s="103"/>
      <c r="C90" s="159">
        <f>C91+C100</f>
        <v>101345</v>
      </c>
      <c r="D90" s="114">
        <f aca="true" t="shared" si="21" ref="D90:Q90">D91+D100</f>
        <v>98378.36</v>
      </c>
      <c r="E90" s="114">
        <f t="shared" si="21"/>
        <v>0</v>
      </c>
      <c r="F90" s="174">
        <f t="shared" si="21"/>
        <v>199723.36</v>
      </c>
      <c r="G90" s="160">
        <f t="shared" si="21"/>
        <v>0</v>
      </c>
      <c r="H90" s="114">
        <f t="shared" si="21"/>
        <v>0</v>
      </c>
      <c r="I90" s="142">
        <f t="shared" si="21"/>
        <v>119343.35999999999</v>
      </c>
      <c r="J90" s="159">
        <f t="shared" si="21"/>
        <v>0</v>
      </c>
      <c r="K90" s="114">
        <f t="shared" si="21"/>
        <v>0</v>
      </c>
      <c r="L90" s="142">
        <f t="shared" si="21"/>
        <v>119343.35999999999</v>
      </c>
      <c r="M90" s="113">
        <f t="shared" si="21"/>
        <v>0</v>
      </c>
      <c r="N90" s="113">
        <f t="shared" si="21"/>
        <v>0</v>
      </c>
      <c r="O90" s="113">
        <f t="shared" si="21"/>
        <v>119343.35999999999</v>
      </c>
      <c r="P90" s="113">
        <f t="shared" si="21"/>
        <v>0</v>
      </c>
      <c r="Q90" s="247">
        <f t="shared" si="21"/>
        <v>119343.35999999999</v>
      </c>
    </row>
    <row r="91" spans="1:17" ht="12.75">
      <c r="A91" s="41" t="s">
        <v>56</v>
      </c>
      <c r="B91" s="103"/>
      <c r="C91" s="179">
        <f>SUM(C93:C98)</f>
        <v>69345</v>
      </c>
      <c r="D91" s="122">
        <f aca="true" t="shared" si="22" ref="D91:Q91">SUM(D93:D98)</f>
        <v>2061.56</v>
      </c>
      <c r="E91" s="122">
        <f t="shared" si="22"/>
        <v>0</v>
      </c>
      <c r="F91" s="199">
        <f t="shared" si="22"/>
        <v>71406.56</v>
      </c>
      <c r="G91" s="217">
        <f t="shared" si="22"/>
        <v>0</v>
      </c>
      <c r="H91" s="122">
        <f t="shared" si="22"/>
        <v>0</v>
      </c>
      <c r="I91" s="170">
        <f t="shared" si="22"/>
        <v>11806.560000000001</v>
      </c>
      <c r="J91" s="179">
        <f t="shared" si="22"/>
        <v>0</v>
      </c>
      <c r="K91" s="122">
        <f t="shared" si="22"/>
        <v>0</v>
      </c>
      <c r="L91" s="170">
        <f t="shared" si="22"/>
        <v>11806.560000000001</v>
      </c>
      <c r="M91" s="121">
        <f t="shared" si="22"/>
        <v>0</v>
      </c>
      <c r="N91" s="121">
        <f t="shared" si="22"/>
        <v>0</v>
      </c>
      <c r="O91" s="121">
        <f t="shared" si="22"/>
        <v>11806.560000000001</v>
      </c>
      <c r="P91" s="121">
        <f t="shared" si="22"/>
        <v>0</v>
      </c>
      <c r="Q91" s="252">
        <f t="shared" si="22"/>
        <v>11806.560000000001</v>
      </c>
    </row>
    <row r="92" spans="1:17" ht="12.75">
      <c r="A92" s="37" t="s">
        <v>27</v>
      </c>
      <c r="B92" s="99"/>
      <c r="C92" s="152"/>
      <c r="D92" s="115"/>
      <c r="E92" s="115"/>
      <c r="F92" s="174"/>
      <c r="G92" s="88"/>
      <c r="H92" s="7"/>
      <c r="I92" s="70"/>
      <c r="J92" s="28"/>
      <c r="K92" s="7"/>
      <c r="L92" s="70"/>
      <c r="M92" s="22"/>
      <c r="N92" s="7"/>
      <c r="O92" s="21"/>
      <c r="P92" s="82"/>
      <c r="Q92" s="80"/>
    </row>
    <row r="93" spans="1:17" ht="12.75">
      <c r="A93" s="35" t="s">
        <v>58</v>
      </c>
      <c r="B93" s="99"/>
      <c r="C93" s="152">
        <v>9745</v>
      </c>
      <c r="D93" s="115"/>
      <c r="E93" s="115"/>
      <c r="F93" s="196">
        <f aca="true" t="shared" si="23" ref="F93:F99">C93+D93+E93</f>
        <v>9745</v>
      </c>
      <c r="G93" s="88"/>
      <c r="H93" s="7"/>
      <c r="I93" s="74">
        <f aca="true" t="shared" si="24" ref="I93:I99">F93+G93+H93</f>
        <v>9745</v>
      </c>
      <c r="J93" s="28"/>
      <c r="K93" s="7"/>
      <c r="L93" s="74">
        <f aca="true" t="shared" si="25" ref="L93:L99">I93+J93+K93</f>
        <v>9745</v>
      </c>
      <c r="M93" s="22"/>
      <c r="N93" s="7"/>
      <c r="O93" s="23">
        <f aca="true" t="shared" si="26" ref="O93:O99">L93+M93+N93</f>
        <v>9745</v>
      </c>
      <c r="P93" s="82"/>
      <c r="Q93" s="80">
        <f t="shared" si="19"/>
        <v>9745</v>
      </c>
    </row>
    <row r="94" spans="1:17" ht="12.75" hidden="1">
      <c r="A94" s="35" t="s">
        <v>72</v>
      </c>
      <c r="B94" s="99"/>
      <c r="C94" s="152"/>
      <c r="D94" s="115"/>
      <c r="E94" s="115"/>
      <c r="F94" s="196">
        <f t="shared" si="23"/>
        <v>0</v>
      </c>
      <c r="G94" s="88"/>
      <c r="H94" s="7"/>
      <c r="I94" s="74">
        <f t="shared" si="24"/>
        <v>0</v>
      </c>
      <c r="J94" s="28"/>
      <c r="K94" s="7"/>
      <c r="L94" s="74">
        <f t="shared" si="25"/>
        <v>0</v>
      </c>
      <c r="M94" s="22"/>
      <c r="N94" s="7"/>
      <c r="O94" s="23">
        <f t="shared" si="26"/>
        <v>0</v>
      </c>
      <c r="P94" s="82"/>
      <c r="Q94" s="80">
        <f t="shared" si="19"/>
        <v>0</v>
      </c>
    </row>
    <row r="95" spans="1:17" ht="12.75">
      <c r="A95" s="39" t="s">
        <v>230</v>
      </c>
      <c r="B95" s="99"/>
      <c r="C95" s="152">
        <v>59600</v>
      </c>
      <c r="D95" s="115"/>
      <c r="E95" s="115"/>
      <c r="F95" s="196">
        <f t="shared" si="23"/>
        <v>59600</v>
      </c>
      <c r="G95" s="88"/>
      <c r="H95" s="7"/>
      <c r="I95" s="74"/>
      <c r="J95" s="28"/>
      <c r="K95" s="7"/>
      <c r="L95" s="74"/>
      <c r="M95" s="22"/>
      <c r="N95" s="7"/>
      <c r="O95" s="23"/>
      <c r="P95" s="82"/>
      <c r="Q95" s="80"/>
    </row>
    <row r="96" spans="1:17" ht="12.75">
      <c r="A96" s="39" t="s">
        <v>73</v>
      </c>
      <c r="B96" s="99">
        <v>98278</v>
      </c>
      <c r="C96" s="152"/>
      <c r="D96" s="115">
        <f>42+8.7+57.92+10.67+35.64</f>
        <v>154.93</v>
      </c>
      <c r="E96" s="115"/>
      <c r="F96" s="196">
        <f t="shared" si="23"/>
        <v>154.93</v>
      </c>
      <c r="G96" s="88"/>
      <c r="H96" s="7"/>
      <c r="I96" s="74">
        <f t="shared" si="24"/>
        <v>154.93</v>
      </c>
      <c r="J96" s="28"/>
      <c r="K96" s="7"/>
      <c r="L96" s="74">
        <f t="shared" si="25"/>
        <v>154.93</v>
      </c>
      <c r="M96" s="22"/>
      <c r="N96" s="7"/>
      <c r="O96" s="23">
        <f t="shared" si="26"/>
        <v>154.93</v>
      </c>
      <c r="P96" s="82"/>
      <c r="Q96" s="80">
        <f t="shared" si="19"/>
        <v>154.93</v>
      </c>
    </row>
    <row r="97" spans="1:17" ht="12.75" hidden="1">
      <c r="A97" s="35" t="s">
        <v>87</v>
      </c>
      <c r="B97" s="99"/>
      <c r="C97" s="152"/>
      <c r="D97" s="115"/>
      <c r="E97" s="115"/>
      <c r="F97" s="196">
        <f t="shared" si="23"/>
        <v>0</v>
      </c>
      <c r="G97" s="88"/>
      <c r="H97" s="7"/>
      <c r="I97" s="74">
        <f t="shared" si="24"/>
        <v>0</v>
      </c>
      <c r="J97" s="28"/>
      <c r="K97" s="7"/>
      <c r="L97" s="74">
        <f t="shared" si="25"/>
        <v>0</v>
      </c>
      <c r="M97" s="22"/>
      <c r="N97" s="7"/>
      <c r="O97" s="23">
        <f t="shared" si="26"/>
        <v>0</v>
      </c>
      <c r="P97" s="82"/>
      <c r="Q97" s="80">
        <f t="shared" si="19"/>
        <v>0</v>
      </c>
    </row>
    <row r="98" spans="1:17" ht="12.75">
      <c r="A98" s="34" t="s">
        <v>74</v>
      </c>
      <c r="B98" s="99"/>
      <c r="C98" s="152"/>
      <c r="D98" s="115">
        <f>1906.63</f>
        <v>1906.63</v>
      </c>
      <c r="E98" s="115"/>
      <c r="F98" s="196">
        <f t="shared" si="23"/>
        <v>1906.63</v>
      </c>
      <c r="G98" s="88"/>
      <c r="H98" s="7"/>
      <c r="I98" s="74">
        <f t="shared" si="24"/>
        <v>1906.63</v>
      </c>
      <c r="J98" s="28"/>
      <c r="K98" s="7"/>
      <c r="L98" s="74">
        <f t="shared" si="25"/>
        <v>1906.63</v>
      </c>
      <c r="M98" s="22"/>
      <c r="N98" s="7"/>
      <c r="O98" s="23">
        <f t="shared" si="26"/>
        <v>1906.63</v>
      </c>
      <c r="P98" s="82"/>
      <c r="Q98" s="80">
        <f t="shared" si="19"/>
        <v>1906.63</v>
      </c>
    </row>
    <row r="99" spans="1:17" ht="12.75" hidden="1">
      <c r="A99" s="34" t="s">
        <v>75</v>
      </c>
      <c r="B99" s="99"/>
      <c r="C99" s="152"/>
      <c r="D99" s="115"/>
      <c r="E99" s="115"/>
      <c r="F99" s="196">
        <f t="shared" si="23"/>
        <v>0</v>
      </c>
      <c r="G99" s="88"/>
      <c r="H99" s="7"/>
      <c r="I99" s="74">
        <f t="shared" si="24"/>
        <v>0</v>
      </c>
      <c r="J99" s="28"/>
      <c r="K99" s="7"/>
      <c r="L99" s="74">
        <f t="shared" si="25"/>
        <v>0</v>
      </c>
      <c r="M99" s="22"/>
      <c r="N99" s="7"/>
      <c r="O99" s="23">
        <f t="shared" si="26"/>
        <v>0</v>
      </c>
      <c r="P99" s="82"/>
      <c r="Q99" s="80">
        <f t="shared" si="19"/>
        <v>0</v>
      </c>
    </row>
    <row r="100" spans="1:17" ht="12.75">
      <c r="A100" s="42" t="s">
        <v>61</v>
      </c>
      <c r="B100" s="103"/>
      <c r="C100" s="181">
        <f>SUM(C102:C108)</f>
        <v>32000</v>
      </c>
      <c r="D100" s="125">
        <f aca="true" t="shared" si="27" ref="D100:Q100">SUM(D102:D108)</f>
        <v>96316.8</v>
      </c>
      <c r="E100" s="125">
        <f t="shared" si="27"/>
        <v>0</v>
      </c>
      <c r="F100" s="201">
        <f t="shared" si="27"/>
        <v>128316.79999999999</v>
      </c>
      <c r="G100" s="218">
        <f t="shared" si="27"/>
        <v>0</v>
      </c>
      <c r="H100" s="125">
        <f t="shared" si="27"/>
        <v>0</v>
      </c>
      <c r="I100" s="171">
        <f t="shared" si="27"/>
        <v>107536.79999999999</v>
      </c>
      <c r="J100" s="181">
        <f t="shared" si="27"/>
        <v>0</v>
      </c>
      <c r="K100" s="125">
        <f t="shared" si="27"/>
        <v>0</v>
      </c>
      <c r="L100" s="171">
        <f t="shared" si="27"/>
        <v>107536.79999999999</v>
      </c>
      <c r="M100" s="124">
        <f t="shared" si="27"/>
        <v>0</v>
      </c>
      <c r="N100" s="124">
        <f t="shared" si="27"/>
        <v>0</v>
      </c>
      <c r="O100" s="124">
        <f t="shared" si="27"/>
        <v>107536.79999999999</v>
      </c>
      <c r="P100" s="124">
        <f t="shared" si="27"/>
        <v>0</v>
      </c>
      <c r="Q100" s="253">
        <f t="shared" si="27"/>
        <v>107536.79999999999</v>
      </c>
    </row>
    <row r="101" spans="1:17" ht="12.75">
      <c r="A101" s="33" t="s">
        <v>27</v>
      </c>
      <c r="B101" s="99"/>
      <c r="C101" s="145"/>
      <c r="D101" s="118"/>
      <c r="E101" s="118"/>
      <c r="F101" s="197"/>
      <c r="G101" s="215"/>
      <c r="H101" s="8"/>
      <c r="I101" s="29"/>
      <c r="J101" s="233"/>
      <c r="K101" s="8"/>
      <c r="L101" s="29"/>
      <c r="M101" s="24"/>
      <c r="N101" s="8"/>
      <c r="O101" s="25"/>
      <c r="P101" s="82"/>
      <c r="Q101" s="80"/>
    </row>
    <row r="102" spans="1:17" ht="12.75">
      <c r="A102" s="34" t="s">
        <v>76</v>
      </c>
      <c r="B102" s="99"/>
      <c r="C102" s="152"/>
      <c r="D102" s="115">
        <f>20331.46+15000</f>
        <v>35331.46</v>
      </c>
      <c r="E102" s="115"/>
      <c r="F102" s="196">
        <f aca="true" t="shared" si="28" ref="F102:F109">C102+D102+E102</f>
        <v>35331.46</v>
      </c>
      <c r="G102" s="88"/>
      <c r="H102" s="7"/>
      <c r="I102" s="74">
        <f>F102+G102+H102</f>
        <v>35331.46</v>
      </c>
      <c r="J102" s="28"/>
      <c r="K102" s="7"/>
      <c r="L102" s="74">
        <f>I102+J102+K102</f>
        <v>35331.46</v>
      </c>
      <c r="M102" s="22"/>
      <c r="N102" s="7"/>
      <c r="O102" s="23">
        <f>L102+M102+N102</f>
        <v>35331.46</v>
      </c>
      <c r="P102" s="82"/>
      <c r="Q102" s="80">
        <f t="shared" si="19"/>
        <v>35331.46</v>
      </c>
    </row>
    <row r="103" spans="1:17" ht="12.75">
      <c r="A103" s="39" t="s">
        <v>273</v>
      </c>
      <c r="B103" s="99"/>
      <c r="C103" s="152"/>
      <c r="D103" s="115">
        <f>18780</f>
        <v>18780</v>
      </c>
      <c r="E103" s="115"/>
      <c r="F103" s="196">
        <f t="shared" si="28"/>
        <v>18780</v>
      </c>
      <c r="G103" s="88"/>
      <c r="H103" s="7"/>
      <c r="I103" s="74"/>
      <c r="J103" s="28"/>
      <c r="K103" s="7"/>
      <c r="L103" s="74"/>
      <c r="M103" s="22"/>
      <c r="N103" s="7"/>
      <c r="O103" s="23"/>
      <c r="P103" s="82"/>
      <c r="Q103" s="80"/>
    </row>
    <row r="104" spans="1:17" ht="12.75" hidden="1">
      <c r="A104" s="34" t="s">
        <v>62</v>
      </c>
      <c r="B104" s="99"/>
      <c r="C104" s="152"/>
      <c r="D104" s="115"/>
      <c r="E104" s="115"/>
      <c r="F104" s="196">
        <f t="shared" si="28"/>
        <v>0</v>
      </c>
      <c r="G104" s="88"/>
      <c r="H104" s="7"/>
      <c r="I104" s="74"/>
      <c r="J104" s="28"/>
      <c r="K104" s="7"/>
      <c r="L104" s="74"/>
      <c r="M104" s="22"/>
      <c r="N104" s="7"/>
      <c r="O104" s="23"/>
      <c r="P104" s="82"/>
      <c r="Q104" s="80"/>
    </row>
    <row r="105" spans="1:17" ht="12.75" hidden="1">
      <c r="A105" s="35" t="s">
        <v>228</v>
      </c>
      <c r="B105" s="99"/>
      <c r="C105" s="152"/>
      <c r="D105" s="115"/>
      <c r="E105" s="115"/>
      <c r="F105" s="196">
        <f t="shared" si="28"/>
        <v>0</v>
      </c>
      <c r="G105" s="88"/>
      <c r="H105" s="7"/>
      <c r="I105" s="74"/>
      <c r="J105" s="28"/>
      <c r="K105" s="7"/>
      <c r="L105" s="74"/>
      <c r="M105" s="22"/>
      <c r="N105" s="7"/>
      <c r="O105" s="23"/>
      <c r="P105" s="82"/>
      <c r="Q105" s="80"/>
    </row>
    <row r="106" spans="1:17" ht="12.75">
      <c r="A106" s="35" t="s">
        <v>87</v>
      </c>
      <c r="B106" s="99" t="s">
        <v>351</v>
      </c>
      <c r="C106" s="152"/>
      <c r="D106" s="115">
        <f>11305</f>
        <v>11305</v>
      </c>
      <c r="E106" s="115"/>
      <c r="F106" s="196">
        <f t="shared" si="28"/>
        <v>11305</v>
      </c>
      <c r="G106" s="88"/>
      <c r="H106" s="7"/>
      <c r="I106" s="74">
        <f>F106+G106+H106</f>
        <v>11305</v>
      </c>
      <c r="J106" s="28"/>
      <c r="K106" s="7"/>
      <c r="L106" s="74">
        <f>I106+J106+K106</f>
        <v>11305</v>
      </c>
      <c r="M106" s="22"/>
      <c r="N106" s="7"/>
      <c r="O106" s="23">
        <f>L106+M106+N106</f>
        <v>11305</v>
      </c>
      <c r="P106" s="82"/>
      <c r="Q106" s="80">
        <f t="shared" si="19"/>
        <v>11305</v>
      </c>
    </row>
    <row r="107" spans="1:17" ht="12.75">
      <c r="A107" s="35" t="s">
        <v>279</v>
      </c>
      <c r="B107" s="99" t="s">
        <v>352</v>
      </c>
      <c r="C107" s="152">
        <v>2000</v>
      </c>
      <c r="D107" s="115"/>
      <c r="E107" s="115"/>
      <c r="F107" s="196">
        <f t="shared" si="28"/>
        <v>2000</v>
      </c>
      <c r="G107" s="88"/>
      <c r="H107" s="7"/>
      <c r="I107" s="74"/>
      <c r="J107" s="28"/>
      <c r="K107" s="7"/>
      <c r="L107" s="74"/>
      <c r="M107" s="22"/>
      <c r="N107" s="7"/>
      <c r="O107" s="23"/>
      <c r="P107" s="82"/>
      <c r="Q107" s="80"/>
    </row>
    <row r="108" spans="1:17" ht="12.75">
      <c r="A108" s="43" t="s">
        <v>74</v>
      </c>
      <c r="B108" s="102"/>
      <c r="C108" s="180">
        <v>30000</v>
      </c>
      <c r="D108" s="123">
        <f>30900.34</f>
        <v>30900.34</v>
      </c>
      <c r="E108" s="123"/>
      <c r="F108" s="200">
        <f t="shared" si="28"/>
        <v>60900.34</v>
      </c>
      <c r="G108" s="88"/>
      <c r="H108" s="7"/>
      <c r="I108" s="74">
        <f>F108+G108+H108</f>
        <v>60900.34</v>
      </c>
      <c r="J108" s="28"/>
      <c r="K108" s="7"/>
      <c r="L108" s="74">
        <f>I108+J108+K108</f>
        <v>60900.34</v>
      </c>
      <c r="M108" s="22"/>
      <c r="N108" s="7"/>
      <c r="O108" s="23">
        <f>L108+M108+N108</f>
        <v>60900.34</v>
      </c>
      <c r="P108" s="82"/>
      <c r="Q108" s="80">
        <f t="shared" si="19"/>
        <v>60900.34</v>
      </c>
    </row>
    <row r="109" spans="1:17" ht="12.75" hidden="1">
      <c r="A109" s="43" t="s">
        <v>77</v>
      </c>
      <c r="B109" s="102"/>
      <c r="C109" s="180"/>
      <c r="D109" s="123"/>
      <c r="E109" s="123"/>
      <c r="F109" s="200">
        <f t="shared" si="28"/>
        <v>0</v>
      </c>
      <c r="G109" s="219"/>
      <c r="H109" s="10"/>
      <c r="I109" s="73">
        <f>F109+G109+H109</f>
        <v>0</v>
      </c>
      <c r="J109" s="234"/>
      <c r="K109" s="10"/>
      <c r="L109" s="73">
        <f>I109+J109+K109</f>
        <v>0</v>
      </c>
      <c r="M109" s="26"/>
      <c r="N109" s="10"/>
      <c r="O109" s="27">
        <f>L109+M109+N109</f>
        <v>0</v>
      </c>
      <c r="P109" s="85"/>
      <c r="Q109" s="86">
        <f t="shared" si="19"/>
        <v>0</v>
      </c>
    </row>
    <row r="110" spans="1:17" ht="12.75">
      <c r="A110" s="36" t="s">
        <v>78</v>
      </c>
      <c r="B110" s="103"/>
      <c r="C110" s="145">
        <f>C111+C118</f>
        <v>11546.38</v>
      </c>
      <c r="D110" s="118">
        <f aca="true" t="shared" si="29" ref="D110:Q110">D111+D118</f>
        <v>7947</v>
      </c>
      <c r="E110" s="118">
        <f t="shared" si="29"/>
        <v>0</v>
      </c>
      <c r="F110" s="197">
        <f t="shared" si="29"/>
        <v>19493.38</v>
      </c>
      <c r="G110" s="146">
        <f t="shared" si="29"/>
        <v>0</v>
      </c>
      <c r="H110" s="118">
        <f t="shared" si="29"/>
        <v>0</v>
      </c>
      <c r="I110" s="168">
        <f t="shared" si="29"/>
        <v>17577.82</v>
      </c>
      <c r="J110" s="145">
        <f t="shared" si="29"/>
        <v>0</v>
      </c>
      <c r="K110" s="118">
        <f t="shared" si="29"/>
        <v>0</v>
      </c>
      <c r="L110" s="168">
        <f t="shared" si="29"/>
        <v>17577.82</v>
      </c>
      <c r="M110" s="117">
        <f t="shared" si="29"/>
        <v>0</v>
      </c>
      <c r="N110" s="117">
        <f t="shared" si="29"/>
        <v>0</v>
      </c>
      <c r="O110" s="117">
        <f t="shared" si="29"/>
        <v>17577.82</v>
      </c>
      <c r="P110" s="117">
        <f t="shared" si="29"/>
        <v>0</v>
      </c>
      <c r="Q110" s="250">
        <f t="shared" si="29"/>
        <v>17577.82</v>
      </c>
    </row>
    <row r="111" spans="1:17" ht="12.75">
      <c r="A111" s="41" t="s">
        <v>56</v>
      </c>
      <c r="B111" s="103"/>
      <c r="C111" s="179">
        <f>SUM(C113:C117)</f>
        <v>11546.38</v>
      </c>
      <c r="D111" s="122">
        <f aca="true" t="shared" si="30" ref="D111:Q111">SUM(D113:D117)</f>
        <v>7947</v>
      </c>
      <c r="E111" s="122">
        <f t="shared" si="30"/>
        <v>0</v>
      </c>
      <c r="F111" s="199">
        <f t="shared" si="30"/>
        <v>19493.38</v>
      </c>
      <c r="G111" s="217">
        <f t="shared" si="30"/>
        <v>0</v>
      </c>
      <c r="H111" s="122">
        <f t="shared" si="30"/>
        <v>0</v>
      </c>
      <c r="I111" s="170">
        <f t="shared" si="30"/>
        <v>17577.82</v>
      </c>
      <c r="J111" s="179">
        <f t="shared" si="30"/>
        <v>0</v>
      </c>
      <c r="K111" s="122">
        <f t="shared" si="30"/>
        <v>0</v>
      </c>
      <c r="L111" s="170">
        <f t="shared" si="30"/>
        <v>17577.82</v>
      </c>
      <c r="M111" s="121">
        <f t="shared" si="30"/>
        <v>0</v>
      </c>
      <c r="N111" s="121">
        <f t="shared" si="30"/>
        <v>0</v>
      </c>
      <c r="O111" s="121">
        <f t="shared" si="30"/>
        <v>17577.82</v>
      </c>
      <c r="P111" s="121">
        <f t="shared" si="30"/>
        <v>0</v>
      </c>
      <c r="Q111" s="252">
        <f t="shared" si="30"/>
        <v>17577.82</v>
      </c>
    </row>
    <row r="112" spans="1:17" ht="12.75">
      <c r="A112" s="37" t="s">
        <v>27</v>
      </c>
      <c r="B112" s="99"/>
      <c r="C112" s="152"/>
      <c r="D112" s="115"/>
      <c r="E112" s="115"/>
      <c r="F112" s="174"/>
      <c r="G112" s="88"/>
      <c r="H112" s="7"/>
      <c r="I112" s="70"/>
      <c r="J112" s="28"/>
      <c r="K112" s="7"/>
      <c r="L112" s="70"/>
      <c r="M112" s="22"/>
      <c r="N112" s="7"/>
      <c r="O112" s="21"/>
      <c r="P112" s="82"/>
      <c r="Q112" s="80"/>
    </row>
    <row r="113" spans="1:17" ht="12.75">
      <c r="A113" s="35" t="s">
        <v>58</v>
      </c>
      <c r="B113" s="99"/>
      <c r="C113" s="152">
        <v>10882.38</v>
      </c>
      <c r="D113" s="115">
        <f>2652.44+1200</f>
        <v>3852.44</v>
      </c>
      <c r="E113" s="115"/>
      <c r="F113" s="196">
        <f>C113+D113+E113</f>
        <v>14734.82</v>
      </c>
      <c r="G113" s="88"/>
      <c r="H113" s="7"/>
      <c r="I113" s="74">
        <f>SUM(F113:H113)</f>
        <v>14734.82</v>
      </c>
      <c r="J113" s="28"/>
      <c r="K113" s="7"/>
      <c r="L113" s="74">
        <f>I113+J113+K113</f>
        <v>14734.82</v>
      </c>
      <c r="M113" s="22"/>
      <c r="N113" s="7"/>
      <c r="O113" s="23">
        <f>L113+M113+N113</f>
        <v>14734.82</v>
      </c>
      <c r="P113" s="82"/>
      <c r="Q113" s="80">
        <f t="shared" si="19"/>
        <v>14734.82</v>
      </c>
    </row>
    <row r="114" spans="1:17" ht="12.75">
      <c r="A114" s="48" t="s">
        <v>88</v>
      </c>
      <c r="B114" s="99">
        <v>2054</v>
      </c>
      <c r="C114" s="152">
        <v>664</v>
      </c>
      <c r="D114" s="115"/>
      <c r="E114" s="115"/>
      <c r="F114" s="196">
        <f>C114+D114+E114</f>
        <v>664</v>
      </c>
      <c r="G114" s="88"/>
      <c r="H114" s="7"/>
      <c r="I114" s="74"/>
      <c r="J114" s="28"/>
      <c r="K114" s="7"/>
      <c r="L114" s="74"/>
      <c r="M114" s="22"/>
      <c r="N114" s="7"/>
      <c r="O114" s="23"/>
      <c r="P114" s="82"/>
      <c r="Q114" s="80"/>
    </row>
    <row r="115" spans="1:17" ht="12.75">
      <c r="A115" s="39" t="s">
        <v>79</v>
      </c>
      <c r="B115" s="99">
        <v>33166</v>
      </c>
      <c r="C115" s="152"/>
      <c r="D115" s="115">
        <f>2843</f>
        <v>2843</v>
      </c>
      <c r="E115" s="115"/>
      <c r="F115" s="196">
        <f>C115+D115+E115</f>
        <v>2843</v>
      </c>
      <c r="G115" s="88"/>
      <c r="H115" s="7"/>
      <c r="I115" s="74">
        <f>SUM(F115:H115)</f>
        <v>2843</v>
      </c>
      <c r="J115" s="28"/>
      <c r="K115" s="7"/>
      <c r="L115" s="74">
        <f>I115+J115+K115</f>
        <v>2843</v>
      </c>
      <c r="M115" s="22"/>
      <c r="N115" s="7"/>
      <c r="O115" s="23">
        <f>L115+M115+N115</f>
        <v>2843</v>
      </c>
      <c r="P115" s="82"/>
      <c r="Q115" s="80">
        <f t="shared" si="19"/>
        <v>2843</v>
      </c>
    </row>
    <row r="116" spans="1:17" ht="12.75">
      <c r="A116" s="46" t="s">
        <v>333</v>
      </c>
      <c r="B116" s="102">
        <v>33064</v>
      </c>
      <c r="C116" s="180"/>
      <c r="D116" s="123">
        <f>1251.56</f>
        <v>1251.56</v>
      </c>
      <c r="E116" s="123"/>
      <c r="F116" s="200">
        <f>C116+D116+E116</f>
        <v>1251.56</v>
      </c>
      <c r="G116" s="88"/>
      <c r="H116" s="7"/>
      <c r="I116" s="74"/>
      <c r="J116" s="28"/>
      <c r="K116" s="7"/>
      <c r="L116" s="74"/>
      <c r="M116" s="22"/>
      <c r="N116" s="7"/>
      <c r="O116" s="23"/>
      <c r="P116" s="82"/>
      <c r="Q116" s="80"/>
    </row>
    <row r="117" spans="1:17" ht="12.75" hidden="1">
      <c r="A117" s="39" t="s">
        <v>72</v>
      </c>
      <c r="B117" s="99"/>
      <c r="C117" s="152"/>
      <c r="D117" s="115"/>
      <c r="E117" s="115"/>
      <c r="F117" s="196">
        <f>C117+D117+E117</f>
        <v>0</v>
      </c>
      <c r="G117" s="88"/>
      <c r="H117" s="7"/>
      <c r="I117" s="74">
        <f>SUM(F117:H117)</f>
        <v>0</v>
      </c>
      <c r="J117" s="28"/>
      <c r="K117" s="7"/>
      <c r="L117" s="74">
        <f>I117+J117+K117</f>
        <v>0</v>
      </c>
      <c r="M117" s="22"/>
      <c r="N117" s="7"/>
      <c r="O117" s="23">
        <f>L117+M117+N117</f>
        <v>0</v>
      </c>
      <c r="P117" s="82"/>
      <c r="Q117" s="80">
        <f t="shared" si="19"/>
        <v>0</v>
      </c>
    </row>
    <row r="118" spans="1:17" ht="12.75" hidden="1">
      <c r="A118" s="41" t="s">
        <v>61</v>
      </c>
      <c r="B118" s="103"/>
      <c r="C118" s="179">
        <f>C120</f>
        <v>0</v>
      </c>
      <c r="D118" s="122">
        <f aca="true" t="shared" si="31" ref="D118:Q118">D120</f>
        <v>0</v>
      </c>
      <c r="E118" s="122">
        <f t="shared" si="31"/>
        <v>0</v>
      </c>
      <c r="F118" s="199">
        <f t="shared" si="31"/>
        <v>0</v>
      </c>
      <c r="G118" s="217">
        <f t="shared" si="31"/>
        <v>0</v>
      </c>
      <c r="H118" s="122">
        <f t="shared" si="31"/>
        <v>0</v>
      </c>
      <c r="I118" s="170">
        <f t="shared" si="31"/>
        <v>0</v>
      </c>
      <c r="J118" s="179">
        <f t="shared" si="31"/>
        <v>0</v>
      </c>
      <c r="K118" s="122">
        <f t="shared" si="31"/>
        <v>0</v>
      </c>
      <c r="L118" s="170">
        <f t="shared" si="31"/>
        <v>0</v>
      </c>
      <c r="M118" s="121">
        <f t="shared" si="31"/>
        <v>0</v>
      </c>
      <c r="N118" s="121">
        <f t="shared" si="31"/>
        <v>0</v>
      </c>
      <c r="O118" s="121">
        <f t="shared" si="31"/>
        <v>0</v>
      </c>
      <c r="P118" s="121">
        <f t="shared" si="31"/>
        <v>0</v>
      </c>
      <c r="Q118" s="252">
        <f t="shared" si="31"/>
        <v>0</v>
      </c>
    </row>
    <row r="119" spans="1:17" ht="12.75" hidden="1">
      <c r="A119" s="37" t="s">
        <v>27</v>
      </c>
      <c r="B119" s="99"/>
      <c r="C119" s="152"/>
      <c r="D119" s="115"/>
      <c r="E119" s="115"/>
      <c r="F119" s="174"/>
      <c r="G119" s="88"/>
      <c r="H119" s="7"/>
      <c r="I119" s="70"/>
      <c r="J119" s="28"/>
      <c r="K119" s="7"/>
      <c r="L119" s="70"/>
      <c r="M119" s="22"/>
      <c r="N119" s="7"/>
      <c r="O119" s="21"/>
      <c r="P119" s="82"/>
      <c r="Q119" s="80"/>
    </row>
    <row r="120" spans="1:17" ht="12.75" hidden="1">
      <c r="A120" s="38" t="s">
        <v>178</v>
      </c>
      <c r="B120" s="102"/>
      <c r="C120" s="180"/>
      <c r="D120" s="123"/>
      <c r="E120" s="123"/>
      <c r="F120" s="200">
        <f>C120+D120+E120</f>
        <v>0</v>
      </c>
      <c r="G120" s="219"/>
      <c r="H120" s="10"/>
      <c r="I120" s="209"/>
      <c r="J120" s="234"/>
      <c r="K120" s="10"/>
      <c r="L120" s="73">
        <f>I120+J120+K120</f>
        <v>0</v>
      </c>
      <c r="M120" s="26"/>
      <c r="N120" s="10"/>
      <c r="O120" s="27">
        <f>L120+M120+N120</f>
        <v>0</v>
      </c>
      <c r="P120" s="85"/>
      <c r="Q120" s="86">
        <f t="shared" si="19"/>
        <v>0</v>
      </c>
    </row>
    <row r="121" spans="1:17" ht="12.75">
      <c r="A121" s="32" t="s">
        <v>80</v>
      </c>
      <c r="B121" s="103"/>
      <c r="C121" s="159">
        <f>C122+C134</f>
        <v>1255518.96</v>
      </c>
      <c r="D121" s="114">
        <f aca="true" t="shared" si="32" ref="D121:Q121">D122+D134</f>
        <v>340155.16</v>
      </c>
      <c r="E121" s="114">
        <f t="shared" si="32"/>
        <v>0</v>
      </c>
      <c r="F121" s="174">
        <f t="shared" si="32"/>
        <v>1595674.12</v>
      </c>
      <c r="G121" s="160">
        <f t="shared" si="32"/>
        <v>0</v>
      </c>
      <c r="H121" s="114">
        <f t="shared" si="32"/>
        <v>0</v>
      </c>
      <c r="I121" s="142">
        <f t="shared" si="32"/>
        <v>1595674.12</v>
      </c>
      <c r="J121" s="159">
        <f t="shared" si="32"/>
        <v>0</v>
      </c>
      <c r="K121" s="114">
        <f t="shared" si="32"/>
        <v>0</v>
      </c>
      <c r="L121" s="142">
        <f t="shared" si="32"/>
        <v>1595674.12</v>
      </c>
      <c r="M121" s="113">
        <f t="shared" si="32"/>
        <v>0</v>
      </c>
      <c r="N121" s="113">
        <f t="shared" si="32"/>
        <v>0</v>
      </c>
      <c r="O121" s="113">
        <f t="shared" si="32"/>
        <v>1595674.12</v>
      </c>
      <c r="P121" s="113">
        <f t="shared" si="32"/>
        <v>0</v>
      </c>
      <c r="Q121" s="247">
        <f t="shared" si="32"/>
        <v>1595674.12</v>
      </c>
    </row>
    <row r="122" spans="1:17" ht="12.75">
      <c r="A122" s="41" t="s">
        <v>56</v>
      </c>
      <c r="B122" s="103"/>
      <c r="C122" s="179">
        <f>SUM(C125:C133)</f>
        <v>1245518.96</v>
      </c>
      <c r="D122" s="122">
        <f aca="true" t="shared" si="33" ref="D122:Q122">SUM(D125:D133)</f>
        <v>333138.79</v>
      </c>
      <c r="E122" s="122">
        <f t="shared" si="33"/>
        <v>0</v>
      </c>
      <c r="F122" s="199">
        <f t="shared" si="33"/>
        <v>1578657.75</v>
      </c>
      <c r="G122" s="217">
        <f t="shared" si="33"/>
        <v>0</v>
      </c>
      <c r="H122" s="122">
        <f t="shared" si="33"/>
        <v>0</v>
      </c>
      <c r="I122" s="170">
        <f t="shared" si="33"/>
        <v>1578657.75</v>
      </c>
      <c r="J122" s="179">
        <f t="shared" si="33"/>
        <v>0</v>
      </c>
      <c r="K122" s="122">
        <f t="shared" si="33"/>
        <v>0</v>
      </c>
      <c r="L122" s="170">
        <f t="shared" si="33"/>
        <v>1578657.75</v>
      </c>
      <c r="M122" s="121">
        <f t="shared" si="33"/>
        <v>0</v>
      </c>
      <c r="N122" s="121">
        <f t="shared" si="33"/>
        <v>0</v>
      </c>
      <c r="O122" s="121">
        <f t="shared" si="33"/>
        <v>1578657.75</v>
      </c>
      <c r="P122" s="121">
        <f t="shared" si="33"/>
        <v>0</v>
      </c>
      <c r="Q122" s="252">
        <f t="shared" si="33"/>
        <v>1578657.75</v>
      </c>
    </row>
    <row r="123" spans="1:17" ht="12.75">
      <c r="A123" s="37" t="s">
        <v>27</v>
      </c>
      <c r="B123" s="99"/>
      <c r="C123" s="152"/>
      <c r="D123" s="115"/>
      <c r="E123" s="115"/>
      <c r="F123" s="174"/>
      <c r="G123" s="88"/>
      <c r="H123" s="7"/>
      <c r="I123" s="70"/>
      <c r="J123" s="28"/>
      <c r="K123" s="7"/>
      <c r="L123" s="70"/>
      <c r="M123" s="22"/>
      <c r="N123" s="7"/>
      <c r="O123" s="21"/>
      <c r="P123" s="82"/>
      <c r="Q123" s="80"/>
    </row>
    <row r="124" spans="1:17" ht="12.75">
      <c r="A124" s="39" t="s">
        <v>81</v>
      </c>
      <c r="B124" s="99"/>
      <c r="C124" s="152">
        <f>C125+C126</f>
        <v>755573</v>
      </c>
      <c r="D124" s="115">
        <f>D125+D126</f>
        <v>43485.5</v>
      </c>
      <c r="E124" s="115">
        <f>E125+E126</f>
        <v>-1051.37</v>
      </c>
      <c r="F124" s="196">
        <f>F125+F126</f>
        <v>798007.13</v>
      </c>
      <c r="G124" s="88"/>
      <c r="H124" s="7"/>
      <c r="I124" s="74">
        <f>I125+I126</f>
        <v>798007.13</v>
      </c>
      <c r="J124" s="28"/>
      <c r="K124" s="7"/>
      <c r="L124" s="74">
        <f>L125+L126</f>
        <v>798007.13</v>
      </c>
      <c r="M124" s="22"/>
      <c r="N124" s="7"/>
      <c r="O124" s="23">
        <f>O125+O126</f>
        <v>798007.13</v>
      </c>
      <c r="P124" s="82"/>
      <c r="Q124" s="80">
        <f t="shared" si="19"/>
        <v>798007.13</v>
      </c>
    </row>
    <row r="125" spans="1:19" ht="12.75">
      <c r="A125" s="39" t="s">
        <v>82</v>
      </c>
      <c r="B125" s="99"/>
      <c r="C125" s="152">
        <v>366000</v>
      </c>
      <c r="D125" s="126">
        <f>39155.23+113.82+4216.45</f>
        <v>43485.5</v>
      </c>
      <c r="E125" s="115">
        <v>-1051.37</v>
      </c>
      <c r="F125" s="196">
        <f aca="true" t="shared" si="34" ref="F125:F133">C125+D125+E125</f>
        <v>408434.13</v>
      </c>
      <c r="G125" s="220"/>
      <c r="H125" s="11"/>
      <c r="I125" s="74">
        <f aca="true" t="shared" si="35" ref="I125:I133">F125+G125+H125</f>
        <v>408434.13</v>
      </c>
      <c r="J125" s="28"/>
      <c r="K125" s="7"/>
      <c r="L125" s="74">
        <f aca="true" t="shared" si="36" ref="L125:L133">I125+J125+K125</f>
        <v>408434.13</v>
      </c>
      <c r="M125" s="22"/>
      <c r="N125" s="7"/>
      <c r="O125" s="23">
        <f aca="true" t="shared" si="37" ref="O125:O133">L125+M125+N125</f>
        <v>408434.13</v>
      </c>
      <c r="P125" s="82"/>
      <c r="Q125" s="80">
        <f t="shared" si="19"/>
        <v>408434.13</v>
      </c>
      <c r="S125" s="245"/>
    </row>
    <row r="126" spans="1:17" ht="12.75">
      <c r="A126" s="35" t="s">
        <v>83</v>
      </c>
      <c r="B126" s="99"/>
      <c r="C126" s="152">
        <v>389573</v>
      </c>
      <c r="D126" s="115"/>
      <c r="E126" s="115"/>
      <c r="F126" s="196">
        <f t="shared" si="34"/>
        <v>389573</v>
      </c>
      <c r="G126" s="220"/>
      <c r="H126" s="11"/>
      <c r="I126" s="74">
        <f t="shared" si="35"/>
        <v>389573</v>
      </c>
      <c r="J126" s="28"/>
      <c r="K126" s="7"/>
      <c r="L126" s="74">
        <f t="shared" si="36"/>
        <v>389573</v>
      </c>
      <c r="M126" s="22"/>
      <c r="N126" s="7"/>
      <c r="O126" s="23">
        <f t="shared" si="37"/>
        <v>389573</v>
      </c>
      <c r="P126" s="82"/>
      <c r="Q126" s="80">
        <f t="shared" si="19"/>
        <v>389573</v>
      </c>
    </row>
    <row r="127" spans="1:17" ht="12.75">
      <c r="A127" s="39" t="s">
        <v>84</v>
      </c>
      <c r="B127" s="99"/>
      <c r="C127" s="152">
        <v>22445.96</v>
      </c>
      <c r="D127" s="115"/>
      <c r="E127" s="115"/>
      <c r="F127" s="196">
        <f t="shared" si="34"/>
        <v>22445.96</v>
      </c>
      <c r="G127" s="88"/>
      <c r="H127" s="7"/>
      <c r="I127" s="74">
        <f t="shared" si="35"/>
        <v>22445.96</v>
      </c>
      <c r="J127" s="28"/>
      <c r="K127" s="7"/>
      <c r="L127" s="74">
        <f t="shared" si="36"/>
        <v>22445.96</v>
      </c>
      <c r="M127" s="22"/>
      <c r="N127" s="7"/>
      <c r="O127" s="23">
        <f t="shared" si="37"/>
        <v>22445.96</v>
      </c>
      <c r="P127" s="82"/>
      <c r="Q127" s="80">
        <f t="shared" si="19"/>
        <v>22445.96</v>
      </c>
    </row>
    <row r="128" spans="1:17" ht="12.75">
      <c r="A128" s="35" t="s">
        <v>85</v>
      </c>
      <c r="B128" s="99"/>
      <c r="C128" s="152"/>
      <c r="D128" s="115"/>
      <c r="E128" s="115">
        <v>700</v>
      </c>
      <c r="F128" s="196">
        <f t="shared" si="34"/>
        <v>700</v>
      </c>
      <c r="G128" s="88"/>
      <c r="H128" s="7"/>
      <c r="I128" s="74">
        <f t="shared" si="35"/>
        <v>700</v>
      </c>
      <c r="J128" s="28"/>
      <c r="K128" s="7"/>
      <c r="L128" s="74">
        <f t="shared" si="36"/>
        <v>700</v>
      </c>
      <c r="M128" s="22"/>
      <c r="N128" s="7"/>
      <c r="O128" s="23">
        <f t="shared" si="37"/>
        <v>700</v>
      </c>
      <c r="P128" s="82"/>
      <c r="Q128" s="80">
        <f t="shared" si="19"/>
        <v>700</v>
      </c>
    </row>
    <row r="129" spans="1:17" ht="12.75">
      <c r="A129" s="35" t="s">
        <v>72</v>
      </c>
      <c r="B129" s="99"/>
      <c r="C129" s="152"/>
      <c r="D129" s="115"/>
      <c r="E129" s="115">
        <v>351.37</v>
      </c>
      <c r="F129" s="196">
        <f t="shared" si="34"/>
        <v>351.37</v>
      </c>
      <c r="G129" s="88"/>
      <c r="H129" s="7"/>
      <c r="I129" s="74">
        <f t="shared" si="35"/>
        <v>351.37</v>
      </c>
      <c r="J129" s="28"/>
      <c r="K129" s="7"/>
      <c r="L129" s="74">
        <f t="shared" si="36"/>
        <v>351.37</v>
      </c>
      <c r="M129" s="22"/>
      <c r="N129" s="7"/>
      <c r="O129" s="23">
        <f t="shared" si="37"/>
        <v>351.37</v>
      </c>
      <c r="P129" s="82"/>
      <c r="Q129" s="80">
        <f t="shared" si="19"/>
        <v>351.37</v>
      </c>
    </row>
    <row r="130" spans="1:17" ht="12.75" hidden="1">
      <c r="A130" s="35" t="s">
        <v>86</v>
      </c>
      <c r="B130" s="99">
        <v>91252</v>
      </c>
      <c r="C130" s="152"/>
      <c r="D130" s="115"/>
      <c r="E130" s="115"/>
      <c r="F130" s="196">
        <f t="shared" si="34"/>
        <v>0</v>
      </c>
      <c r="G130" s="88"/>
      <c r="H130" s="7"/>
      <c r="I130" s="74">
        <f t="shared" si="35"/>
        <v>0</v>
      </c>
      <c r="J130" s="28"/>
      <c r="K130" s="7"/>
      <c r="L130" s="74">
        <f t="shared" si="36"/>
        <v>0</v>
      </c>
      <c r="M130" s="22"/>
      <c r="N130" s="7"/>
      <c r="O130" s="23">
        <f t="shared" si="37"/>
        <v>0</v>
      </c>
      <c r="P130" s="82"/>
      <c r="Q130" s="80">
        <f t="shared" si="19"/>
        <v>0</v>
      </c>
    </row>
    <row r="131" spans="1:17" ht="12.75">
      <c r="A131" s="35" t="s">
        <v>154</v>
      </c>
      <c r="B131" s="99">
        <v>27355</v>
      </c>
      <c r="C131" s="152"/>
      <c r="D131" s="115">
        <f>277153.29</f>
        <v>277153.29</v>
      </c>
      <c r="E131" s="115"/>
      <c r="F131" s="196">
        <f t="shared" si="34"/>
        <v>277153.29</v>
      </c>
      <c r="G131" s="88"/>
      <c r="H131" s="7"/>
      <c r="I131" s="74">
        <f t="shared" si="35"/>
        <v>277153.29</v>
      </c>
      <c r="J131" s="28"/>
      <c r="K131" s="7"/>
      <c r="L131" s="74">
        <f t="shared" si="36"/>
        <v>277153.29</v>
      </c>
      <c r="M131" s="22"/>
      <c r="N131" s="7"/>
      <c r="O131" s="23">
        <f t="shared" si="37"/>
        <v>277153.29</v>
      </c>
      <c r="P131" s="82"/>
      <c r="Q131" s="80">
        <f t="shared" si="19"/>
        <v>277153.29</v>
      </c>
    </row>
    <row r="132" spans="1:17" ht="12.75">
      <c r="A132" s="35" t="s">
        <v>58</v>
      </c>
      <c r="B132" s="99"/>
      <c r="C132" s="152">
        <v>467500</v>
      </c>
      <c r="D132" s="115">
        <f>6000+6500</f>
        <v>12500</v>
      </c>
      <c r="E132" s="115"/>
      <c r="F132" s="196">
        <f t="shared" si="34"/>
        <v>480000</v>
      </c>
      <c r="G132" s="88"/>
      <c r="H132" s="7"/>
      <c r="I132" s="74">
        <f t="shared" si="35"/>
        <v>480000</v>
      </c>
      <c r="J132" s="28"/>
      <c r="K132" s="7"/>
      <c r="L132" s="74">
        <f t="shared" si="36"/>
        <v>480000</v>
      </c>
      <c r="M132" s="22"/>
      <c r="N132" s="7"/>
      <c r="O132" s="23">
        <f t="shared" si="37"/>
        <v>480000</v>
      </c>
      <c r="P132" s="82"/>
      <c r="Q132" s="80">
        <f t="shared" si="19"/>
        <v>480000</v>
      </c>
    </row>
    <row r="133" spans="1:17" ht="12" customHeight="1" hidden="1">
      <c r="A133" s="35" t="s">
        <v>87</v>
      </c>
      <c r="B133" s="99"/>
      <c r="C133" s="152"/>
      <c r="D133" s="115"/>
      <c r="E133" s="115"/>
      <c r="F133" s="196">
        <f t="shared" si="34"/>
        <v>0</v>
      </c>
      <c r="G133" s="88"/>
      <c r="H133" s="7"/>
      <c r="I133" s="74">
        <f t="shared" si="35"/>
        <v>0</v>
      </c>
      <c r="J133" s="28"/>
      <c r="K133" s="7"/>
      <c r="L133" s="74">
        <f t="shared" si="36"/>
        <v>0</v>
      </c>
      <c r="M133" s="22"/>
      <c r="N133" s="7"/>
      <c r="O133" s="23">
        <f t="shared" si="37"/>
        <v>0</v>
      </c>
      <c r="P133" s="82"/>
      <c r="Q133" s="80">
        <f t="shared" si="19"/>
        <v>0</v>
      </c>
    </row>
    <row r="134" spans="1:17" ht="12.75">
      <c r="A134" s="42" t="s">
        <v>61</v>
      </c>
      <c r="B134" s="103"/>
      <c r="C134" s="181">
        <f>SUM(C136:C138)</f>
        <v>10000</v>
      </c>
      <c r="D134" s="125">
        <f aca="true" t="shared" si="38" ref="D134:Q134">SUM(D136:D138)</f>
        <v>7016.37</v>
      </c>
      <c r="E134" s="125">
        <f t="shared" si="38"/>
        <v>0</v>
      </c>
      <c r="F134" s="201">
        <f t="shared" si="38"/>
        <v>17016.37</v>
      </c>
      <c r="G134" s="218">
        <f t="shared" si="38"/>
        <v>0</v>
      </c>
      <c r="H134" s="125">
        <f t="shared" si="38"/>
        <v>0</v>
      </c>
      <c r="I134" s="171">
        <f t="shared" si="38"/>
        <v>17016.37</v>
      </c>
      <c r="J134" s="181">
        <f t="shared" si="38"/>
        <v>0</v>
      </c>
      <c r="K134" s="125">
        <f t="shared" si="38"/>
        <v>0</v>
      </c>
      <c r="L134" s="171">
        <f t="shared" si="38"/>
        <v>17016.37</v>
      </c>
      <c r="M134" s="124">
        <f t="shared" si="38"/>
        <v>0</v>
      </c>
      <c r="N134" s="124">
        <f t="shared" si="38"/>
        <v>0</v>
      </c>
      <c r="O134" s="124">
        <f t="shared" si="38"/>
        <v>17016.37</v>
      </c>
      <c r="P134" s="124">
        <f t="shared" si="38"/>
        <v>0</v>
      </c>
      <c r="Q134" s="253">
        <f t="shared" si="38"/>
        <v>17016.37</v>
      </c>
    </row>
    <row r="135" spans="1:17" ht="12.75">
      <c r="A135" s="33" t="s">
        <v>27</v>
      </c>
      <c r="B135" s="99"/>
      <c r="C135" s="145"/>
      <c r="D135" s="118"/>
      <c r="E135" s="118"/>
      <c r="F135" s="197"/>
      <c r="G135" s="215"/>
      <c r="H135" s="8"/>
      <c r="I135" s="29"/>
      <c r="J135" s="233"/>
      <c r="K135" s="8"/>
      <c r="L135" s="29"/>
      <c r="M135" s="24"/>
      <c r="N135" s="8"/>
      <c r="O135" s="25"/>
      <c r="P135" s="82"/>
      <c r="Q135" s="80"/>
    </row>
    <row r="136" spans="1:17" ht="12.75">
      <c r="A136" s="43" t="s">
        <v>62</v>
      </c>
      <c r="B136" s="102"/>
      <c r="C136" s="180">
        <v>10000</v>
      </c>
      <c r="D136" s="123">
        <f>7016.37</f>
        <v>7016.37</v>
      </c>
      <c r="E136" s="123"/>
      <c r="F136" s="200">
        <f>C136+D136+E136</f>
        <v>17016.37</v>
      </c>
      <c r="G136" s="88"/>
      <c r="H136" s="7"/>
      <c r="I136" s="74">
        <f>F136+G136+H136</f>
        <v>17016.37</v>
      </c>
      <c r="J136" s="28"/>
      <c r="K136" s="7"/>
      <c r="L136" s="74">
        <f>I136+J136+K136</f>
        <v>17016.37</v>
      </c>
      <c r="M136" s="22"/>
      <c r="N136" s="7"/>
      <c r="O136" s="23">
        <f>L136+M136+N136</f>
        <v>17016.37</v>
      </c>
      <c r="P136" s="82"/>
      <c r="Q136" s="80">
        <f t="shared" si="19"/>
        <v>17016.37</v>
      </c>
    </row>
    <row r="137" spans="1:17" ht="12.75" hidden="1">
      <c r="A137" s="38" t="s">
        <v>99</v>
      </c>
      <c r="B137" s="102"/>
      <c r="C137" s="180"/>
      <c r="D137" s="123"/>
      <c r="E137" s="123"/>
      <c r="F137" s="200">
        <f>C137+D137+E137</f>
        <v>0</v>
      </c>
      <c r="G137" s="88"/>
      <c r="H137" s="7"/>
      <c r="I137" s="74">
        <f>F137+G137+H137</f>
        <v>0</v>
      </c>
      <c r="J137" s="28"/>
      <c r="K137" s="7"/>
      <c r="L137" s="74">
        <f>I137+J137+K137</f>
        <v>0</v>
      </c>
      <c r="M137" s="22"/>
      <c r="N137" s="7"/>
      <c r="O137" s="23">
        <f>L137+M137+N137</f>
        <v>0</v>
      </c>
      <c r="P137" s="82"/>
      <c r="Q137" s="80">
        <f t="shared" si="19"/>
        <v>0</v>
      </c>
    </row>
    <row r="138" spans="1:17" ht="12.75" hidden="1">
      <c r="A138" s="38" t="s">
        <v>88</v>
      </c>
      <c r="B138" s="102"/>
      <c r="C138" s="180"/>
      <c r="D138" s="123"/>
      <c r="E138" s="123"/>
      <c r="F138" s="200">
        <f>C138+D138+E138</f>
        <v>0</v>
      </c>
      <c r="G138" s="219"/>
      <c r="H138" s="10"/>
      <c r="I138" s="73">
        <f>F138+G138+H138</f>
        <v>0</v>
      </c>
      <c r="J138" s="234"/>
      <c r="K138" s="10"/>
      <c r="L138" s="73">
        <f>I138+J138+K138</f>
        <v>0</v>
      </c>
      <c r="M138" s="26"/>
      <c r="N138" s="10"/>
      <c r="O138" s="27">
        <f>L138+M138+N138</f>
        <v>0</v>
      </c>
      <c r="P138" s="85"/>
      <c r="Q138" s="86">
        <f t="shared" si="19"/>
        <v>0</v>
      </c>
    </row>
    <row r="139" spans="1:17" ht="12.75">
      <c r="A139" s="36" t="s">
        <v>89</v>
      </c>
      <c r="B139" s="103"/>
      <c r="C139" s="145">
        <f>C140+C145</f>
        <v>34397.46</v>
      </c>
      <c r="D139" s="118">
        <f aca="true" t="shared" si="39" ref="D139:Q139">D140+D145</f>
        <v>8600</v>
      </c>
      <c r="E139" s="118">
        <f t="shared" si="39"/>
        <v>0</v>
      </c>
      <c r="F139" s="197">
        <f t="shared" si="39"/>
        <v>42997.46</v>
      </c>
      <c r="G139" s="146">
        <f t="shared" si="39"/>
        <v>0</v>
      </c>
      <c r="H139" s="118">
        <f t="shared" si="39"/>
        <v>0</v>
      </c>
      <c r="I139" s="168">
        <f t="shared" si="39"/>
        <v>42997.46</v>
      </c>
      <c r="J139" s="145">
        <f t="shared" si="39"/>
        <v>0</v>
      </c>
      <c r="K139" s="118">
        <f t="shared" si="39"/>
        <v>0</v>
      </c>
      <c r="L139" s="168">
        <f t="shared" si="39"/>
        <v>42997.46</v>
      </c>
      <c r="M139" s="117">
        <f t="shared" si="39"/>
        <v>0</v>
      </c>
      <c r="N139" s="117">
        <f t="shared" si="39"/>
        <v>0</v>
      </c>
      <c r="O139" s="117">
        <f t="shared" si="39"/>
        <v>42997.46</v>
      </c>
      <c r="P139" s="117">
        <f t="shared" si="39"/>
        <v>0</v>
      </c>
      <c r="Q139" s="250">
        <f t="shared" si="39"/>
        <v>42997.46</v>
      </c>
    </row>
    <row r="140" spans="1:17" ht="12.75">
      <c r="A140" s="41" t="s">
        <v>56</v>
      </c>
      <c r="B140" s="103"/>
      <c r="C140" s="179">
        <f>SUM(C142:C144)</f>
        <v>32397.46</v>
      </c>
      <c r="D140" s="122">
        <f aca="true" t="shared" si="40" ref="D140:Q140">SUM(D142:D144)</f>
        <v>8600</v>
      </c>
      <c r="E140" s="122">
        <f t="shared" si="40"/>
        <v>0</v>
      </c>
      <c r="F140" s="199">
        <f t="shared" si="40"/>
        <v>40997.46</v>
      </c>
      <c r="G140" s="217">
        <f t="shared" si="40"/>
        <v>0</v>
      </c>
      <c r="H140" s="122">
        <f t="shared" si="40"/>
        <v>0</v>
      </c>
      <c r="I140" s="170">
        <f t="shared" si="40"/>
        <v>40997.46</v>
      </c>
      <c r="J140" s="179">
        <f t="shared" si="40"/>
        <v>0</v>
      </c>
      <c r="K140" s="122">
        <f t="shared" si="40"/>
        <v>0</v>
      </c>
      <c r="L140" s="170">
        <f t="shared" si="40"/>
        <v>40997.46</v>
      </c>
      <c r="M140" s="121">
        <f t="shared" si="40"/>
        <v>0</v>
      </c>
      <c r="N140" s="121">
        <f t="shared" si="40"/>
        <v>0</v>
      </c>
      <c r="O140" s="121">
        <f t="shared" si="40"/>
        <v>40997.46</v>
      </c>
      <c r="P140" s="121">
        <f t="shared" si="40"/>
        <v>0</v>
      </c>
      <c r="Q140" s="252">
        <f t="shared" si="40"/>
        <v>40997.46</v>
      </c>
    </row>
    <row r="141" spans="1:17" ht="12.75">
      <c r="A141" s="37" t="s">
        <v>27</v>
      </c>
      <c r="B141" s="99"/>
      <c r="C141" s="152"/>
      <c r="D141" s="115"/>
      <c r="E141" s="115"/>
      <c r="F141" s="174"/>
      <c r="G141" s="88"/>
      <c r="H141" s="7"/>
      <c r="I141" s="70"/>
      <c r="J141" s="28"/>
      <c r="K141" s="7"/>
      <c r="L141" s="70"/>
      <c r="M141" s="22"/>
      <c r="N141" s="7"/>
      <c r="O141" s="21"/>
      <c r="P141" s="82"/>
      <c r="Q141" s="80"/>
    </row>
    <row r="142" spans="1:17" ht="12.75">
      <c r="A142" s="35" t="s">
        <v>58</v>
      </c>
      <c r="B142" s="99"/>
      <c r="C142" s="152">
        <v>8397.46</v>
      </c>
      <c r="D142" s="115">
        <f>8600</f>
        <v>8600</v>
      </c>
      <c r="E142" s="115"/>
      <c r="F142" s="196">
        <f>C142+D142+E142</f>
        <v>16997.46</v>
      </c>
      <c r="G142" s="88"/>
      <c r="H142" s="7"/>
      <c r="I142" s="74">
        <f>F142+G142+H142</f>
        <v>16997.46</v>
      </c>
      <c r="J142" s="28"/>
      <c r="K142" s="7"/>
      <c r="L142" s="74">
        <f>I142+J142+K142</f>
        <v>16997.46</v>
      </c>
      <c r="M142" s="22"/>
      <c r="N142" s="7"/>
      <c r="O142" s="23">
        <f>L142+M142+N142</f>
        <v>16997.46</v>
      </c>
      <c r="P142" s="82"/>
      <c r="Q142" s="80">
        <f>O142+P142</f>
        <v>16997.46</v>
      </c>
    </row>
    <row r="143" spans="1:17" ht="12.75" hidden="1">
      <c r="A143" s="35" t="s">
        <v>88</v>
      </c>
      <c r="B143" s="99"/>
      <c r="C143" s="152"/>
      <c r="D143" s="115"/>
      <c r="E143" s="115"/>
      <c r="F143" s="196">
        <f>C143+D143+E143</f>
        <v>0</v>
      </c>
      <c r="G143" s="88"/>
      <c r="H143" s="7"/>
      <c r="I143" s="74"/>
      <c r="J143" s="28"/>
      <c r="K143" s="7"/>
      <c r="L143" s="74"/>
      <c r="M143" s="22"/>
      <c r="N143" s="7"/>
      <c r="O143" s="23">
        <f>L143+M143+N143</f>
        <v>0</v>
      </c>
      <c r="P143" s="82"/>
      <c r="Q143" s="80">
        <f>O143+P143</f>
        <v>0</v>
      </c>
    </row>
    <row r="144" spans="1:17" ht="12.75">
      <c r="A144" s="35" t="s">
        <v>90</v>
      </c>
      <c r="B144" s="99"/>
      <c r="C144" s="152">
        <v>24000</v>
      </c>
      <c r="D144" s="115"/>
      <c r="E144" s="115"/>
      <c r="F144" s="196">
        <f>C144+D144+E144</f>
        <v>24000</v>
      </c>
      <c r="G144" s="88"/>
      <c r="H144" s="7"/>
      <c r="I144" s="74">
        <f>F144+G144+H144</f>
        <v>24000</v>
      </c>
      <c r="J144" s="28"/>
      <c r="K144" s="7"/>
      <c r="L144" s="74">
        <f>I144+J144+K144</f>
        <v>24000</v>
      </c>
      <c r="M144" s="22"/>
      <c r="N144" s="7"/>
      <c r="O144" s="23">
        <f>L144+M144+N144</f>
        <v>24000</v>
      </c>
      <c r="P144" s="82"/>
      <c r="Q144" s="80">
        <f>O144+P144</f>
        <v>24000</v>
      </c>
    </row>
    <row r="145" spans="1:17" ht="12.75">
      <c r="A145" s="42" t="s">
        <v>61</v>
      </c>
      <c r="B145" s="103"/>
      <c r="C145" s="181">
        <f>SUM(C147:C150)</f>
        <v>2000</v>
      </c>
      <c r="D145" s="125">
        <f aca="true" t="shared" si="41" ref="D145:Q145">SUM(D147:D150)</f>
        <v>0</v>
      </c>
      <c r="E145" s="125">
        <f t="shared" si="41"/>
        <v>0</v>
      </c>
      <c r="F145" s="201">
        <f t="shared" si="41"/>
        <v>2000</v>
      </c>
      <c r="G145" s="218">
        <f t="shared" si="41"/>
        <v>0</v>
      </c>
      <c r="H145" s="125">
        <f t="shared" si="41"/>
        <v>0</v>
      </c>
      <c r="I145" s="171">
        <f t="shared" si="41"/>
        <v>2000</v>
      </c>
      <c r="J145" s="181">
        <f t="shared" si="41"/>
        <v>0</v>
      </c>
      <c r="K145" s="125">
        <f t="shared" si="41"/>
        <v>0</v>
      </c>
      <c r="L145" s="171">
        <f t="shared" si="41"/>
        <v>2000</v>
      </c>
      <c r="M145" s="124">
        <f t="shared" si="41"/>
        <v>0</v>
      </c>
      <c r="N145" s="124">
        <f t="shared" si="41"/>
        <v>0</v>
      </c>
      <c r="O145" s="124">
        <f t="shared" si="41"/>
        <v>2000</v>
      </c>
      <c r="P145" s="124">
        <f t="shared" si="41"/>
        <v>0</v>
      </c>
      <c r="Q145" s="253">
        <f t="shared" si="41"/>
        <v>2000</v>
      </c>
    </row>
    <row r="146" spans="1:17" ht="12.75">
      <c r="A146" s="33" t="s">
        <v>27</v>
      </c>
      <c r="B146" s="99"/>
      <c r="C146" s="145"/>
      <c r="D146" s="118"/>
      <c r="E146" s="118"/>
      <c r="F146" s="197"/>
      <c r="G146" s="215"/>
      <c r="H146" s="8"/>
      <c r="I146" s="29"/>
      <c r="J146" s="233"/>
      <c r="K146" s="8"/>
      <c r="L146" s="29"/>
      <c r="M146" s="24"/>
      <c r="N146" s="8"/>
      <c r="O146" s="25"/>
      <c r="P146" s="82"/>
      <c r="Q146" s="80"/>
    </row>
    <row r="147" spans="1:17" ht="12.75" hidden="1">
      <c r="A147" s="35" t="s">
        <v>175</v>
      </c>
      <c r="B147" s="99">
        <v>98861</v>
      </c>
      <c r="C147" s="152"/>
      <c r="D147" s="115"/>
      <c r="E147" s="115"/>
      <c r="F147" s="196">
        <f>C147+D147+E147</f>
        <v>0</v>
      </c>
      <c r="G147" s="215"/>
      <c r="H147" s="8"/>
      <c r="I147" s="74"/>
      <c r="J147" s="233"/>
      <c r="K147" s="8"/>
      <c r="L147" s="74"/>
      <c r="M147" s="24"/>
      <c r="N147" s="8"/>
      <c r="O147" s="23">
        <f>L147+M147+N147</f>
        <v>0</v>
      </c>
      <c r="P147" s="82"/>
      <c r="Q147" s="80">
        <f>O147+P147</f>
        <v>0</v>
      </c>
    </row>
    <row r="148" spans="1:17" ht="12.75" hidden="1">
      <c r="A148" s="35" t="s">
        <v>242</v>
      </c>
      <c r="B148" s="99">
        <v>7938</v>
      </c>
      <c r="C148" s="152"/>
      <c r="D148" s="115"/>
      <c r="E148" s="115"/>
      <c r="F148" s="196">
        <f>C148+D148+E148</f>
        <v>0</v>
      </c>
      <c r="G148" s="215"/>
      <c r="H148" s="8"/>
      <c r="I148" s="74"/>
      <c r="J148" s="233"/>
      <c r="K148" s="8"/>
      <c r="L148" s="74"/>
      <c r="M148" s="24"/>
      <c r="N148" s="8"/>
      <c r="O148" s="23"/>
      <c r="P148" s="82"/>
      <c r="Q148" s="80"/>
    </row>
    <row r="149" spans="1:17" ht="12.75" hidden="1">
      <c r="A149" s="35" t="s">
        <v>275</v>
      </c>
      <c r="B149" s="99"/>
      <c r="C149" s="152"/>
      <c r="D149" s="115"/>
      <c r="E149" s="115"/>
      <c r="F149" s="196">
        <f>C149+D149+E149</f>
        <v>0</v>
      </c>
      <c r="G149" s="215"/>
      <c r="H149" s="8"/>
      <c r="I149" s="74"/>
      <c r="J149" s="233"/>
      <c r="K149" s="8"/>
      <c r="L149" s="74"/>
      <c r="M149" s="24"/>
      <c r="N149" s="8"/>
      <c r="O149" s="23"/>
      <c r="P149" s="82"/>
      <c r="Q149" s="80"/>
    </row>
    <row r="150" spans="1:17" ht="12.75">
      <c r="A150" s="46" t="s">
        <v>62</v>
      </c>
      <c r="B150" s="102"/>
      <c r="C150" s="180">
        <v>2000</v>
      </c>
      <c r="D150" s="123"/>
      <c r="E150" s="123"/>
      <c r="F150" s="200">
        <f>C150+D150+E150</f>
        <v>2000</v>
      </c>
      <c r="G150" s="219"/>
      <c r="H150" s="10"/>
      <c r="I150" s="73">
        <f>F150+G150+H150</f>
        <v>2000</v>
      </c>
      <c r="J150" s="234"/>
      <c r="K150" s="10"/>
      <c r="L150" s="73">
        <f>I150+J150+K150</f>
        <v>2000</v>
      </c>
      <c r="M150" s="26"/>
      <c r="N150" s="10"/>
      <c r="O150" s="27">
        <f>L150+M150+N150</f>
        <v>2000</v>
      </c>
      <c r="P150" s="85"/>
      <c r="Q150" s="86">
        <f>O150+P150</f>
        <v>2000</v>
      </c>
    </row>
    <row r="151" spans="1:17" ht="12.75">
      <c r="A151" s="32" t="s">
        <v>298</v>
      </c>
      <c r="B151" s="103"/>
      <c r="C151" s="159">
        <f aca="true" t="shared" si="42" ref="C151:Q151">C152+C166</f>
        <v>4514.7</v>
      </c>
      <c r="D151" s="114">
        <f t="shared" si="42"/>
        <v>137652.71000000002</v>
      </c>
      <c r="E151" s="114">
        <f t="shared" si="42"/>
        <v>392.57</v>
      </c>
      <c r="F151" s="174">
        <f t="shared" si="42"/>
        <v>142559.98</v>
      </c>
      <c r="G151" s="160">
        <f t="shared" si="42"/>
        <v>0</v>
      </c>
      <c r="H151" s="114">
        <f t="shared" si="42"/>
        <v>0</v>
      </c>
      <c r="I151" s="142">
        <f t="shared" si="42"/>
        <v>10121.36</v>
      </c>
      <c r="J151" s="159">
        <f t="shared" si="42"/>
        <v>0</v>
      </c>
      <c r="K151" s="114">
        <f t="shared" si="42"/>
        <v>0</v>
      </c>
      <c r="L151" s="142">
        <f t="shared" si="42"/>
        <v>10121.36</v>
      </c>
      <c r="M151" s="113">
        <f t="shared" si="42"/>
        <v>0</v>
      </c>
      <c r="N151" s="113">
        <f t="shared" si="42"/>
        <v>0</v>
      </c>
      <c r="O151" s="113">
        <f t="shared" si="42"/>
        <v>10121.36</v>
      </c>
      <c r="P151" s="113">
        <f t="shared" si="42"/>
        <v>0</v>
      </c>
      <c r="Q151" s="247">
        <f t="shared" si="42"/>
        <v>10121.36</v>
      </c>
    </row>
    <row r="152" spans="1:17" ht="12.75">
      <c r="A152" s="41" t="s">
        <v>56</v>
      </c>
      <c r="B152" s="103"/>
      <c r="C152" s="179">
        <f aca="true" t="shared" si="43" ref="C152:Q152">SUM(C154:C165)</f>
        <v>4514.7</v>
      </c>
      <c r="D152" s="122">
        <f t="shared" si="43"/>
        <v>23823.28</v>
      </c>
      <c r="E152" s="122">
        <f t="shared" si="43"/>
        <v>392.57</v>
      </c>
      <c r="F152" s="199">
        <f t="shared" si="43"/>
        <v>28730.549999999996</v>
      </c>
      <c r="G152" s="217">
        <f t="shared" si="43"/>
        <v>0</v>
      </c>
      <c r="H152" s="122">
        <f t="shared" si="43"/>
        <v>0</v>
      </c>
      <c r="I152" s="170">
        <f t="shared" si="43"/>
        <v>3966.3599999999997</v>
      </c>
      <c r="J152" s="179">
        <f t="shared" si="43"/>
        <v>0</v>
      </c>
      <c r="K152" s="122">
        <f t="shared" si="43"/>
        <v>0</v>
      </c>
      <c r="L152" s="170">
        <f t="shared" si="43"/>
        <v>3966.3599999999997</v>
      </c>
      <c r="M152" s="121">
        <f t="shared" si="43"/>
        <v>0</v>
      </c>
      <c r="N152" s="121">
        <f t="shared" si="43"/>
        <v>0</v>
      </c>
      <c r="O152" s="121">
        <f t="shared" si="43"/>
        <v>3966.3599999999997</v>
      </c>
      <c r="P152" s="121">
        <f t="shared" si="43"/>
        <v>0</v>
      </c>
      <c r="Q152" s="252">
        <f t="shared" si="43"/>
        <v>3966.3599999999997</v>
      </c>
    </row>
    <row r="153" spans="1:17" ht="12.75">
      <c r="A153" s="33" t="s">
        <v>27</v>
      </c>
      <c r="B153" s="99"/>
      <c r="C153" s="145"/>
      <c r="D153" s="118"/>
      <c r="E153" s="118"/>
      <c r="F153" s="197"/>
      <c r="G153" s="215"/>
      <c r="H153" s="8"/>
      <c r="I153" s="29"/>
      <c r="J153" s="233"/>
      <c r="K153" s="8"/>
      <c r="L153" s="29"/>
      <c r="M153" s="24"/>
      <c r="N153" s="8"/>
      <c r="O153" s="25"/>
      <c r="P153" s="82"/>
      <c r="Q153" s="80"/>
    </row>
    <row r="154" spans="1:17" ht="12.75">
      <c r="A154" s="35" t="s">
        <v>58</v>
      </c>
      <c r="B154" s="99"/>
      <c r="C154" s="152">
        <v>3350.7</v>
      </c>
      <c r="D154" s="115"/>
      <c r="E154" s="115"/>
      <c r="F154" s="196">
        <f aca="true" t="shared" si="44" ref="F154:F165">C154+D154+E154</f>
        <v>3350.7</v>
      </c>
      <c r="G154" s="88"/>
      <c r="H154" s="7"/>
      <c r="I154" s="74">
        <f>F154+G154+H154</f>
        <v>3350.7</v>
      </c>
      <c r="J154" s="232"/>
      <c r="K154" s="7"/>
      <c r="L154" s="74">
        <f>I154+J154+K154</f>
        <v>3350.7</v>
      </c>
      <c r="M154" s="31"/>
      <c r="N154" s="7"/>
      <c r="O154" s="23">
        <f>L154+M154+N154</f>
        <v>3350.7</v>
      </c>
      <c r="P154" s="82"/>
      <c r="Q154" s="80">
        <f>O154+P154</f>
        <v>3350.7</v>
      </c>
    </row>
    <row r="155" spans="1:17" ht="12.75">
      <c r="A155" s="100" t="s">
        <v>307</v>
      </c>
      <c r="B155" s="99">
        <v>2042</v>
      </c>
      <c r="C155" s="152"/>
      <c r="D155" s="115">
        <f>570.11+45.55</f>
        <v>615.66</v>
      </c>
      <c r="E155" s="115"/>
      <c r="F155" s="196">
        <f t="shared" si="44"/>
        <v>615.66</v>
      </c>
      <c r="G155" s="88"/>
      <c r="H155" s="7"/>
      <c r="I155" s="74">
        <f>F155+G155+H155</f>
        <v>615.66</v>
      </c>
      <c r="J155" s="28"/>
      <c r="K155" s="7"/>
      <c r="L155" s="74">
        <f>I155+J155+K155</f>
        <v>615.66</v>
      </c>
      <c r="M155" s="22"/>
      <c r="N155" s="7"/>
      <c r="O155" s="23">
        <f>L155+M155+N155</f>
        <v>615.66</v>
      </c>
      <c r="P155" s="82"/>
      <c r="Q155" s="80">
        <f>O155+P155</f>
        <v>615.66</v>
      </c>
    </row>
    <row r="156" spans="1:17" ht="12.75">
      <c r="A156" s="100" t="s">
        <v>308</v>
      </c>
      <c r="B156" s="99">
        <v>2045</v>
      </c>
      <c r="C156" s="152"/>
      <c r="D156" s="115">
        <f>2123.49</f>
        <v>2123.49</v>
      </c>
      <c r="E156" s="115"/>
      <c r="F156" s="196">
        <f t="shared" si="44"/>
        <v>2123.49</v>
      </c>
      <c r="G156" s="88"/>
      <c r="H156" s="7"/>
      <c r="I156" s="74"/>
      <c r="J156" s="28"/>
      <c r="K156" s="7"/>
      <c r="L156" s="74"/>
      <c r="M156" s="22"/>
      <c r="N156" s="7"/>
      <c r="O156" s="23"/>
      <c r="P156" s="82"/>
      <c r="Q156" s="80"/>
    </row>
    <row r="157" spans="1:17" ht="12.75">
      <c r="A157" s="100" t="s">
        <v>309</v>
      </c>
      <c r="B157" s="99">
        <v>2016</v>
      </c>
      <c r="C157" s="152"/>
      <c r="D157" s="115">
        <f>1476.73</f>
        <v>1476.73</v>
      </c>
      <c r="E157" s="115"/>
      <c r="F157" s="196">
        <f t="shared" si="44"/>
        <v>1476.73</v>
      </c>
      <c r="G157" s="88"/>
      <c r="H157" s="7"/>
      <c r="I157" s="74"/>
      <c r="J157" s="28"/>
      <c r="K157" s="7"/>
      <c r="L157" s="74"/>
      <c r="M157" s="22"/>
      <c r="N157" s="7"/>
      <c r="O157" s="23"/>
      <c r="P157" s="82"/>
      <c r="Q157" s="80"/>
    </row>
    <row r="158" spans="1:17" ht="12.75">
      <c r="A158" s="100" t="s">
        <v>310</v>
      </c>
      <c r="B158" s="99">
        <v>2057</v>
      </c>
      <c r="C158" s="152"/>
      <c r="D158" s="115">
        <f>464.67</f>
        <v>464.67</v>
      </c>
      <c r="E158" s="115"/>
      <c r="F158" s="196">
        <f t="shared" si="44"/>
        <v>464.67</v>
      </c>
      <c r="G158" s="88"/>
      <c r="H158" s="7"/>
      <c r="I158" s="74"/>
      <c r="J158" s="28"/>
      <c r="K158" s="7"/>
      <c r="L158" s="74"/>
      <c r="M158" s="22"/>
      <c r="N158" s="7"/>
      <c r="O158" s="23"/>
      <c r="P158" s="82"/>
      <c r="Q158" s="80"/>
    </row>
    <row r="159" spans="1:17" ht="12.75">
      <c r="A159" s="44" t="s">
        <v>311</v>
      </c>
      <c r="B159" s="99">
        <v>2064</v>
      </c>
      <c r="C159" s="152"/>
      <c r="D159" s="115">
        <f>2583.81</f>
        <v>2583.81</v>
      </c>
      <c r="E159" s="115"/>
      <c r="F159" s="196">
        <f t="shared" si="44"/>
        <v>2583.81</v>
      </c>
      <c r="G159" s="88"/>
      <c r="H159" s="7"/>
      <c r="I159" s="74"/>
      <c r="J159" s="28"/>
      <c r="K159" s="7"/>
      <c r="L159" s="74"/>
      <c r="M159" s="22"/>
      <c r="N159" s="7"/>
      <c r="O159" s="23"/>
      <c r="P159" s="82"/>
      <c r="Q159" s="80"/>
    </row>
    <row r="160" spans="1:17" ht="12.75">
      <c r="A160" s="100" t="s">
        <v>302</v>
      </c>
      <c r="B160" s="99"/>
      <c r="C160" s="152"/>
      <c r="D160" s="115">
        <f>1017.81</f>
        <v>1017.81</v>
      </c>
      <c r="E160" s="115"/>
      <c r="F160" s="196">
        <f t="shared" si="44"/>
        <v>1017.81</v>
      </c>
      <c r="G160" s="88"/>
      <c r="H160" s="7"/>
      <c r="I160" s="74"/>
      <c r="J160" s="28"/>
      <c r="K160" s="7"/>
      <c r="L160" s="74"/>
      <c r="M160" s="22"/>
      <c r="N160" s="7"/>
      <c r="O160" s="23"/>
      <c r="P160" s="82"/>
      <c r="Q160" s="80"/>
    </row>
    <row r="161" spans="1:17" ht="12.75">
      <c r="A161" s="44" t="s">
        <v>329</v>
      </c>
      <c r="B161" s="99">
        <v>2067</v>
      </c>
      <c r="C161" s="152"/>
      <c r="D161" s="115">
        <f>918.88</f>
        <v>918.88</v>
      </c>
      <c r="E161" s="115"/>
      <c r="F161" s="196">
        <f t="shared" si="44"/>
        <v>918.88</v>
      </c>
      <c r="G161" s="88"/>
      <c r="H161" s="7"/>
      <c r="I161" s="74"/>
      <c r="J161" s="28"/>
      <c r="K161" s="7"/>
      <c r="L161" s="74"/>
      <c r="M161" s="22"/>
      <c r="N161" s="7"/>
      <c r="O161" s="23"/>
      <c r="P161" s="82"/>
      <c r="Q161" s="80"/>
    </row>
    <row r="162" spans="1:17" ht="12.75">
      <c r="A162" s="44" t="s">
        <v>330</v>
      </c>
      <c r="B162" s="99">
        <v>2074</v>
      </c>
      <c r="C162" s="152"/>
      <c r="D162" s="115">
        <f>2007.86</f>
        <v>2007.86</v>
      </c>
      <c r="E162" s="115"/>
      <c r="F162" s="196">
        <f t="shared" si="44"/>
        <v>2007.86</v>
      </c>
      <c r="G162" s="88"/>
      <c r="H162" s="7"/>
      <c r="I162" s="74"/>
      <c r="J162" s="28"/>
      <c r="K162" s="7"/>
      <c r="L162" s="74"/>
      <c r="M162" s="22"/>
      <c r="N162" s="7"/>
      <c r="O162" s="23"/>
      <c r="P162" s="82"/>
      <c r="Q162" s="80"/>
    </row>
    <row r="163" spans="1:17" ht="12.75">
      <c r="A163" s="100" t="s">
        <v>312</v>
      </c>
      <c r="B163" s="99"/>
      <c r="C163" s="152"/>
      <c r="D163" s="115">
        <f>7.72</f>
        <v>7.72</v>
      </c>
      <c r="E163" s="115"/>
      <c r="F163" s="196">
        <f t="shared" si="44"/>
        <v>7.72</v>
      </c>
      <c r="G163" s="88"/>
      <c r="H163" s="7"/>
      <c r="I163" s="74"/>
      <c r="J163" s="28"/>
      <c r="K163" s="7"/>
      <c r="L163" s="74"/>
      <c r="M163" s="22"/>
      <c r="N163" s="7"/>
      <c r="O163" s="23"/>
      <c r="P163" s="82"/>
      <c r="Q163" s="80"/>
    </row>
    <row r="164" spans="1:17" ht="12.75" hidden="1">
      <c r="A164" s="100" t="s">
        <v>313</v>
      </c>
      <c r="B164" s="99">
        <v>2058</v>
      </c>
      <c r="C164" s="152"/>
      <c r="D164" s="115"/>
      <c r="E164" s="115"/>
      <c r="F164" s="196">
        <f t="shared" si="44"/>
        <v>0</v>
      </c>
      <c r="G164" s="88"/>
      <c r="H164" s="7"/>
      <c r="I164" s="74"/>
      <c r="J164" s="28"/>
      <c r="K164" s="7"/>
      <c r="L164" s="74"/>
      <c r="M164" s="22"/>
      <c r="N164" s="7"/>
      <c r="O164" s="23"/>
      <c r="P164" s="82"/>
      <c r="Q164" s="80"/>
    </row>
    <row r="165" spans="1:17" ht="12.75">
      <c r="A165" s="35" t="s">
        <v>88</v>
      </c>
      <c r="B165" s="99"/>
      <c r="C165" s="152">
        <v>1164</v>
      </c>
      <c r="D165" s="115">
        <f>140.48+264.99+1361.51+3061.14+262.21+4051.42+105+3357.5+2.4</f>
        <v>12606.65</v>
      </c>
      <c r="E165" s="115">
        <f>392.57</f>
        <v>392.57</v>
      </c>
      <c r="F165" s="196">
        <f t="shared" si="44"/>
        <v>14163.22</v>
      </c>
      <c r="G165" s="88"/>
      <c r="H165" s="7"/>
      <c r="I165" s="74"/>
      <c r="J165" s="28"/>
      <c r="K165" s="7"/>
      <c r="L165" s="74"/>
      <c r="M165" s="22"/>
      <c r="N165" s="7"/>
      <c r="O165" s="23"/>
      <c r="P165" s="82"/>
      <c r="Q165" s="80"/>
    </row>
    <row r="166" spans="1:17" ht="12.75">
      <c r="A166" s="42" t="s">
        <v>61</v>
      </c>
      <c r="B166" s="103"/>
      <c r="C166" s="181">
        <f>SUM(C168:C173)</f>
        <v>0</v>
      </c>
      <c r="D166" s="125">
        <f aca="true" t="shared" si="45" ref="D166:Q166">SUM(D168:D173)</f>
        <v>113829.43000000001</v>
      </c>
      <c r="E166" s="125">
        <f t="shared" si="45"/>
        <v>0</v>
      </c>
      <c r="F166" s="201">
        <f t="shared" si="45"/>
        <v>113829.43000000001</v>
      </c>
      <c r="G166" s="218">
        <f t="shared" si="45"/>
        <v>0</v>
      </c>
      <c r="H166" s="125">
        <f t="shared" si="45"/>
        <v>0</v>
      </c>
      <c r="I166" s="171">
        <f t="shared" si="45"/>
        <v>6155</v>
      </c>
      <c r="J166" s="181">
        <f t="shared" si="45"/>
        <v>0</v>
      </c>
      <c r="K166" s="125">
        <f t="shared" si="45"/>
        <v>0</v>
      </c>
      <c r="L166" s="171">
        <f t="shared" si="45"/>
        <v>6155</v>
      </c>
      <c r="M166" s="124">
        <f t="shared" si="45"/>
        <v>0</v>
      </c>
      <c r="N166" s="124">
        <f t="shared" si="45"/>
        <v>0</v>
      </c>
      <c r="O166" s="124">
        <f t="shared" si="45"/>
        <v>6155</v>
      </c>
      <c r="P166" s="124">
        <f t="shared" si="45"/>
        <v>0</v>
      </c>
      <c r="Q166" s="253">
        <f t="shared" si="45"/>
        <v>6155</v>
      </c>
    </row>
    <row r="167" spans="1:17" ht="12.75">
      <c r="A167" s="44" t="s">
        <v>27</v>
      </c>
      <c r="B167" s="99"/>
      <c r="C167" s="152"/>
      <c r="D167" s="115"/>
      <c r="E167" s="115"/>
      <c r="F167" s="196"/>
      <c r="G167" s="88"/>
      <c r="H167" s="7"/>
      <c r="I167" s="74"/>
      <c r="J167" s="28"/>
      <c r="K167" s="7"/>
      <c r="L167" s="74"/>
      <c r="M167" s="22"/>
      <c r="N167" s="7"/>
      <c r="O167" s="23"/>
      <c r="P167" s="82"/>
      <c r="Q167" s="80"/>
    </row>
    <row r="168" spans="1:17" ht="12.75">
      <c r="A168" s="100" t="s">
        <v>314</v>
      </c>
      <c r="B168" s="99">
        <v>2057</v>
      </c>
      <c r="C168" s="152"/>
      <c r="D168" s="115">
        <f>5228</f>
        <v>5228</v>
      </c>
      <c r="E168" s="115"/>
      <c r="F168" s="196">
        <f aca="true" t="shared" si="46" ref="F168:F173">C168+D168+E168</f>
        <v>5228</v>
      </c>
      <c r="G168" s="88"/>
      <c r="H168" s="7"/>
      <c r="I168" s="74">
        <f>F168+G168+H168</f>
        <v>5228</v>
      </c>
      <c r="J168" s="28"/>
      <c r="K168" s="7"/>
      <c r="L168" s="74">
        <f>I168+J168+K168</f>
        <v>5228</v>
      </c>
      <c r="M168" s="22"/>
      <c r="N168" s="7"/>
      <c r="O168" s="23">
        <f>L168+M168+N168</f>
        <v>5228</v>
      </c>
      <c r="P168" s="82"/>
      <c r="Q168" s="80">
        <f aca="true" t="shared" si="47" ref="Q168:Q219">O168+P168</f>
        <v>5228</v>
      </c>
    </row>
    <row r="169" spans="1:17" ht="12.75">
      <c r="A169" s="44" t="s">
        <v>311</v>
      </c>
      <c r="B169" s="99">
        <v>2064</v>
      </c>
      <c r="C169" s="152"/>
      <c r="D169" s="115">
        <v>77636.19</v>
      </c>
      <c r="E169" s="115"/>
      <c r="F169" s="196">
        <f t="shared" si="46"/>
        <v>77636.19</v>
      </c>
      <c r="G169" s="88"/>
      <c r="H169" s="7"/>
      <c r="I169" s="74"/>
      <c r="J169" s="28"/>
      <c r="K169" s="7"/>
      <c r="L169" s="74"/>
      <c r="M169" s="22"/>
      <c r="N169" s="7"/>
      <c r="O169" s="23"/>
      <c r="P169" s="82"/>
      <c r="Q169" s="80"/>
    </row>
    <row r="170" spans="1:17" ht="12.75">
      <c r="A170" s="100" t="s">
        <v>302</v>
      </c>
      <c r="B170" s="99"/>
      <c r="C170" s="152"/>
      <c r="D170" s="115">
        <f>30038.24</f>
        <v>30038.24</v>
      </c>
      <c r="E170" s="115"/>
      <c r="F170" s="196">
        <f t="shared" si="46"/>
        <v>30038.24</v>
      </c>
      <c r="G170" s="88"/>
      <c r="H170" s="7"/>
      <c r="I170" s="74"/>
      <c r="J170" s="28"/>
      <c r="K170" s="7"/>
      <c r="L170" s="74"/>
      <c r="M170" s="22"/>
      <c r="N170" s="7"/>
      <c r="O170" s="23"/>
      <c r="P170" s="82"/>
      <c r="Q170" s="80"/>
    </row>
    <row r="171" spans="1:17" ht="12.75" hidden="1">
      <c r="A171" s="35" t="s">
        <v>76</v>
      </c>
      <c r="B171" s="99"/>
      <c r="C171" s="152"/>
      <c r="D171" s="115"/>
      <c r="E171" s="115"/>
      <c r="F171" s="196">
        <f t="shared" si="46"/>
        <v>0</v>
      </c>
      <c r="G171" s="88"/>
      <c r="H171" s="7"/>
      <c r="I171" s="74">
        <f>F171+G171+H171</f>
        <v>0</v>
      </c>
      <c r="J171" s="28"/>
      <c r="K171" s="7"/>
      <c r="L171" s="74">
        <f>I171+J171+K171</f>
        <v>0</v>
      </c>
      <c r="M171" s="22"/>
      <c r="N171" s="7"/>
      <c r="O171" s="23">
        <f>L171+M171+N171</f>
        <v>0</v>
      </c>
      <c r="P171" s="82"/>
      <c r="Q171" s="80">
        <f t="shared" si="47"/>
        <v>0</v>
      </c>
    </row>
    <row r="172" spans="1:17" ht="12.75">
      <c r="A172" s="38" t="s">
        <v>62</v>
      </c>
      <c r="B172" s="102"/>
      <c r="C172" s="180"/>
      <c r="D172" s="123">
        <f>807+120</f>
        <v>927</v>
      </c>
      <c r="E172" s="123"/>
      <c r="F172" s="200">
        <f t="shared" si="46"/>
        <v>927</v>
      </c>
      <c r="G172" s="88"/>
      <c r="H172" s="7"/>
      <c r="I172" s="74">
        <f>F172+G172+H172</f>
        <v>927</v>
      </c>
      <c r="J172" s="28"/>
      <c r="K172" s="7"/>
      <c r="L172" s="74">
        <f>I172+J172+K172</f>
        <v>927</v>
      </c>
      <c r="M172" s="22"/>
      <c r="N172" s="7"/>
      <c r="O172" s="23">
        <f>L172+M172+N172</f>
        <v>927</v>
      </c>
      <c r="P172" s="82"/>
      <c r="Q172" s="80">
        <f t="shared" si="47"/>
        <v>927</v>
      </c>
    </row>
    <row r="173" spans="1:17" ht="12.75" hidden="1">
      <c r="A173" s="38" t="s">
        <v>88</v>
      </c>
      <c r="B173" s="102"/>
      <c r="C173" s="180"/>
      <c r="D173" s="123"/>
      <c r="E173" s="123"/>
      <c r="F173" s="200">
        <f t="shared" si="46"/>
        <v>0</v>
      </c>
      <c r="G173" s="219"/>
      <c r="H173" s="10"/>
      <c r="I173" s="73">
        <f>F173+G173+H173</f>
        <v>0</v>
      </c>
      <c r="J173" s="234"/>
      <c r="K173" s="10"/>
      <c r="L173" s="73">
        <f>I173+J173+K173</f>
        <v>0</v>
      </c>
      <c r="M173" s="26"/>
      <c r="N173" s="10"/>
      <c r="O173" s="27">
        <f>L173+M173+N173</f>
        <v>0</v>
      </c>
      <c r="P173" s="85"/>
      <c r="Q173" s="86">
        <f t="shared" si="47"/>
        <v>0</v>
      </c>
    </row>
    <row r="174" spans="1:17" ht="12.75">
      <c r="A174" s="32" t="s">
        <v>93</v>
      </c>
      <c r="B174" s="103"/>
      <c r="C174" s="159">
        <f aca="true" t="shared" si="48" ref="C174:Q174">C175+C211</f>
        <v>371870.46</v>
      </c>
      <c r="D174" s="114">
        <f t="shared" si="48"/>
        <v>7069090.17</v>
      </c>
      <c r="E174" s="114">
        <f t="shared" si="48"/>
        <v>0</v>
      </c>
      <c r="F174" s="174">
        <f t="shared" si="48"/>
        <v>7440960.630000001</v>
      </c>
      <c r="G174" s="160">
        <f t="shared" si="48"/>
        <v>0</v>
      </c>
      <c r="H174" s="114">
        <f t="shared" si="48"/>
        <v>0</v>
      </c>
      <c r="I174" s="142">
        <f t="shared" si="48"/>
        <v>7289096.880000002</v>
      </c>
      <c r="J174" s="159">
        <f t="shared" si="48"/>
        <v>0</v>
      </c>
      <c r="K174" s="114">
        <f t="shared" si="48"/>
        <v>0</v>
      </c>
      <c r="L174" s="142">
        <f t="shared" si="48"/>
        <v>7289096.880000002</v>
      </c>
      <c r="M174" s="113">
        <f t="shared" si="48"/>
        <v>0</v>
      </c>
      <c r="N174" s="113">
        <f t="shared" si="48"/>
        <v>0</v>
      </c>
      <c r="O174" s="113">
        <f t="shared" si="48"/>
        <v>7289096.880000002</v>
      </c>
      <c r="P174" s="113">
        <f t="shared" si="48"/>
        <v>0</v>
      </c>
      <c r="Q174" s="247">
        <f t="shared" si="48"/>
        <v>7289096.880000002</v>
      </c>
    </row>
    <row r="175" spans="1:17" ht="12.75">
      <c r="A175" s="41" t="s">
        <v>56</v>
      </c>
      <c r="B175" s="103"/>
      <c r="C175" s="179">
        <f aca="true" t="shared" si="49" ref="C175:Q175">SUM(C177:C210)</f>
        <v>371315.46</v>
      </c>
      <c r="D175" s="122">
        <f t="shared" si="49"/>
        <v>7064824.61</v>
      </c>
      <c r="E175" s="122">
        <f t="shared" si="49"/>
        <v>0</v>
      </c>
      <c r="F175" s="199">
        <f t="shared" si="49"/>
        <v>7436140.070000001</v>
      </c>
      <c r="G175" s="217">
        <f t="shared" si="49"/>
        <v>0</v>
      </c>
      <c r="H175" s="122">
        <f t="shared" si="49"/>
        <v>0</v>
      </c>
      <c r="I175" s="170">
        <f t="shared" si="49"/>
        <v>7287292.150000001</v>
      </c>
      <c r="J175" s="179">
        <f t="shared" si="49"/>
        <v>0</v>
      </c>
      <c r="K175" s="122">
        <f t="shared" si="49"/>
        <v>0</v>
      </c>
      <c r="L175" s="170">
        <f t="shared" si="49"/>
        <v>7287292.150000001</v>
      </c>
      <c r="M175" s="121">
        <f t="shared" si="49"/>
        <v>0</v>
      </c>
      <c r="N175" s="121">
        <f t="shared" si="49"/>
        <v>0</v>
      </c>
      <c r="O175" s="121">
        <f t="shared" si="49"/>
        <v>7287292.150000001</v>
      </c>
      <c r="P175" s="121">
        <f t="shared" si="49"/>
        <v>0</v>
      </c>
      <c r="Q175" s="252">
        <f t="shared" si="49"/>
        <v>7287292.150000001</v>
      </c>
    </row>
    <row r="176" spans="1:17" ht="12.75">
      <c r="A176" s="33" t="s">
        <v>27</v>
      </c>
      <c r="B176" s="99"/>
      <c r="C176" s="152"/>
      <c r="D176" s="115"/>
      <c r="E176" s="115"/>
      <c r="F176" s="196"/>
      <c r="G176" s="88"/>
      <c r="H176" s="7"/>
      <c r="I176" s="74"/>
      <c r="J176" s="28"/>
      <c r="K176" s="7"/>
      <c r="L176" s="74"/>
      <c r="M176" s="22"/>
      <c r="N176" s="7"/>
      <c r="O176" s="23"/>
      <c r="P176" s="82"/>
      <c r="Q176" s="80"/>
    </row>
    <row r="177" spans="1:17" ht="12.75">
      <c r="A177" s="39" t="s">
        <v>84</v>
      </c>
      <c r="B177" s="99"/>
      <c r="C177" s="152">
        <v>342145.78</v>
      </c>
      <c r="D177" s="115">
        <f>1000+450+19208.21</f>
        <v>20658.21</v>
      </c>
      <c r="E177" s="115"/>
      <c r="F177" s="196">
        <f aca="true" t="shared" si="50" ref="F177:F210">C177+D177+E177</f>
        <v>362803.99000000005</v>
      </c>
      <c r="G177" s="88"/>
      <c r="H177" s="7"/>
      <c r="I177" s="74">
        <f>F177+G177+H177</f>
        <v>362803.99000000005</v>
      </c>
      <c r="J177" s="28"/>
      <c r="K177" s="7"/>
      <c r="L177" s="74">
        <f>I177+J177+K177</f>
        <v>362803.99000000005</v>
      </c>
      <c r="M177" s="22"/>
      <c r="N177" s="7"/>
      <c r="O177" s="23">
        <f>L177+M177+N177</f>
        <v>362803.99000000005</v>
      </c>
      <c r="P177" s="82"/>
      <c r="Q177" s="80">
        <f t="shared" si="47"/>
        <v>362803.99000000005</v>
      </c>
    </row>
    <row r="178" spans="1:17" ht="12.75">
      <c r="A178" s="39" t="s">
        <v>256</v>
      </c>
      <c r="B178" s="99"/>
      <c r="C178" s="152"/>
      <c r="D178" s="115"/>
      <c r="E178" s="115"/>
      <c r="F178" s="196"/>
      <c r="G178" s="88"/>
      <c r="H178" s="7"/>
      <c r="I178" s="74"/>
      <c r="J178" s="28"/>
      <c r="K178" s="7"/>
      <c r="L178" s="74"/>
      <c r="M178" s="22"/>
      <c r="N178" s="7"/>
      <c r="O178" s="23"/>
      <c r="P178" s="82"/>
      <c r="Q178" s="80"/>
    </row>
    <row r="179" spans="1:17" ht="12.75">
      <c r="A179" s="39" t="s">
        <v>94</v>
      </c>
      <c r="B179" s="99">
        <v>33353</v>
      </c>
      <c r="C179" s="152"/>
      <c r="D179" s="126">
        <f>2051533.29</f>
        <v>2051533.29</v>
      </c>
      <c r="E179" s="115"/>
      <c r="F179" s="196">
        <f t="shared" si="50"/>
        <v>2051533.29</v>
      </c>
      <c r="G179" s="88"/>
      <c r="H179" s="7"/>
      <c r="I179" s="74">
        <f aca="true" t="shared" si="51" ref="I179:I210">F179+G179+H179</f>
        <v>2051533.29</v>
      </c>
      <c r="J179" s="28"/>
      <c r="K179" s="7"/>
      <c r="L179" s="74">
        <f aca="true" t="shared" si="52" ref="L179:L210">I179+J179+K179</f>
        <v>2051533.29</v>
      </c>
      <c r="M179" s="22"/>
      <c r="N179" s="7"/>
      <c r="O179" s="23">
        <f aca="true" t="shared" si="53" ref="O179:O210">L179+M179+N179</f>
        <v>2051533.29</v>
      </c>
      <c r="P179" s="82"/>
      <c r="Q179" s="80">
        <f t="shared" si="47"/>
        <v>2051533.29</v>
      </c>
    </row>
    <row r="180" spans="1:19" ht="12.75">
      <c r="A180" s="39" t="s">
        <v>96</v>
      </c>
      <c r="B180" s="99">
        <v>33353</v>
      </c>
      <c r="C180" s="152"/>
      <c r="D180" s="126">
        <f>4745059.11</f>
        <v>4745059.11</v>
      </c>
      <c r="E180" s="115"/>
      <c r="F180" s="196">
        <f t="shared" si="50"/>
        <v>4745059.11</v>
      </c>
      <c r="G180" s="88"/>
      <c r="H180" s="7"/>
      <c r="I180" s="74">
        <f t="shared" si="51"/>
        <v>4745059.11</v>
      </c>
      <c r="J180" s="28"/>
      <c r="K180" s="7"/>
      <c r="L180" s="74">
        <f t="shared" si="52"/>
        <v>4745059.11</v>
      </c>
      <c r="M180" s="22"/>
      <c r="N180" s="7"/>
      <c r="O180" s="23">
        <f t="shared" si="53"/>
        <v>4745059.11</v>
      </c>
      <c r="P180" s="82"/>
      <c r="Q180" s="80">
        <f t="shared" si="47"/>
        <v>4745059.11</v>
      </c>
      <c r="S180" s="71"/>
    </row>
    <row r="181" spans="1:17" ht="12.75">
      <c r="A181" s="39" t="s">
        <v>95</v>
      </c>
      <c r="B181" s="99">
        <v>33155</v>
      </c>
      <c r="C181" s="152"/>
      <c r="D181" s="126">
        <f>82582.99</f>
        <v>82582.99</v>
      </c>
      <c r="E181" s="115"/>
      <c r="F181" s="196">
        <f t="shared" si="50"/>
        <v>82582.99</v>
      </c>
      <c r="G181" s="88"/>
      <c r="H181" s="7"/>
      <c r="I181" s="74">
        <f t="shared" si="51"/>
        <v>82582.99</v>
      </c>
      <c r="J181" s="28"/>
      <c r="K181" s="7"/>
      <c r="L181" s="74">
        <f t="shared" si="52"/>
        <v>82582.99</v>
      </c>
      <c r="M181" s="22"/>
      <c r="N181" s="7"/>
      <c r="O181" s="23">
        <f t="shared" si="53"/>
        <v>82582.99</v>
      </c>
      <c r="P181" s="82"/>
      <c r="Q181" s="80">
        <f t="shared" si="47"/>
        <v>82582.99</v>
      </c>
    </row>
    <row r="182" spans="1:17" ht="12.75" hidden="1">
      <c r="A182" s="39" t="s">
        <v>97</v>
      </c>
      <c r="B182" s="99" t="s">
        <v>240</v>
      </c>
      <c r="C182" s="152"/>
      <c r="D182" s="115"/>
      <c r="E182" s="115"/>
      <c r="F182" s="196">
        <f t="shared" si="50"/>
        <v>0</v>
      </c>
      <c r="G182" s="88"/>
      <c r="H182" s="7"/>
      <c r="I182" s="74">
        <f t="shared" si="51"/>
        <v>0</v>
      </c>
      <c r="J182" s="28"/>
      <c r="K182" s="7"/>
      <c r="L182" s="74">
        <f t="shared" si="52"/>
        <v>0</v>
      </c>
      <c r="M182" s="22"/>
      <c r="N182" s="7"/>
      <c r="O182" s="23">
        <f t="shared" si="53"/>
        <v>0</v>
      </c>
      <c r="P182" s="82"/>
      <c r="Q182" s="80">
        <f t="shared" si="47"/>
        <v>0</v>
      </c>
    </row>
    <row r="183" spans="1:17" ht="12.75" hidden="1">
      <c r="A183" s="39" t="s">
        <v>152</v>
      </c>
      <c r="B183" s="99"/>
      <c r="C183" s="152"/>
      <c r="D183" s="115"/>
      <c r="E183" s="115"/>
      <c r="F183" s="196">
        <f t="shared" si="50"/>
        <v>0</v>
      </c>
      <c r="G183" s="88"/>
      <c r="H183" s="7"/>
      <c r="I183" s="74">
        <f t="shared" si="51"/>
        <v>0</v>
      </c>
      <c r="J183" s="28"/>
      <c r="K183" s="7"/>
      <c r="L183" s="74">
        <f t="shared" si="52"/>
        <v>0</v>
      </c>
      <c r="M183" s="22"/>
      <c r="N183" s="7"/>
      <c r="O183" s="23">
        <f t="shared" si="53"/>
        <v>0</v>
      </c>
      <c r="P183" s="82"/>
      <c r="Q183" s="80">
        <f t="shared" si="47"/>
        <v>0</v>
      </c>
    </row>
    <row r="184" spans="1:17" ht="12.75" hidden="1">
      <c r="A184" s="39" t="s">
        <v>236</v>
      </c>
      <c r="B184" s="99">
        <v>33215</v>
      </c>
      <c r="C184" s="152"/>
      <c r="D184" s="115"/>
      <c r="E184" s="115"/>
      <c r="F184" s="196">
        <f t="shared" si="50"/>
        <v>0</v>
      </c>
      <c r="G184" s="88"/>
      <c r="H184" s="7"/>
      <c r="I184" s="74">
        <f t="shared" si="51"/>
        <v>0</v>
      </c>
      <c r="J184" s="28"/>
      <c r="K184" s="7"/>
      <c r="L184" s="74">
        <f t="shared" si="52"/>
        <v>0</v>
      </c>
      <c r="M184" s="22"/>
      <c r="N184" s="7"/>
      <c r="O184" s="23">
        <f t="shared" si="53"/>
        <v>0</v>
      </c>
      <c r="P184" s="82"/>
      <c r="Q184" s="80">
        <f t="shared" si="47"/>
        <v>0</v>
      </c>
    </row>
    <row r="185" spans="1:17" ht="12.75" hidden="1">
      <c r="A185" s="39" t="s">
        <v>237</v>
      </c>
      <c r="B185" s="99">
        <v>33457</v>
      </c>
      <c r="C185" s="152"/>
      <c r="D185" s="115"/>
      <c r="E185" s="115"/>
      <c r="F185" s="196">
        <f t="shared" si="50"/>
        <v>0</v>
      </c>
      <c r="G185" s="88"/>
      <c r="H185" s="7"/>
      <c r="I185" s="74">
        <f t="shared" si="51"/>
        <v>0</v>
      </c>
      <c r="J185" s="28"/>
      <c r="K185" s="7"/>
      <c r="L185" s="74">
        <f t="shared" si="52"/>
        <v>0</v>
      </c>
      <c r="M185" s="22"/>
      <c r="N185" s="7"/>
      <c r="O185" s="23">
        <f t="shared" si="53"/>
        <v>0</v>
      </c>
      <c r="P185" s="82"/>
      <c r="Q185" s="80">
        <f t="shared" si="47"/>
        <v>0</v>
      </c>
    </row>
    <row r="186" spans="1:17" ht="12.75" hidden="1">
      <c r="A186" s="57" t="s">
        <v>216</v>
      </c>
      <c r="B186" s="99">
        <v>33052</v>
      </c>
      <c r="C186" s="152"/>
      <c r="D186" s="115"/>
      <c r="E186" s="115"/>
      <c r="F186" s="196">
        <f t="shared" si="50"/>
        <v>0</v>
      </c>
      <c r="G186" s="88"/>
      <c r="H186" s="7"/>
      <c r="I186" s="74">
        <f t="shared" si="51"/>
        <v>0</v>
      </c>
      <c r="J186" s="28"/>
      <c r="K186" s="7"/>
      <c r="L186" s="74">
        <f t="shared" si="52"/>
        <v>0</v>
      </c>
      <c r="M186" s="22"/>
      <c r="N186" s="7"/>
      <c r="O186" s="23">
        <f t="shared" si="53"/>
        <v>0</v>
      </c>
      <c r="P186" s="82"/>
      <c r="Q186" s="80">
        <f t="shared" si="47"/>
        <v>0</v>
      </c>
    </row>
    <row r="187" spans="1:17" ht="12.75">
      <c r="A187" s="57" t="s">
        <v>321</v>
      </c>
      <c r="B187" s="99">
        <v>33076</v>
      </c>
      <c r="C187" s="152"/>
      <c r="D187" s="115">
        <f>114637.51</f>
        <v>114637.51</v>
      </c>
      <c r="E187" s="115"/>
      <c r="F187" s="196">
        <f t="shared" si="50"/>
        <v>114637.51</v>
      </c>
      <c r="G187" s="88"/>
      <c r="H187" s="7"/>
      <c r="I187" s="74"/>
      <c r="J187" s="28"/>
      <c r="K187" s="7"/>
      <c r="L187" s="74"/>
      <c r="M187" s="22"/>
      <c r="N187" s="7"/>
      <c r="O187" s="23"/>
      <c r="P187" s="82"/>
      <c r="Q187" s="80"/>
    </row>
    <row r="188" spans="1:17" ht="12.75">
      <c r="A188" s="57" t="s">
        <v>257</v>
      </c>
      <c r="B188" s="99">
        <v>33069</v>
      </c>
      <c r="C188" s="152"/>
      <c r="D188" s="115">
        <f>11285.15</f>
        <v>11285.15</v>
      </c>
      <c r="E188" s="115"/>
      <c r="F188" s="196">
        <f t="shared" si="50"/>
        <v>11285.15</v>
      </c>
      <c r="G188" s="88"/>
      <c r="H188" s="7"/>
      <c r="I188" s="74"/>
      <c r="J188" s="28"/>
      <c r="K188" s="7"/>
      <c r="L188" s="74"/>
      <c r="M188" s="22"/>
      <c r="N188" s="7"/>
      <c r="O188" s="23"/>
      <c r="P188" s="82"/>
      <c r="Q188" s="80"/>
    </row>
    <row r="189" spans="1:17" ht="12.75">
      <c r="A189" s="57" t="s">
        <v>297</v>
      </c>
      <c r="B189" s="99">
        <v>33070</v>
      </c>
      <c r="C189" s="152"/>
      <c r="D189" s="115">
        <f>2348.06</f>
        <v>2348.06</v>
      </c>
      <c r="E189" s="115"/>
      <c r="F189" s="196">
        <f t="shared" si="50"/>
        <v>2348.06</v>
      </c>
      <c r="G189" s="88"/>
      <c r="H189" s="7"/>
      <c r="I189" s="74"/>
      <c r="J189" s="28"/>
      <c r="K189" s="7"/>
      <c r="L189" s="74"/>
      <c r="M189" s="22"/>
      <c r="N189" s="7"/>
      <c r="O189" s="23"/>
      <c r="P189" s="82"/>
      <c r="Q189" s="80"/>
    </row>
    <row r="190" spans="1:17" ht="12.75">
      <c r="A190" s="39" t="s">
        <v>289</v>
      </c>
      <c r="B190" s="99">
        <v>33071</v>
      </c>
      <c r="C190" s="152"/>
      <c r="D190" s="115">
        <f>612.5</f>
        <v>612.5</v>
      </c>
      <c r="E190" s="115"/>
      <c r="F190" s="196">
        <f t="shared" si="50"/>
        <v>612.5</v>
      </c>
      <c r="G190" s="88"/>
      <c r="H190" s="7"/>
      <c r="I190" s="74">
        <f t="shared" si="51"/>
        <v>612.5</v>
      </c>
      <c r="J190" s="28"/>
      <c r="K190" s="7"/>
      <c r="L190" s="74">
        <f t="shared" si="52"/>
        <v>612.5</v>
      </c>
      <c r="M190" s="22"/>
      <c r="N190" s="7"/>
      <c r="O190" s="23">
        <f t="shared" si="53"/>
        <v>612.5</v>
      </c>
      <c r="P190" s="82"/>
      <c r="Q190" s="80">
        <f t="shared" si="47"/>
        <v>612.5</v>
      </c>
    </row>
    <row r="191" spans="1:17" ht="12.75" hidden="1">
      <c r="A191" s="39" t="s">
        <v>217</v>
      </c>
      <c r="B191" s="99">
        <v>33050</v>
      </c>
      <c r="C191" s="152"/>
      <c r="D191" s="115"/>
      <c r="E191" s="115"/>
      <c r="F191" s="196">
        <f t="shared" si="50"/>
        <v>0</v>
      </c>
      <c r="G191" s="88"/>
      <c r="H191" s="7"/>
      <c r="I191" s="74"/>
      <c r="J191" s="28"/>
      <c r="K191" s="7"/>
      <c r="L191" s="74">
        <f t="shared" si="52"/>
        <v>0</v>
      </c>
      <c r="M191" s="22"/>
      <c r="N191" s="7"/>
      <c r="O191" s="23">
        <f t="shared" si="53"/>
        <v>0</v>
      </c>
      <c r="P191" s="82"/>
      <c r="Q191" s="80">
        <f t="shared" si="47"/>
        <v>0</v>
      </c>
    </row>
    <row r="192" spans="1:17" ht="12.75" hidden="1">
      <c r="A192" s="39" t="s">
        <v>164</v>
      </c>
      <c r="B192" s="99">
        <v>33435</v>
      </c>
      <c r="C192" s="152"/>
      <c r="D192" s="115"/>
      <c r="E192" s="115"/>
      <c r="F192" s="196">
        <f t="shared" si="50"/>
        <v>0</v>
      </c>
      <c r="G192" s="88"/>
      <c r="H192" s="7"/>
      <c r="I192" s="74">
        <f t="shared" si="51"/>
        <v>0</v>
      </c>
      <c r="J192" s="28"/>
      <c r="K192" s="7"/>
      <c r="L192" s="74">
        <f t="shared" si="52"/>
        <v>0</v>
      </c>
      <c r="M192" s="22"/>
      <c r="N192" s="7"/>
      <c r="O192" s="23">
        <f t="shared" si="53"/>
        <v>0</v>
      </c>
      <c r="P192" s="82"/>
      <c r="Q192" s="80">
        <f t="shared" si="47"/>
        <v>0</v>
      </c>
    </row>
    <row r="193" spans="1:17" ht="12.75" hidden="1">
      <c r="A193" s="39" t="s">
        <v>243</v>
      </c>
      <c r="B193" s="99">
        <v>33049</v>
      </c>
      <c r="C193" s="152"/>
      <c r="D193" s="115"/>
      <c r="E193" s="115"/>
      <c r="F193" s="196">
        <f t="shared" si="50"/>
        <v>0</v>
      </c>
      <c r="G193" s="88"/>
      <c r="H193" s="7"/>
      <c r="I193" s="74"/>
      <c r="J193" s="28"/>
      <c r="K193" s="7"/>
      <c r="L193" s="74"/>
      <c r="M193" s="22"/>
      <c r="N193" s="7"/>
      <c r="O193" s="23"/>
      <c r="P193" s="82"/>
      <c r="Q193" s="80"/>
    </row>
    <row r="194" spans="1:17" ht="12.75" hidden="1">
      <c r="A194" s="39" t="s">
        <v>218</v>
      </c>
      <c r="B194" s="99">
        <v>33044</v>
      </c>
      <c r="C194" s="152"/>
      <c r="D194" s="115"/>
      <c r="E194" s="115"/>
      <c r="F194" s="196">
        <f t="shared" si="50"/>
        <v>0</v>
      </c>
      <c r="G194" s="88"/>
      <c r="H194" s="7"/>
      <c r="I194" s="74"/>
      <c r="J194" s="28"/>
      <c r="K194" s="7"/>
      <c r="L194" s="74">
        <f t="shared" si="52"/>
        <v>0</v>
      </c>
      <c r="M194" s="22"/>
      <c r="N194" s="7"/>
      <c r="O194" s="23">
        <f t="shared" si="53"/>
        <v>0</v>
      </c>
      <c r="P194" s="82"/>
      <c r="Q194" s="80">
        <f t="shared" si="47"/>
        <v>0</v>
      </c>
    </row>
    <row r="195" spans="1:17" ht="12.75" hidden="1">
      <c r="A195" s="39" t="s">
        <v>224</v>
      </c>
      <c r="B195" s="99">
        <v>33024</v>
      </c>
      <c r="C195" s="152"/>
      <c r="D195" s="115"/>
      <c r="E195" s="115"/>
      <c r="F195" s="196">
        <f t="shared" si="50"/>
        <v>0</v>
      </c>
      <c r="G195" s="88"/>
      <c r="H195" s="7"/>
      <c r="I195" s="74"/>
      <c r="J195" s="28"/>
      <c r="K195" s="7"/>
      <c r="L195" s="74"/>
      <c r="M195" s="22"/>
      <c r="N195" s="7"/>
      <c r="O195" s="23"/>
      <c r="P195" s="82"/>
      <c r="Q195" s="80"/>
    </row>
    <row r="196" spans="1:17" ht="12.75" hidden="1">
      <c r="A196" s="57" t="s">
        <v>169</v>
      </c>
      <c r="B196" s="99">
        <v>33018</v>
      </c>
      <c r="C196" s="152"/>
      <c r="D196" s="115"/>
      <c r="E196" s="115"/>
      <c r="F196" s="196">
        <f t="shared" si="50"/>
        <v>0</v>
      </c>
      <c r="G196" s="88"/>
      <c r="H196" s="7"/>
      <c r="I196" s="74"/>
      <c r="J196" s="28"/>
      <c r="K196" s="7"/>
      <c r="L196" s="74">
        <f t="shared" si="52"/>
        <v>0</v>
      </c>
      <c r="M196" s="22"/>
      <c r="N196" s="7"/>
      <c r="O196" s="23">
        <f t="shared" si="53"/>
        <v>0</v>
      </c>
      <c r="P196" s="82"/>
      <c r="Q196" s="80">
        <f t="shared" si="47"/>
        <v>0</v>
      </c>
    </row>
    <row r="197" spans="1:17" ht="12.75" hidden="1">
      <c r="A197" s="37" t="s">
        <v>170</v>
      </c>
      <c r="B197" s="99"/>
      <c r="C197" s="152"/>
      <c r="D197" s="115"/>
      <c r="E197" s="115"/>
      <c r="F197" s="196">
        <f t="shared" si="50"/>
        <v>0</v>
      </c>
      <c r="G197" s="88"/>
      <c r="H197" s="7"/>
      <c r="I197" s="74"/>
      <c r="J197" s="28"/>
      <c r="K197" s="7"/>
      <c r="L197" s="74">
        <f t="shared" si="52"/>
        <v>0</v>
      </c>
      <c r="M197" s="22"/>
      <c r="N197" s="7"/>
      <c r="O197" s="23">
        <f t="shared" si="53"/>
        <v>0</v>
      </c>
      <c r="P197" s="82"/>
      <c r="Q197" s="80">
        <f t="shared" si="47"/>
        <v>0</v>
      </c>
    </row>
    <row r="198" spans="1:17" ht="12.75" hidden="1">
      <c r="A198" s="57" t="s">
        <v>195</v>
      </c>
      <c r="B198" s="99">
        <v>33160</v>
      </c>
      <c r="C198" s="152"/>
      <c r="D198" s="115"/>
      <c r="E198" s="115"/>
      <c r="F198" s="196">
        <f t="shared" si="50"/>
        <v>0</v>
      </c>
      <c r="G198" s="88"/>
      <c r="H198" s="7"/>
      <c r="I198" s="74">
        <f t="shared" si="51"/>
        <v>0</v>
      </c>
      <c r="J198" s="28"/>
      <c r="K198" s="7"/>
      <c r="L198" s="74">
        <f t="shared" si="52"/>
        <v>0</v>
      </c>
      <c r="M198" s="22"/>
      <c r="N198" s="7"/>
      <c r="O198" s="23">
        <f t="shared" si="53"/>
        <v>0</v>
      </c>
      <c r="P198" s="82"/>
      <c r="Q198" s="80">
        <f t="shared" si="47"/>
        <v>0</v>
      </c>
    </row>
    <row r="199" spans="1:17" ht="12.75" hidden="1">
      <c r="A199" s="39" t="s">
        <v>157</v>
      </c>
      <c r="B199" s="99"/>
      <c r="C199" s="152"/>
      <c r="D199" s="115"/>
      <c r="E199" s="115"/>
      <c r="F199" s="196">
        <f t="shared" si="50"/>
        <v>0</v>
      </c>
      <c r="G199" s="88"/>
      <c r="H199" s="7"/>
      <c r="I199" s="74">
        <f t="shared" si="51"/>
        <v>0</v>
      </c>
      <c r="J199" s="28"/>
      <c r="K199" s="7"/>
      <c r="L199" s="74">
        <f t="shared" si="52"/>
        <v>0</v>
      </c>
      <c r="M199" s="22"/>
      <c r="N199" s="7"/>
      <c r="O199" s="23">
        <f t="shared" si="53"/>
        <v>0</v>
      </c>
      <c r="P199" s="82"/>
      <c r="Q199" s="80">
        <f t="shared" si="47"/>
        <v>0</v>
      </c>
    </row>
    <row r="200" spans="1:17" ht="12.75" hidden="1">
      <c r="A200" s="57" t="s">
        <v>147</v>
      </c>
      <c r="B200" s="99"/>
      <c r="C200" s="152"/>
      <c r="D200" s="115"/>
      <c r="E200" s="115"/>
      <c r="F200" s="196">
        <f t="shared" si="50"/>
        <v>0</v>
      </c>
      <c r="G200" s="88"/>
      <c r="H200" s="7"/>
      <c r="I200" s="74">
        <f t="shared" si="51"/>
        <v>0</v>
      </c>
      <c r="J200" s="28"/>
      <c r="K200" s="7"/>
      <c r="L200" s="74">
        <f t="shared" si="52"/>
        <v>0</v>
      </c>
      <c r="M200" s="22"/>
      <c r="N200" s="7"/>
      <c r="O200" s="23">
        <f t="shared" si="53"/>
        <v>0</v>
      </c>
      <c r="P200" s="82"/>
      <c r="Q200" s="80">
        <f t="shared" si="47"/>
        <v>0</v>
      </c>
    </row>
    <row r="201" spans="1:17" ht="12.75" hidden="1">
      <c r="A201" s="57" t="s">
        <v>156</v>
      </c>
      <c r="B201" s="99"/>
      <c r="C201" s="152"/>
      <c r="D201" s="115"/>
      <c r="E201" s="115"/>
      <c r="F201" s="196">
        <f t="shared" si="50"/>
        <v>0</v>
      </c>
      <c r="G201" s="88"/>
      <c r="H201" s="7"/>
      <c r="I201" s="74">
        <f t="shared" si="51"/>
        <v>0</v>
      </c>
      <c r="J201" s="28"/>
      <c r="K201" s="7"/>
      <c r="L201" s="74">
        <f t="shared" si="52"/>
        <v>0</v>
      </c>
      <c r="M201" s="22"/>
      <c r="N201" s="7"/>
      <c r="O201" s="23">
        <f t="shared" si="53"/>
        <v>0</v>
      </c>
      <c r="P201" s="82"/>
      <c r="Q201" s="80">
        <f t="shared" si="47"/>
        <v>0</v>
      </c>
    </row>
    <row r="202" spans="1:17" ht="12.75" hidden="1">
      <c r="A202" s="39" t="s">
        <v>98</v>
      </c>
      <c r="B202" s="99">
        <v>33025</v>
      </c>
      <c r="C202" s="152"/>
      <c r="D202" s="115"/>
      <c r="E202" s="115"/>
      <c r="F202" s="196">
        <f t="shared" si="50"/>
        <v>0</v>
      </c>
      <c r="G202" s="88"/>
      <c r="H202" s="7"/>
      <c r="I202" s="74">
        <f t="shared" si="51"/>
        <v>0</v>
      </c>
      <c r="J202" s="28"/>
      <c r="K202" s="7"/>
      <c r="L202" s="74">
        <f t="shared" si="52"/>
        <v>0</v>
      </c>
      <c r="M202" s="22"/>
      <c r="N202" s="7"/>
      <c r="O202" s="23">
        <f t="shared" si="53"/>
        <v>0</v>
      </c>
      <c r="P202" s="82"/>
      <c r="Q202" s="80">
        <f t="shared" si="47"/>
        <v>0</v>
      </c>
    </row>
    <row r="203" spans="1:17" ht="12.75" hidden="1">
      <c r="A203" s="39" t="s">
        <v>179</v>
      </c>
      <c r="B203" s="99">
        <v>33038</v>
      </c>
      <c r="C203" s="152"/>
      <c r="D203" s="115"/>
      <c r="E203" s="115"/>
      <c r="F203" s="196">
        <f t="shared" si="50"/>
        <v>0</v>
      </c>
      <c r="G203" s="88"/>
      <c r="H203" s="7"/>
      <c r="I203" s="74">
        <f t="shared" si="51"/>
        <v>0</v>
      </c>
      <c r="J203" s="28"/>
      <c r="K203" s="7"/>
      <c r="L203" s="74">
        <f t="shared" si="52"/>
        <v>0</v>
      </c>
      <c r="M203" s="22"/>
      <c r="N203" s="7"/>
      <c r="O203" s="23">
        <f t="shared" si="53"/>
        <v>0</v>
      </c>
      <c r="P203" s="82"/>
      <c r="Q203" s="80">
        <f t="shared" si="47"/>
        <v>0</v>
      </c>
    </row>
    <row r="204" spans="1:17" ht="12.75">
      <c r="A204" s="39" t="s">
        <v>322</v>
      </c>
      <c r="B204" s="99">
        <v>33063</v>
      </c>
      <c r="C204" s="152"/>
      <c r="D204" s="115">
        <f>445.26+568.9+104.38+1500</f>
        <v>2618.54</v>
      </c>
      <c r="E204" s="115"/>
      <c r="F204" s="196">
        <f t="shared" si="50"/>
        <v>2618.54</v>
      </c>
      <c r="G204" s="88"/>
      <c r="H204" s="7"/>
      <c r="I204" s="74"/>
      <c r="J204" s="28"/>
      <c r="K204" s="7"/>
      <c r="L204" s="74"/>
      <c r="M204" s="22"/>
      <c r="N204" s="7"/>
      <c r="O204" s="23"/>
      <c r="P204" s="82"/>
      <c r="Q204" s="80"/>
    </row>
    <row r="205" spans="1:17" ht="12.75" hidden="1">
      <c r="A205" s="39" t="s">
        <v>303</v>
      </c>
      <c r="B205" s="99" t="s">
        <v>304</v>
      </c>
      <c r="C205" s="152"/>
      <c r="D205" s="115"/>
      <c r="E205" s="115"/>
      <c r="F205" s="196">
        <f t="shared" si="50"/>
        <v>0</v>
      </c>
      <c r="G205" s="88"/>
      <c r="H205" s="7"/>
      <c r="I205" s="74"/>
      <c r="J205" s="28"/>
      <c r="K205" s="7"/>
      <c r="L205" s="74"/>
      <c r="M205" s="22"/>
      <c r="N205" s="7"/>
      <c r="O205" s="23"/>
      <c r="P205" s="82"/>
      <c r="Q205" s="80"/>
    </row>
    <row r="206" spans="1:17" ht="12.75">
      <c r="A206" s="39" t="s">
        <v>315</v>
      </c>
      <c r="B206" s="99">
        <v>2054</v>
      </c>
      <c r="C206" s="152"/>
      <c r="D206" s="115">
        <f>858.66</f>
        <v>858.66</v>
      </c>
      <c r="E206" s="115"/>
      <c r="F206" s="196">
        <f t="shared" si="50"/>
        <v>858.66</v>
      </c>
      <c r="G206" s="88"/>
      <c r="H206" s="7"/>
      <c r="I206" s="74"/>
      <c r="J206" s="28"/>
      <c r="K206" s="7"/>
      <c r="L206" s="74"/>
      <c r="M206" s="22"/>
      <c r="N206" s="7"/>
      <c r="O206" s="23"/>
      <c r="P206" s="82"/>
      <c r="Q206" s="80"/>
    </row>
    <row r="207" spans="1:17" ht="12.75">
      <c r="A207" s="39" t="s">
        <v>316</v>
      </c>
      <c r="B207" s="99">
        <v>2066</v>
      </c>
      <c r="C207" s="152"/>
      <c r="D207" s="115">
        <f>15.79</f>
        <v>15.79</v>
      </c>
      <c r="E207" s="115"/>
      <c r="F207" s="196">
        <f t="shared" si="50"/>
        <v>15.79</v>
      </c>
      <c r="G207" s="88"/>
      <c r="H207" s="7"/>
      <c r="I207" s="74">
        <f t="shared" si="51"/>
        <v>15.79</v>
      </c>
      <c r="J207" s="28"/>
      <c r="K207" s="7"/>
      <c r="L207" s="74">
        <f t="shared" si="52"/>
        <v>15.79</v>
      </c>
      <c r="M207" s="22"/>
      <c r="N207" s="7"/>
      <c r="O207" s="23">
        <f t="shared" si="53"/>
        <v>15.79</v>
      </c>
      <c r="P207" s="82"/>
      <c r="Q207" s="80">
        <f t="shared" si="47"/>
        <v>15.79</v>
      </c>
    </row>
    <row r="208" spans="1:17" ht="12.75">
      <c r="A208" s="39" t="s">
        <v>335</v>
      </c>
      <c r="B208" s="99"/>
      <c r="C208" s="152"/>
      <c r="D208" s="115">
        <f>17100</f>
        <v>17100</v>
      </c>
      <c r="E208" s="115"/>
      <c r="F208" s="196">
        <f t="shared" si="50"/>
        <v>17100</v>
      </c>
      <c r="G208" s="88"/>
      <c r="H208" s="7"/>
      <c r="I208" s="74"/>
      <c r="J208" s="28"/>
      <c r="K208" s="7"/>
      <c r="L208" s="74"/>
      <c r="M208" s="22"/>
      <c r="N208" s="7"/>
      <c r="O208" s="23"/>
      <c r="P208" s="82"/>
      <c r="Q208" s="80"/>
    </row>
    <row r="209" spans="1:17" ht="12.75">
      <c r="A209" s="39" t="s">
        <v>87</v>
      </c>
      <c r="B209" s="239" t="s">
        <v>300</v>
      </c>
      <c r="C209" s="152"/>
      <c r="D209" s="115">
        <f>2247.75+3424.25+643.14+7183.85</f>
        <v>13498.990000000002</v>
      </c>
      <c r="E209" s="115"/>
      <c r="F209" s="196">
        <f t="shared" si="50"/>
        <v>13498.990000000002</v>
      </c>
      <c r="G209" s="88"/>
      <c r="H209" s="7"/>
      <c r="I209" s="74">
        <f t="shared" si="51"/>
        <v>13498.990000000002</v>
      </c>
      <c r="J209" s="28"/>
      <c r="K209" s="7"/>
      <c r="L209" s="74">
        <f t="shared" si="52"/>
        <v>13498.990000000002</v>
      </c>
      <c r="M209" s="31"/>
      <c r="N209" s="7"/>
      <c r="O209" s="23">
        <f t="shared" si="53"/>
        <v>13498.990000000002</v>
      </c>
      <c r="P209" s="82"/>
      <c r="Q209" s="80">
        <f t="shared" si="47"/>
        <v>13498.990000000002</v>
      </c>
    </row>
    <row r="210" spans="1:17" ht="12.75">
      <c r="A210" s="39" t="s">
        <v>58</v>
      </c>
      <c r="B210" s="99"/>
      <c r="C210" s="152">
        <v>29169.68</v>
      </c>
      <c r="D210" s="115">
        <f>830.69+17566-16380.88</f>
        <v>2015.8099999999995</v>
      </c>
      <c r="E210" s="115"/>
      <c r="F210" s="196">
        <f t="shared" si="50"/>
        <v>31185.489999999998</v>
      </c>
      <c r="G210" s="88"/>
      <c r="H210" s="7"/>
      <c r="I210" s="74">
        <f t="shared" si="51"/>
        <v>31185.489999999998</v>
      </c>
      <c r="J210" s="28"/>
      <c r="K210" s="7"/>
      <c r="L210" s="74">
        <f t="shared" si="52"/>
        <v>31185.489999999998</v>
      </c>
      <c r="M210" s="31"/>
      <c r="N210" s="7"/>
      <c r="O210" s="23">
        <f t="shared" si="53"/>
        <v>31185.489999999998</v>
      </c>
      <c r="P210" s="82"/>
      <c r="Q210" s="80">
        <f t="shared" si="47"/>
        <v>31185.489999999998</v>
      </c>
    </row>
    <row r="211" spans="1:17" ht="12.75">
      <c r="A211" s="42" t="s">
        <v>61</v>
      </c>
      <c r="B211" s="103"/>
      <c r="C211" s="181">
        <f>SUM(C213:C219)</f>
        <v>555</v>
      </c>
      <c r="D211" s="125">
        <f aca="true" t="shared" si="54" ref="D211:Q211">SUM(D213:D219)</f>
        <v>4265.56</v>
      </c>
      <c r="E211" s="125">
        <f t="shared" si="54"/>
        <v>0</v>
      </c>
      <c r="F211" s="201">
        <f t="shared" si="54"/>
        <v>4820.56</v>
      </c>
      <c r="G211" s="218">
        <f t="shared" si="54"/>
        <v>0</v>
      </c>
      <c r="H211" s="125">
        <f t="shared" si="54"/>
        <v>0</v>
      </c>
      <c r="I211" s="171">
        <f t="shared" si="54"/>
        <v>1804.73</v>
      </c>
      <c r="J211" s="181">
        <f t="shared" si="54"/>
        <v>0</v>
      </c>
      <c r="K211" s="125">
        <f t="shared" si="54"/>
        <v>0</v>
      </c>
      <c r="L211" s="171">
        <f t="shared" si="54"/>
        <v>1804.73</v>
      </c>
      <c r="M211" s="124">
        <f t="shared" si="54"/>
        <v>0</v>
      </c>
      <c r="N211" s="124">
        <f t="shared" si="54"/>
        <v>0</v>
      </c>
      <c r="O211" s="124">
        <f t="shared" si="54"/>
        <v>1804.73</v>
      </c>
      <c r="P211" s="124">
        <f t="shared" si="54"/>
        <v>0</v>
      </c>
      <c r="Q211" s="253">
        <f t="shared" si="54"/>
        <v>1804.73</v>
      </c>
    </row>
    <row r="212" spans="1:17" ht="12.75">
      <c r="A212" s="37" t="s">
        <v>27</v>
      </c>
      <c r="B212" s="99"/>
      <c r="C212" s="152"/>
      <c r="D212" s="115"/>
      <c r="E212" s="115"/>
      <c r="F212" s="196"/>
      <c r="G212" s="88"/>
      <c r="H212" s="7"/>
      <c r="I212" s="70"/>
      <c r="J212" s="28"/>
      <c r="K212" s="7"/>
      <c r="L212" s="70"/>
      <c r="M212" s="22"/>
      <c r="N212" s="7"/>
      <c r="O212" s="21"/>
      <c r="P212" s="82"/>
      <c r="Q212" s="80"/>
    </row>
    <row r="213" spans="1:17" ht="12.75">
      <c r="A213" s="39" t="s">
        <v>99</v>
      </c>
      <c r="B213" s="99"/>
      <c r="C213" s="152">
        <v>555</v>
      </c>
      <c r="D213" s="115">
        <f>434+662.8</f>
        <v>1096.8</v>
      </c>
      <c r="E213" s="115"/>
      <c r="F213" s="196">
        <f aca="true" t="shared" si="55" ref="F213:F219">C213+D213+E213</f>
        <v>1651.8</v>
      </c>
      <c r="G213" s="88"/>
      <c r="H213" s="7"/>
      <c r="I213" s="74">
        <f>F213+G213+H213</f>
        <v>1651.8</v>
      </c>
      <c r="J213" s="28"/>
      <c r="K213" s="7"/>
      <c r="L213" s="74">
        <f>I213+J213+K213</f>
        <v>1651.8</v>
      </c>
      <c r="M213" s="22"/>
      <c r="N213" s="7"/>
      <c r="O213" s="23">
        <f>L213+M213+N213</f>
        <v>1651.8</v>
      </c>
      <c r="P213" s="82"/>
      <c r="Q213" s="80">
        <f t="shared" si="47"/>
        <v>1651.8</v>
      </c>
    </row>
    <row r="214" spans="1:17" ht="12.75" hidden="1">
      <c r="A214" s="39" t="s">
        <v>303</v>
      </c>
      <c r="B214" s="99" t="s">
        <v>305</v>
      </c>
      <c r="C214" s="152"/>
      <c r="D214" s="115"/>
      <c r="E214" s="115"/>
      <c r="F214" s="196">
        <f t="shared" si="55"/>
        <v>0</v>
      </c>
      <c r="G214" s="88"/>
      <c r="H214" s="7"/>
      <c r="I214" s="74"/>
      <c r="J214" s="28"/>
      <c r="K214" s="7"/>
      <c r="L214" s="74"/>
      <c r="M214" s="22"/>
      <c r="N214" s="7"/>
      <c r="O214" s="23"/>
      <c r="P214" s="82"/>
      <c r="Q214" s="80"/>
    </row>
    <row r="215" spans="1:17" ht="12.75">
      <c r="A215" s="39" t="s">
        <v>335</v>
      </c>
      <c r="B215" s="99">
        <v>2066</v>
      </c>
      <c r="C215" s="152"/>
      <c r="D215" s="115">
        <f>3015.83</f>
        <v>3015.83</v>
      </c>
      <c r="E215" s="115"/>
      <c r="F215" s="196">
        <f t="shared" si="55"/>
        <v>3015.83</v>
      </c>
      <c r="G215" s="88"/>
      <c r="H215" s="7"/>
      <c r="I215" s="74"/>
      <c r="J215" s="28"/>
      <c r="K215" s="7"/>
      <c r="L215" s="74"/>
      <c r="M215" s="22"/>
      <c r="N215" s="7"/>
      <c r="O215" s="23"/>
      <c r="P215" s="82"/>
      <c r="Q215" s="80"/>
    </row>
    <row r="216" spans="1:17" ht="12.75" hidden="1">
      <c r="A216" s="39" t="s">
        <v>76</v>
      </c>
      <c r="B216" s="99"/>
      <c r="C216" s="152"/>
      <c r="D216" s="115"/>
      <c r="E216" s="115"/>
      <c r="F216" s="196">
        <f t="shared" si="55"/>
        <v>0</v>
      </c>
      <c r="G216" s="88"/>
      <c r="H216" s="7"/>
      <c r="I216" s="74">
        <f>F216+G216+H216</f>
        <v>0</v>
      </c>
      <c r="J216" s="28"/>
      <c r="K216" s="7"/>
      <c r="L216" s="74">
        <f>I216+J216+K216</f>
        <v>0</v>
      </c>
      <c r="M216" s="22"/>
      <c r="N216" s="7"/>
      <c r="O216" s="23">
        <f>L216+M216+N216</f>
        <v>0</v>
      </c>
      <c r="P216" s="82"/>
      <c r="Q216" s="80">
        <f t="shared" si="47"/>
        <v>0</v>
      </c>
    </row>
    <row r="217" spans="1:17" ht="12.75" hidden="1">
      <c r="A217" s="39" t="s">
        <v>100</v>
      </c>
      <c r="B217" s="99"/>
      <c r="C217" s="152"/>
      <c r="D217" s="115"/>
      <c r="E217" s="115"/>
      <c r="F217" s="196">
        <f t="shared" si="55"/>
        <v>0</v>
      </c>
      <c r="G217" s="88"/>
      <c r="H217" s="7"/>
      <c r="I217" s="74">
        <f>F217+G217+H217</f>
        <v>0</v>
      </c>
      <c r="J217" s="28"/>
      <c r="K217" s="7"/>
      <c r="L217" s="74">
        <f>I217+J217+K217</f>
        <v>0</v>
      </c>
      <c r="M217" s="22"/>
      <c r="N217" s="7"/>
      <c r="O217" s="23">
        <f>L217+M217+N217</f>
        <v>0</v>
      </c>
      <c r="P217" s="82"/>
      <c r="Q217" s="80">
        <f t="shared" si="47"/>
        <v>0</v>
      </c>
    </row>
    <row r="218" spans="1:17" ht="12.75" hidden="1">
      <c r="A218" s="39" t="s">
        <v>62</v>
      </c>
      <c r="B218" s="99"/>
      <c r="C218" s="152"/>
      <c r="D218" s="115"/>
      <c r="E218" s="115"/>
      <c r="F218" s="196">
        <f t="shared" si="55"/>
        <v>0</v>
      </c>
      <c r="G218" s="88"/>
      <c r="H218" s="7"/>
      <c r="I218" s="74">
        <f>F218+G218+H218</f>
        <v>0</v>
      </c>
      <c r="J218" s="28"/>
      <c r="K218" s="9"/>
      <c r="L218" s="74">
        <f>I218+J218+K218</f>
        <v>0</v>
      </c>
      <c r="M218" s="22"/>
      <c r="N218" s="7"/>
      <c r="O218" s="23">
        <f>L218+M218+N218</f>
        <v>0</v>
      </c>
      <c r="P218" s="82"/>
      <c r="Q218" s="80">
        <f t="shared" si="47"/>
        <v>0</v>
      </c>
    </row>
    <row r="219" spans="1:17" ht="12.75">
      <c r="A219" s="46" t="s">
        <v>87</v>
      </c>
      <c r="B219" s="102"/>
      <c r="C219" s="180"/>
      <c r="D219" s="123">
        <f>152.93</f>
        <v>152.93</v>
      </c>
      <c r="E219" s="123"/>
      <c r="F219" s="200">
        <f t="shared" si="55"/>
        <v>152.93</v>
      </c>
      <c r="G219" s="219"/>
      <c r="H219" s="10"/>
      <c r="I219" s="73">
        <f>F219+G219+H219</f>
        <v>152.93</v>
      </c>
      <c r="J219" s="234"/>
      <c r="K219" s="69"/>
      <c r="L219" s="73">
        <f>I219+J219+K219</f>
        <v>152.93</v>
      </c>
      <c r="M219" s="26"/>
      <c r="N219" s="10"/>
      <c r="O219" s="27">
        <f>L219+M219+N219</f>
        <v>152.93</v>
      </c>
      <c r="P219" s="85"/>
      <c r="Q219" s="86">
        <f t="shared" si="47"/>
        <v>152.93</v>
      </c>
    </row>
    <row r="220" spans="1:17" ht="12.75">
      <c r="A220" s="32" t="s">
        <v>101</v>
      </c>
      <c r="B220" s="103"/>
      <c r="C220" s="159">
        <f aca="true" t="shared" si="56" ref="C220:Q220">C221+C232</f>
        <v>563855.9999999999</v>
      </c>
      <c r="D220" s="114">
        <f t="shared" si="56"/>
        <v>30144.68</v>
      </c>
      <c r="E220" s="114">
        <f t="shared" si="56"/>
        <v>0</v>
      </c>
      <c r="F220" s="174">
        <f t="shared" si="56"/>
        <v>594000.6799999999</v>
      </c>
      <c r="G220" s="160">
        <f t="shared" si="56"/>
        <v>0</v>
      </c>
      <c r="H220" s="114">
        <f t="shared" si="56"/>
        <v>0</v>
      </c>
      <c r="I220" s="142">
        <f t="shared" si="56"/>
        <v>456779.18</v>
      </c>
      <c r="J220" s="159">
        <f t="shared" si="56"/>
        <v>0</v>
      </c>
      <c r="K220" s="114">
        <f t="shared" si="56"/>
        <v>0</v>
      </c>
      <c r="L220" s="142">
        <f t="shared" si="56"/>
        <v>456779.18</v>
      </c>
      <c r="M220" s="113">
        <f t="shared" si="56"/>
        <v>0</v>
      </c>
      <c r="N220" s="113">
        <f t="shared" si="56"/>
        <v>0</v>
      </c>
      <c r="O220" s="113">
        <f t="shared" si="56"/>
        <v>456779.18</v>
      </c>
      <c r="P220" s="113">
        <f t="shared" si="56"/>
        <v>0</v>
      </c>
      <c r="Q220" s="247">
        <f t="shared" si="56"/>
        <v>456779.18</v>
      </c>
    </row>
    <row r="221" spans="1:17" ht="12.75">
      <c r="A221" s="41" t="s">
        <v>56</v>
      </c>
      <c r="B221" s="103"/>
      <c r="C221" s="179">
        <f aca="true" t="shared" si="57" ref="C221:Q221">SUM(C223:C231)</f>
        <v>563585.9999999999</v>
      </c>
      <c r="D221" s="122">
        <f t="shared" si="57"/>
        <v>30214.68</v>
      </c>
      <c r="E221" s="122">
        <f t="shared" si="57"/>
        <v>0</v>
      </c>
      <c r="F221" s="199">
        <f t="shared" si="57"/>
        <v>593800.6799999999</v>
      </c>
      <c r="G221" s="217">
        <f t="shared" si="57"/>
        <v>0</v>
      </c>
      <c r="H221" s="122">
        <f t="shared" si="57"/>
        <v>0</v>
      </c>
      <c r="I221" s="170">
        <f t="shared" si="57"/>
        <v>456779.18</v>
      </c>
      <c r="J221" s="179">
        <f t="shared" si="57"/>
        <v>0</v>
      </c>
      <c r="K221" s="122">
        <f t="shared" si="57"/>
        <v>0</v>
      </c>
      <c r="L221" s="170">
        <f t="shared" si="57"/>
        <v>456779.18</v>
      </c>
      <c r="M221" s="121">
        <f t="shared" si="57"/>
        <v>0</v>
      </c>
      <c r="N221" s="121">
        <f t="shared" si="57"/>
        <v>0</v>
      </c>
      <c r="O221" s="121">
        <f t="shared" si="57"/>
        <v>456779.18</v>
      </c>
      <c r="P221" s="121">
        <f t="shared" si="57"/>
        <v>0</v>
      </c>
      <c r="Q221" s="252">
        <f t="shared" si="57"/>
        <v>456779.18</v>
      </c>
    </row>
    <row r="222" spans="1:17" ht="12.75">
      <c r="A222" s="37" t="s">
        <v>27</v>
      </c>
      <c r="B222" s="99"/>
      <c r="C222" s="152"/>
      <c r="D222" s="115"/>
      <c r="E222" s="115"/>
      <c r="F222" s="174"/>
      <c r="G222" s="88"/>
      <c r="H222" s="7"/>
      <c r="I222" s="70"/>
      <c r="J222" s="28"/>
      <c r="K222" s="7"/>
      <c r="L222" s="70"/>
      <c r="M222" s="22"/>
      <c r="N222" s="7"/>
      <c r="O222" s="21"/>
      <c r="P222" s="82"/>
      <c r="Q222" s="80"/>
    </row>
    <row r="223" spans="1:17" ht="12.75">
      <c r="A223" s="34" t="s">
        <v>84</v>
      </c>
      <c r="B223" s="99"/>
      <c r="C223" s="152">
        <v>278140.66</v>
      </c>
      <c r="D223" s="115"/>
      <c r="E223" s="115"/>
      <c r="F223" s="196">
        <f aca="true" t="shared" si="58" ref="F223:F231">C223+D223+E223</f>
        <v>278140.66</v>
      </c>
      <c r="G223" s="88"/>
      <c r="H223" s="7"/>
      <c r="I223" s="74">
        <f aca="true" t="shared" si="59" ref="I223:I231">F223+G223+H223</f>
        <v>278140.66</v>
      </c>
      <c r="J223" s="28"/>
      <c r="K223" s="7"/>
      <c r="L223" s="74">
        <f aca="true" t="shared" si="60" ref="L223:L231">I223+J223+K223</f>
        <v>278140.66</v>
      </c>
      <c r="M223" s="22"/>
      <c r="N223" s="7"/>
      <c r="O223" s="23">
        <f aca="true" t="shared" si="61" ref="O223:O231">L223+M223+N223</f>
        <v>278140.66</v>
      </c>
      <c r="P223" s="82"/>
      <c r="Q223" s="80">
        <f>O223+P223</f>
        <v>278140.66</v>
      </c>
    </row>
    <row r="224" spans="1:17" ht="12.75">
      <c r="A224" s="100" t="s">
        <v>232</v>
      </c>
      <c r="B224" s="99"/>
      <c r="C224" s="152">
        <v>35000</v>
      </c>
      <c r="D224" s="115">
        <f>16021.5</f>
        <v>16021.5</v>
      </c>
      <c r="E224" s="115"/>
      <c r="F224" s="196">
        <f t="shared" si="58"/>
        <v>51021.5</v>
      </c>
      <c r="G224" s="88"/>
      <c r="H224" s="7"/>
      <c r="I224" s="74"/>
      <c r="J224" s="28"/>
      <c r="K224" s="7"/>
      <c r="L224" s="74"/>
      <c r="M224" s="22"/>
      <c r="N224" s="7"/>
      <c r="O224" s="23"/>
      <c r="P224" s="82"/>
      <c r="Q224" s="80"/>
    </row>
    <row r="225" spans="1:17" ht="12.75">
      <c r="A225" s="39" t="s">
        <v>71</v>
      </c>
      <c r="B225" s="99"/>
      <c r="C225" s="152">
        <v>140000</v>
      </c>
      <c r="D225" s="115"/>
      <c r="E225" s="115"/>
      <c r="F225" s="196">
        <f t="shared" si="58"/>
        <v>140000</v>
      </c>
      <c r="G225" s="88"/>
      <c r="H225" s="7"/>
      <c r="I225" s="74">
        <f t="shared" si="59"/>
        <v>140000</v>
      </c>
      <c r="J225" s="28"/>
      <c r="K225" s="7"/>
      <c r="L225" s="74">
        <f t="shared" si="60"/>
        <v>140000</v>
      </c>
      <c r="M225" s="22"/>
      <c r="N225" s="7"/>
      <c r="O225" s="23">
        <f t="shared" si="61"/>
        <v>140000</v>
      </c>
      <c r="P225" s="82"/>
      <c r="Q225" s="80">
        <f>O225+P225</f>
        <v>140000</v>
      </c>
    </row>
    <row r="226" spans="1:17" ht="12.75">
      <c r="A226" s="39" t="s">
        <v>189</v>
      </c>
      <c r="B226" s="99"/>
      <c r="C226" s="152">
        <v>84000</v>
      </c>
      <c r="D226" s="126"/>
      <c r="E226" s="115"/>
      <c r="F226" s="196">
        <f t="shared" si="58"/>
        <v>84000</v>
      </c>
      <c r="G226" s="88"/>
      <c r="H226" s="7"/>
      <c r="I226" s="74"/>
      <c r="J226" s="28"/>
      <c r="K226" s="7"/>
      <c r="L226" s="74"/>
      <c r="M226" s="22"/>
      <c r="N226" s="7"/>
      <c r="O226" s="23"/>
      <c r="P226" s="82"/>
      <c r="Q226" s="80"/>
    </row>
    <row r="227" spans="1:17" ht="12.75">
      <c r="A227" s="39" t="s">
        <v>58</v>
      </c>
      <c r="B227" s="99"/>
      <c r="C227" s="154">
        <v>26445.34</v>
      </c>
      <c r="D227" s="115">
        <f>10799+70+967</f>
        <v>11836</v>
      </c>
      <c r="E227" s="115"/>
      <c r="F227" s="196">
        <f t="shared" si="58"/>
        <v>38281.34</v>
      </c>
      <c r="G227" s="88"/>
      <c r="H227" s="7"/>
      <c r="I227" s="74">
        <f t="shared" si="59"/>
        <v>38281.34</v>
      </c>
      <c r="J227" s="28"/>
      <c r="K227" s="7"/>
      <c r="L227" s="74">
        <f t="shared" si="60"/>
        <v>38281.34</v>
      </c>
      <c r="M227" s="22"/>
      <c r="N227" s="7"/>
      <c r="O227" s="23">
        <f t="shared" si="61"/>
        <v>38281.34</v>
      </c>
      <c r="P227" s="82"/>
      <c r="Q227" s="80">
        <f>O227+P227</f>
        <v>38281.34</v>
      </c>
    </row>
    <row r="228" spans="1:17" ht="12.75" hidden="1">
      <c r="A228" s="39" t="s">
        <v>88</v>
      </c>
      <c r="B228" s="99"/>
      <c r="C228" s="154"/>
      <c r="D228" s="115"/>
      <c r="E228" s="115"/>
      <c r="F228" s="196">
        <f t="shared" si="58"/>
        <v>0</v>
      </c>
      <c r="G228" s="88"/>
      <c r="H228" s="7"/>
      <c r="I228" s="74">
        <f t="shared" si="59"/>
        <v>0</v>
      </c>
      <c r="J228" s="28"/>
      <c r="K228" s="7"/>
      <c r="L228" s="74">
        <f t="shared" si="60"/>
        <v>0</v>
      </c>
      <c r="M228" s="22"/>
      <c r="N228" s="7"/>
      <c r="O228" s="23">
        <f t="shared" si="61"/>
        <v>0</v>
      </c>
      <c r="P228" s="82"/>
      <c r="Q228" s="80">
        <f>O228+P228</f>
        <v>0</v>
      </c>
    </row>
    <row r="229" spans="1:17" ht="12.75">
      <c r="A229" s="39" t="s">
        <v>332</v>
      </c>
      <c r="B229" s="99">
        <v>35018</v>
      </c>
      <c r="C229" s="154"/>
      <c r="D229" s="115">
        <f>2000</f>
        <v>2000</v>
      </c>
      <c r="E229" s="115"/>
      <c r="F229" s="196">
        <f t="shared" si="58"/>
        <v>2000</v>
      </c>
      <c r="G229" s="88"/>
      <c r="H229" s="7"/>
      <c r="I229" s="74"/>
      <c r="J229" s="28"/>
      <c r="K229" s="7"/>
      <c r="L229" s="74"/>
      <c r="M229" s="22"/>
      <c r="N229" s="7"/>
      <c r="O229" s="23"/>
      <c r="P229" s="82"/>
      <c r="Q229" s="80"/>
    </row>
    <row r="230" spans="1:17" ht="12.75">
      <c r="A230" s="39" t="s">
        <v>323</v>
      </c>
      <c r="B230" s="99">
        <v>17051</v>
      </c>
      <c r="C230" s="154"/>
      <c r="D230" s="115">
        <f>19.89+337.29</f>
        <v>357.18</v>
      </c>
      <c r="E230" s="115"/>
      <c r="F230" s="196">
        <f t="shared" si="58"/>
        <v>357.18</v>
      </c>
      <c r="G230" s="88"/>
      <c r="H230" s="7"/>
      <c r="I230" s="74">
        <f t="shared" si="59"/>
        <v>357.18</v>
      </c>
      <c r="J230" s="28"/>
      <c r="K230" s="7"/>
      <c r="L230" s="74">
        <f t="shared" si="60"/>
        <v>357.18</v>
      </c>
      <c r="M230" s="22"/>
      <c r="N230" s="7"/>
      <c r="O230" s="23">
        <f t="shared" si="61"/>
        <v>357.18</v>
      </c>
      <c r="P230" s="82"/>
      <c r="Q230" s="80">
        <f>O230+P230</f>
        <v>357.18</v>
      </c>
    </row>
    <row r="231" spans="1:17" ht="12.75" hidden="1">
      <c r="A231" s="39" t="s">
        <v>102</v>
      </c>
      <c r="B231" s="99"/>
      <c r="C231" s="152"/>
      <c r="D231" s="115"/>
      <c r="E231" s="115"/>
      <c r="F231" s="196">
        <f t="shared" si="58"/>
        <v>0</v>
      </c>
      <c r="G231" s="88"/>
      <c r="H231" s="7"/>
      <c r="I231" s="74">
        <f t="shared" si="59"/>
        <v>0</v>
      </c>
      <c r="J231" s="28"/>
      <c r="K231" s="7"/>
      <c r="L231" s="74">
        <f t="shared" si="60"/>
        <v>0</v>
      </c>
      <c r="M231" s="22"/>
      <c r="N231" s="7"/>
      <c r="O231" s="23">
        <f t="shared" si="61"/>
        <v>0</v>
      </c>
      <c r="P231" s="82"/>
      <c r="Q231" s="80">
        <f>O231+P231</f>
        <v>0</v>
      </c>
    </row>
    <row r="232" spans="1:17" ht="12.75">
      <c r="A232" s="41" t="s">
        <v>61</v>
      </c>
      <c r="B232" s="103"/>
      <c r="C232" s="179">
        <f>SUM(C234:C238)</f>
        <v>270</v>
      </c>
      <c r="D232" s="122">
        <f aca="true" t="shared" si="62" ref="D232:Q232">SUM(D234:D238)</f>
        <v>-70</v>
      </c>
      <c r="E232" s="122">
        <f t="shared" si="62"/>
        <v>0</v>
      </c>
      <c r="F232" s="199">
        <f t="shared" si="62"/>
        <v>200</v>
      </c>
      <c r="G232" s="217">
        <f t="shared" si="62"/>
        <v>0</v>
      </c>
      <c r="H232" s="122">
        <f t="shared" si="62"/>
        <v>0</v>
      </c>
      <c r="I232" s="170">
        <f t="shared" si="62"/>
        <v>0</v>
      </c>
      <c r="J232" s="179">
        <f t="shared" si="62"/>
        <v>0</v>
      </c>
      <c r="K232" s="122">
        <f t="shared" si="62"/>
        <v>0</v>
      </c>
      <c r="L232" s="170">
        <f t="shared" si="62"/>
        <v>0</v>
      </c>
      <c r="M232" s="121">
        <f t="shared" si="62"/>
        <v>0</v>
      </c>
      <c r="N232" s="121">
        <f t="shared" si="62"/>
        <v>0</v>
      </c>
      <c r="O232" s="121">
        <f t="shared" si="62"/>
        <v>0</v>
      </c>
      <c r="P232" s="121">
        <f t="shared" si="62"/>
        <v>0</v>
      </c>
      <c r="Q232" s="252">
        <f t="shared" si="62"/>
        <v>0</v>
      </c>
    </row>
    <row r="233" spans="1:17" ht="12.75">
      <c r="A233" s="37" t="s">
        <v>27</v>
      </c>
      <c r="B233" s="99"/>
      <c r="C233" s="152"/>
      <c r="D233" s="115"/>
      <c r="E233" s="115"/>
      <c r="F233" s="196"/>
      <c r="G233" s="88"/>
      <c r="H233" s="7"/>
      <c r="I233" s="74"/>
      <c r="J233" s="28"/>
      <c r="K233" s="7"/>
      <c r="L233" s="74"/>
      <c r="M233" s="22"/>
      <c r="N233" s="7"/>
      <c r="O233" s="23"/>
      <c r="P233" s="82"/>
      <c r="Q233" s="80"/>
    </row>
    <row r="234" spans="1:17" ht="12.75">
      <c r="A234" s="46" t="s">
        <v>62</v>
      </c>
      <c r="B234" s="102"/>
      <c r="C234" s="180">
        <v>270</v>
      </c>
      <c r="D234" s="123">
        <f>-70</f>
        <v>-70</v>
      </c>
      <c r="E234" s="123"/>
      <c r="F234" s="200">
        <f>C234+D234+E234</f>
        <v>200</v>
      </c>
      <c r="G234" s="88"/>
      <c r="H234" s="7"/>
      <c r="I234" s="74"/>
      <c r="J234" s="28"/>
      <c r="K234" s="7"/>
      <c r="L234" s="74"/>
      <c r="M234" s="22"/>
      <c r="N234" s="7"/>
      <c r="O234" s="23"/>
      <c r="P234" s="82"/>
      <c r="Q234" s="80"/>
    </row>
    <row r="235" spans="1:17" ht="12.75" hidden="1">
      <c r="A235" s="39" t="s">
        <v>272</v>
      </c>
      <c r="B235" s="99"/>
      <c r="C235" s="152"/>
      <c r="D235" s="115"/>
      <c r="E235" s="115"/>
      <c r="F235" s="196">
        <f>C235+D235+E235</f>
        <v>0</v>
      </c>
      <c r="G235" s="88"/>
      <c r="H235" s="7"/>
      <c r="I235" s="74"/>
      <c r="J235" s="28"/>
      <c r="K235" s="7"/>
      <c r="L235" s="74"/>
      <c r="M235" s="22"/>
      <c r="N235" s="7"/>
      <c r="O235" s="23"/>
      <c r="P235" s="82"/>
      <c r="Q235" s="80"/>
    </row>
    <row r="236" spans="1:17" ht="12.75" hidden="1">
      <c r="A236" s="39" t="s">
        <v>76</v>
      </c>
      <c r="B236" s="99"/>
      <c r="C236" s="152"/>
      <c r="D236" s="115"/>
      <c r="E236" s="115"/>
      <c r="F236" s="196">
        <f>C236+D236+E236</f>
        <v>0</v>
      </c>
      <c r="G236" s="88"/>
      <c r="H236" s="7"/>
      <c r="I236" s="74">
        <f>F236+G236+H236</f>
        <v>0</v>
      </c>
      <c r="J236" s="28"/>
      <c r="K236" s="7"/>
      <c r="L236" s="74">
        <f>I236+J236+K236</f>
        <v>0</v>
      </c>
      <c r="M236" s="22"/>
      <c r="N236" s="7"/>
      <c r="O236" s="23">
        <f>L236+M236+N236</f>
        <v>0</v>
      </c>
      <c r="P236" s="82"/>
      <c r="Q236" s="80">
        <f>O236+P236</f>
        <v>0</v>
      </c>
    </row>
    <row r="237" spans="1:17" ht="12.75" hidden="1">
      <c r="A237" s="39" t="s">
        <v>238</v>
      </c>
      <c r="B237" s="99"/>
      <c r="C237" s="152"/>
      <c r="D237" s="115"/>
      <c r="E237" s="115"/>
      <c r="F237" s="196">
        <f>C237+D237+E237</f>
        <v>0</v>
      </c>
      <c r="G237" s="219"/>
      <c r="H237" s="10"/>
      <c r="I237" s="73">
        <f>F237+G237+H237</f>
        <v>0</v>
      </c>
      <c r="J237" s="234"/>
      <c r="K237" s="10"/>
      <c r="L237" s="73">
        <f>I237+J237+K237</f>
        <v>0</v>
      </c>
      <c r="M237" s="26"/>
      <c r="N237" s="10"/>
      <c r="O237" s="27">
        <f>L237+M237+N237</f>
        <v>0</v>
      </c>
      <c r="P237" s="85"/>
      <c r="Q237" s="86">
        <f>O237+P237</f>
        <v>0</v>
      </c>
    </row>
    <row r="238" spans="1:17" ht="12.75" hidden="1">
      <c r="A238" s="38" t="s">
        <v>88</v>
      </c>
      <c r="B238" s="102"/>
      <c r="C238" s="180"/>
      <c r="D238" s="123"/>
      <c r="E238" s="123"/>
      <c r="F238" s="200">
        <f>C238+D238+E238</f>
        <v>0</v>
      </c>
      <c r="G238" s="219"/>
      <c r="H238" s="10"/>
      <c r="I238" s="73">
        <f>F238+G238+H238</f>
        <v>0</v>
      </c>
      <c r="J238" s="234"/>
      <c r="K238" s="10"/>
      <c r="L238" s="73">
        <f>I238+J238+K238</f>
        <v>0</v>
      </c>
      <c r="M238" s="26"/>
      <c r="N238" s="10"/>
      <c r="O238" s="27">
        <f>L238+M238+N238</f>
        <v>0</v>
      </c>
      <c r="P238" s="85"/>
      <c r="Q238" s="86">
        <f>O238+P238</f>
        <v>0</v>
      </c>
    </row>
    <row r="239" spans="1:17" ht="12.75">
      <c r="A239" s="47" t="s">
        <v>103</v>
      </c>
      <c r="B239" s="104"/>
      <c r="C239" s="145">
        <f>C240+C249</f>
        <v>215953.59999999998</v>
      </c>
      <c r="D239" s="118">
        <f aca="true" t="shared" si="63" ref="D239:Q239">D240+D249</f>
        <v>15209.2</v>
      </c>
      <c r="E239" s="118">
        <f t="shared" si="63"/>
        <v>0</v>
      </c>
      <c r="F239" s="197">
        <f t="shared" si="63"/>
        <v>231162.8</v>
      </c>
      <c r="G239" s="146">
        <f t="shared" si="63"/>
        <v>0</v>
      </c>
      <c r="H239" s="118">
        <f t="shared" si="63"/>
        <v>0</v>
      </c>
      <c r="I239" s="168">
        <f t="shared" si="63"/>
        <v>227292.8</v>
      </c>
      <c r="J239" s="145">
        <f t="shared" si="63"/>
        <v>0</v>
      </c>
      <c r="K239" s="118">
        <f t="shared" si="63"/>
        <v>0</v>
      </c>
      <c r="L239" s="168">
        <f t="shared" si="63"/>
        <v>227292.8</v>
      </c>
      <c r="M239" s="117">
        <f t="shared" si="63"/>
        <v>0</v>
      </c>
      <c r="N239" s="117">
        <f t="shared" si="63"/>
        <v>0</v>
      </c>
      <c r="O239" s="117">
        <f t="shared" si="63"/>
        <v>227292.8</v>
      </c>
      <c r="P239" s="117">
        <f t="shared" si="63"/>
        <v>0</v>
      </c>
      <c r="Q239" s="250">
        <f t="shared" si="63"/>
        <v>227292.8</v>
      </c>
    </row>
    <row r="240" spans="1:17" ht="12.75">
      <c r="A240" s="41" t="s">
        <v>56</v>
      </c>
      <c r="B240" s="103"/>
      <c r="C240" s="179">
        <f>SUM(C242:C248)</f>
        <v>206254.59999999998</v>
      </c>
      <c r="D240" s="122">
        <f aca="true" t="shared" si="64" ref="D240:Q240">SUM(D242:D248)</f>
        <v>16609.2</v>
      </c>
      <c r="E240" s="122">
        <f t="shared" si="64"/>
        <v>0</v>
      </c>
      <c r="F240" s="199">
        <f t="shared" si="64"/>
        <v>222863.8</v>
      </c>
      <c r="G240" s="217">
        <f t="shared" si="64"/>
        <v>0</v>
      </c>
      <c r="H240" s="122">
        <f t="shared" si="64"/>
        <v>0</v>
      </c>
      <c r="I240" s="170">
        <f t="shared" si="64"/>
        <v>222863.8</v>
      </c>
      <c r="J240" s="179">
        <f t="shared" si="64"/>
        <v>0</v>
      </c>
      <c r="K240" s="122">
        <f t="shared" si="64"/>
        <v>0</v>
      </c>
      <c r="L240" s="170">
        <f t="shared" si="64"/>
        <v>222863.8</v>
      </c>
      <c r="M240" s="121">
        <f t="shared" si="64"/>
        <v>0</v>
      </c>
      <c r="N240" s="121">
        <f t="shared" si="64"/>
        <v>0</v>
      </c>
      <c r="O240" s="121">
        <f t="shared" si="64"/>
        <v>222863.8</v>
      </c>
      <c r="P240" s="121">
        <f t="shared" si="64"/>
        <v>0</v>
      </c>
      <c r="Q240" s="252">
        <f t="shared" si="64"/>
        <v>222863.8</v>
      </c>
    </row>
    <row r="241" spans="1:17" ht="12.75">
      <c r="A241" s="37" t="s">
        <v>27</v>
      </c>
      <c r="B241" s="99"/>
      <c r="C241" s="152"/>
      <c r="D241" s="115"/>
      <c r="E241" s="115"/>
      <c r="F241" s="196"/>
      <c r="G241" s="88"/>
      <c r="H241" s="7"/>
      <c r="I241" s="74"/>
      <c r="J241" s="28"/>
      <c r="K241" s="7"/>
      <c r="L241" s="74"/>
      <c r="M241" s="22"/>
      <c r="N241" s="7"/>
      <c r="O241" s="23"/>
      <c r="P241" s="82"/>
      <c r="Q241" s="80"/>
    </row>
    <row r="242" spans="1:17" ht="12.75">
      <c r="A242" s="39" t="s">
        <v>84</v>
      </c>
      <c r="B242" s="99"/>
      <c r="C242" s="152">
        <v>177241.3</v>
      </c>
      <c r="D242" s="115">
        <f>6300+8252.85-1700</f>
        <v>12852.85</v>
      </c>
      <c r="E242" s="115"/>
      <c r="F242" s="196">
        <f aca="true" t="shared" si="65" ref="F242:F248">C242+D242+E242</f>
        <v>190094.15</v>
      </c>
      <c r="G242" s="88"/>
      <c r="H242" s="7"/>
      <c r="I242" s="74">
        <f>F242+G242+H242</f>
        <v>190094.15</v>
      </c>
      <c r="J242" s="28"/>
      <c r="K242" s="7"/>
      <c r="L242" s="74">
        <f>I242+J242+K242</f>
        <v>190094.15</v>
      </c>
      <c r="M242" s="22"/>
      <c r="N242" s="7"/>
      <c r="O242" s="23">
        <f>L242+M242+N242</f>
        <v>190094.15</v>
      </c>
      <c r="P242" s="82"/>
      <c r="Q242" s="80">
        <f aca="true" t="shared" si="66" ref="Q242:Q248">O242+P242</f>
        <v>190094.15</v>
      </c>
    </row>
    <row r="243" spans="1:17" ht="12.75">
      <c r="A243" s="39" t="s">
        <v>58</v>
      </c>
      <c r="B243" s="99"/>
      <c r="C243" s="152">
        <v>25694.3</v>
      </c>
      <c r="D243" s="115">
        <f>-5451-1130+422.35-69+96+2048+1000</f>
        <v>-3083.6499999999996</v>
      </c>
      <c r="E243" s="115"/>
      <c r="F243" s="196">
        <f t="shared" si="65"/>
        <v>22610.65</v>
      </c>
      <c r="G243" s="88"/>
      <c r="H243" s="7"/>
      <c r="I243" s="74">
        <f aca="true" t="shared" si="67" ref="I243:I248">F243+G243+H243</f>
        <v>22610.65</v>
      </c>
      <c r="J243" s="28"/>
      <c r="K243" s="7"/>
      <c r="L243" s="74">
        <f aca="true" t="shared" si="68" ref="L243:L248">I243+J243+K243</f>
        <v>22610.65</v>
      </c>
      <c r="M243" s="22"/>
      <c r="N243" s="7"/>
      <c r="O243" s="23">
        <f aca="true" t="shared" si="69" ref="O243:O248">L243+M243+N243</f>
        <v>22610.65</v>
      </c>
      <c r="P243" s="82"/>
      <c r="Q243" s="80">
        <f t="shared" si="66"/>
        <v>22610.65</v>
      </c>
    </row>
    <row r="244" spans="1:17" ht="12.75">
      <c r="A244" s="39" t="s">
        <v>145</v>
      </c>
      <c r="B244" s="99"/>
      <c r="C244" s="152">
        <v>3319</v>
      </c>
      <c r="D244" s="115">
        <f>69</f>
        <v>69</v>
      </c>
      <c r="E244" s="115"/>
      <c r="F244" s="196">
        <f t="shared" si="65"/>
        <v>3388</v>
      </c>
      <c r="G244" s="88"/>
      <c r="H244" s="7"/>
      <c r="I244" s="74">
        <f t="shared" si="67"/>
        <v>3388</v>
      </c>
      <c r="J244" s="28"/>
      <c r="K244" s="7"/>
      <c r="L244" s="74">
        <f t="shared" si="68"/>
        <v>3388</v>
      </c>
      <c r="M244" s="22"/>
      <c r="N244" s="7"/>
      <c r="O244" s="23">
        <f t="shared" si="69"/>
        <v>3388</v>
      </c>
      <c r="P244" s="82"/>
      <c r="Q244" s="80">
        <f t="shared" si="66"/>
        <v>3388</v>
      </c>
    </row>
    <row r="245" spans="1:17" ht="12.75">
      <c r="A245" s="39" t="s">
        <v>72</v>
      </c>
      <c r="B245" s="99"/>
      <c r="C245" s="152"/>
      <c r="D245" s="115">
        <f>5451+1130+190</f>
        <v>6771</v>
      </c>
      <c r="E245" s="115"/>
      <c r="F245" s="196">
        <f t="shared" si="65"/>
        <v>6771</v>
      </c>
      <c r="G245" s="88"/>
      <c r="H245" s="7"/>
      <c r="I245" s="74">
        <f t="shared" si="67"/>
        <v>6771</v>
      </c>
      <c r="J245" s="28"/>
      <c r="K245" s="7"/>
      <c r="L245" s="74">
        <f t="shared" si="68"/>
        <v>6771</v>
      </c>
      <c r="M245" s="22"/>
      <c r="N245" s="7"/>
      <c r="O245" s="23">
        <f t="shared" si="69"/>
        <v>6771</v>
      </c>
      <c r="P245" s="82"/>
      <c r="Q245" s="80">
        <f t="shared" si="66"/>
        <v>6771</v>
      </c>
    </row>
    <row r="246" spans="1:17" ht="12.75" hidden="1">
      <c r="A246" s="39" t="s">
        <v>104</v>
      </c>
      <c r="B246" s="99">
        <v>34070</v>
      </c>
      <c r="C246" s="152"/>
      <c r="D246" s="115"/>
      <c r="E246" s="115"/>
      <c r="F246" s="196">
        <f t="shared" si="65"/>
        <v>0</v>
      </c>
      <c r="G246" s="88"/>
      <c r="H246" s="7"/>
      <c r="I246" s="74">
        <f t="shared" si="67"/>
        <v>0</v>
      </c>
      <c r="J246" s="28"/>
      <c r="K246" s="7"/>
      <c r="L246" s="74">
        <f t="shared" si="68"/>
        <v>0</v>
      </c>
      <c r="M246" s="22"/>
      <c r="N246" s="7"/>
      <c r="O246" s="23">
        <f t="shared" si="69"/>
        <v>0</v>
      </c>
      <c r="P246" s="82"/>
      <c r="Q246" s="80">
        <f t="shared" si="66"/>
        <v>0</v>
      </c>
    </row>
    <row r="247" spans="1:17" ht="12.75" hidden="1">
      <c r="A247" s="39" t="s">
        <v>105</v>
      </c>
      <c r="B247" s="99">
        <v>34053</v>
      </c>
      <c r="C247" s="152"/>
      <c r="D247" s="115"/>
      <c r="E247" s="115"/>
      <c r="F247" s="196">
        <f t="shared" si="65"/>
        <v>0</v>
      </c>
      <c r="G247" s="88"/>
      <c r="H247" s="7"/>
      <c r="I247" s="74">
        <f t="shared" si="67"/>
        <v>0</v>
      </c>
      <c r="J247" s="28"/>
      <c r="K247" s="7"/>
      <c r="L247" s="74">
        <f t="shared" si="68"/>
        <v>0</v>
      </c>
      <c r="M247" s="22"/>
      <c r="N247" s="7"/>
      <c r="O247" s="23">
        <f t="shared" si="69"/>
        <v>0</v>
      </c>
      <c r="P247" s="82"/>
      <c r="Q247" s="80">
        <f t="shared" si="66"/>
        <v>0</v>
      </c>
    </row>
    <row r="248" spans="1:17" ht="12.75" hidden="1">
      <c r="A248" s="39" t="s">
        <v>88</v>
      </c>
      <c r="B248" s="99"/>
      <c r="C248" s="152"/>
      <c r="D248" s="115"/>
      <c r="E248" s="115"/>
      <c r="F248" s="196">
        <f t="shared" si="65"/>
        <v>0</v>
      </c>
      <c r="G248" s="88"/>
      <c r="H248" s="7"/>
      <c r="I248" s="74">
        <f t="shared" si="67"/>
        <v>0</v>
      </c>
      <c r="J248" s="28"/>
      <c r="K248" s="7"/>
      <c r="L248" s="74">
        <f t="shared" si="68"/>
        <v>0</v>
      </c>
      <c r="M248" s="22"/>
      <c r="N248" s="7"/>
      <c r="O248" s="23">
        <f t="shared" si="69"/>
        <v>0</v>
      </c>
      <c r="P248" s="82"/>
      <c r="Q248" s="80">
        <f t="shared" si="66"/>
        <v>0</v>
      </c>
    </row>
    <row r="249" spans="1:17" ht="12.75">
      <c r="A249" s="41" t="s">
        <v>61</v>
      </c>
      <c r="B249" s="103"/>
      <c r="C249" s="179">
        <f>SUM(C251:C254)</f>
        <v>9699</v>
      </c>
      <c r="D249" s="122">
        <f aca="true" t="shared" si="70" ref="D249:Q249">SUM(D251:D254)</f>
        <v>-1400</v>
      </c>
      <c r="E249" s="122">
        <f t="shared" si="70"/>
        <v>0</v>
      </c>
      <c r="F249" s="199">
        <f t="shared" si="70"/>
        <v>8299</v>
      </c>
      <c r="G249" s="217">
        <f t="shared" si="70"/>
        <v>0</v>
      </c>
      <c r="H249" s="122">
        <f t="shared" si="70"/>
        <v>0</v>
      </c>
      <c r="I249" s="170">
        <f t="shared" si="70"/>
        <v>4429</v>
      </c>
      <c r="J249" s="179">
        <f t="shared" si="70"/>
        <v>0</v>
      </c>
      <c r="K249" s="122">
        <f t="shared" si="70"/>
        <v>0</v>
      </c>
      <c r="L249" s="170">
        <f t="shared" si="70"/>
        <v>4429</v>
      </c>
      <c r="M249" s="121">
        <f t="shared" si="70"/>
        <v>0</v>
      </c>
      <c r="N249" s="121">
        <f t="shared" si="70"/>
        <v>0</v>
      </c>
      <c r="O249" s="121">
        <f t="shared" si="70"/>
        <v>4429</v>
      </c>
      <c r="P249" s="121">
        <f t="shared" si="70"/>
        <v>0</v>
      </c>
      <c r="Q249" s="252">
        <f t="shared" si="70"/>
        <v>4429</v>
      </c>
    </row>
    <row r="250" spans="1:17" ht="12.75">
      <c r="A250" s="37" t="s">
        <v>27</v>
      </c>
      <c r="B250" s="99"/>
      <c r="C250" s="152"/>
      <c r="D250" s="115"/>
      <c r="E250" s="115"/>
      <c r="F250" s="196"/>
      <c r="G250" s="88"/>
      <c r="H250" s="7"/>
      <c r="I250" s="74"/>
      <c r="J250" s="28"/>
      <c r="K250" s="7"/>
      <c r="L250" s="74"/>
      <c r="M250" s="22"/>
      <c r="N250" s="7"/>
      <c r="O250" s="23"/>
      <c r="P250" s="82"/>
      <c r="Q250" s="80"/>
    </row>
    <row r="251" spans="1:17" ht="12.75" hidden="1">
      <c r="A251" s="39" t="s">
        <v>105</v>
      </c>
      <c r="B251" s="99">
        <v>34544</v>
      </c>
      <c r="C251" s="152"/>
      <c r="D251" s="115"/>
      <c r="E251" s="115"/>
      <c r="F251" s="196">
        <f>C251+D251+E251</f>
        <v>0</v>
      </c>
      <c r="G251" s="88"/>
      <c r="H251" s="7"/>
      <c r="I251" s="74"/>
      <c r="J251" s="28"/>
      <c r="K251" s="7"/>
      <c r="L251" s="74">
        <f>I251+J251+K251</f>
        <v>0</v>
      </c>
      <c r="M251" s="22"/>
      <c r="N251" s="7"/>
      <c r="O251" s="23">
        <f>L251+M251+N251</f>
        <v>0</v>
      </c>
      <c r="P251" s="82"/>
      <c r="Q251" s="80">
        <f>O251+P251</f>
        <v>0</v>
      </c>
    </row>
    <row r="252" spans="1:17" ht="12.75">
      <c r="A252" s="97" t="s">
        <v>99</v>
      </c>
      <c r="B252" s="99"/>
      <c r="C252" s="152">
        <v>2729</v>
      </c>
      <c r="D252" s="115">
        <f>1700</f>
        <v>1700</v>
      </c>
      <c r="E252" s="115"/>
      <c r="F252" s="196">
        <f>C252+D252+E252</f>
        <v>4429</v>
      </c>
      <c r="G252" s="88"/>
      <c r="H252" s="7"/>
      <c r="I252" s="74">
        <f>F252+G252+H252</f>
        <v>4429</v>
      </c>
      <c r="J252" s="28"/>
      <c r="K252" s="7"/>
      <c r="L252" s="74">
        <f>I252+J252+K252</f>
        <v>4429</v>
      </c>
      <c r="M252" s="22"/>
      <c r="N252" s="7"/>
      <c r="O252" s="23">
        <f>L252+M252+N252</f>
        <v>4429</v>
      </c>
      <c r="P252" s="82"/>
      <c r="Q252" s="80">
        <f>O252+P252</f>
        <v>4429</v>
      </c>
    </row>
    <row r="253" spans="1:17" ht="12.75">
      <c r="A253" s="246" t="s">
        <v>62</v>
      </c>
      <c r="B253" s="102"/>
      <c r="C253" s="180">
        <v>6970</v>
      </c>
      <c r="D253" s="123">
        <f>-3100</f>
        <v>-3100</v>
      </c>
      <c r="E253" s="123"/>
      <c r="F253" s="200">
        <f>C253+D253+E253</f>
        <v>3870</v>
      </c>
      <c r="G253" s="88"/>
      <c r="H253" s="7"/>
      <c r="I253" s="74"/>
      <c r="J253" s="28"/>
      <c r="K253" s="7"/>
      <c r="L253" s="74">
        <f>I253+J253+K253</f>
        <v>0</v>
      </c>
      <c r="M253" s="22"/>
      <c r="N253" s="7"/>
      <c r="O253" s="23">
        <f>L253+M253+N253</f>
        <v>0</v>
      </c>
      <c r="P253" s="82"/>
      <c r="Q253" s="80">
        <f>O253+P253</f>
        <v>0</v>
      </c>
    </row>
    <row r="254" spans="1:17" ht="12.75" hidden="1">
      <c r="A254" s="46" t="s">
        <v>88</v>
      </c>
      <c r="B254" s="102"/>
      <c r="C254" s="180"/>
      <c r="D254" s="123"/>
      <c r="E254" s="123"/>
      <c r="F254" s="200">
        <f>C254+D254+E254</f>
        <v>0</v>
      </c>
      <c r="G254" s="219"/>
      <c r="H254" s="10"/>
      <c r="I254" s="73">
        <f>F254+G254+H254</f>
        <v>0</v>
      </c>
      <c r="J254" s="234"/>
      <c r="K254" s="10"/>
      <c r="L254" s="73">
        <f>I254+J254+K254</f>
        <v>0</v>
      </c>
      <c r="M254" s="77"/>
      <c r="N254" s="10"/>
      <c r="O254" s="27">
        <f>L254+M254+N254</f>
        <v>0</v>
      </c>
      <c r="P254" s="85"/>
      <c r="Q254" s="86">
        <f>O254+P254</f>
        <v>0</v>
      </c>
    </row>
    <row r="255" spans="1:17" ht="12.75">
      <c r="A255" s="32" t="s">
        <v>55</v>
      </c>
      <c r="B255" s="101"/>
      <c r="C255" s="159">
        <f aca="true" t="shared" si="71" ref="C255:Q255">C256+C267</f>
        <v>60706.65</v>
      </c>
      <c r="D255" s="114">
        <f t="shared" si="71"/>
        <v>6305.6</v>
      </c>
      <c r="E255" s="114">
        <f t="shared" si="71"/>
        <v>0</v>
      </c>
      <c r="F255" s="174">
        <f t="shared" si="71"/>
        <v>67012.25</v>
      </c>
      <c r="G255" s="160">
        <f t="shared" si="71"/>
        <v>0</v>
      </c>
      <c r="H255" s="114">
        <f t="shared" si="71"/>
        <v>0</v>
      </c>
      <c r="I255" s="142">
        <f t="shared" si="71"/>
        <v>52286.55</v>
      </c>
      <c r="J255" s="159">
        <f t="shared" si="71"/>
        <v>0</v>
      </c>
      <c r="K255" s="114">
        <f t="shared" si="71"/>
        <v>0</v>
      </c>
      <c r="L255" s="142">
        <f t="shared" si="71"/>
        <v>52286.55</v>
      </c>
      <c r="M255" s="113">
        <f t="shared" si="71"/>
        <v>0</v>
      </c>
      <c r="N255" s="113">
        <f t="shared" si="71"/>
        <v>0</v>
      </c>
      <c r="O255" s="113">
        <f t="shared" si="71"/>
        <v>52286.55</v>
      </c>
      <c r="P255" s="113">
        <f t="shared" si="71"/>
        <v>0</v>
      </c>
      <c r="Q255" s="247">
        <f t="shared" si="71"/>
        <v>52286.55</v>
      </c>
    </row>
    <row r="256" spans="1:17" ht="12.75">
      <c r="A256" s="41" t="s">
        <v>56</v>
      </c>
      <c r="B256" s="101"/>
      <c r="C256" s="179">
        <f aca="true" t="shared" si="72" ref="C256:Q256">SUM(C258:C266)</f>
        <v>60706.65</v>
      </c>
      <c r="D256" s="122">
        <f t="shared" si="72"/>
        <v>4955.6</v>
      </c>
      <c r="E256" s="122">
        <f t="shared" si="72"/>
        <v>0</v>
      </c>
      <c r="F256" s="199">
        <f t="shared" si="72"/>
        <v>65662.25</v>
      </c>
      <c r="G256" s="217">
        <f t="shared" si="72"/>
        <v>0</v>
      </c>
      <c r="H256" s="122">
        <f t="shared" si="72"/>
        <v>0</v>
      </c>
      <c r="I256" s="170">
        <f t="shared" si="72"/>
        <v>52036.55</v>
      </c>
      <c r="J256" s="179">
        <f t="shared" si="72"/>
        <v>0</v>
      </c>
      <c r="K256" s="122">
        <f t="shared" si="72"/>
        <v>0</v>
      </c>
      <c r="L256" s="170">
        <f t="shared" si="72"/>
        <v>52036.55</v>
      </c>
      <c r="M256" s="121">
        <f t="shared" si="72"/>
        <v>0</v>
      </c>
      <c r="N256" s="121">
        <f t="shared" si="72"/>
        <v>0</v>
      </c>
      <c r="O256" s="121">
        <f t="shared" si="72"/>
        <v>52036.55</v>
      </c>
      <c r="P256" s="121">
        <f t="shared" si="72"/>
        <v>0</v>
      </c>
      <c r="Q256" s="252">
        <f t="shared" si="72"/>
        <v>52036.55</v>
      </c>
    </row>
    <row r="257" spans="1:17" ht="12.75">
      <c r="A257" s="37" t="s">
        <v>27</v>
      </c>
      <c r="B257" s="72"/>
      <c r="C257" s="152"/>
      <c r="D257" s="115"/>
      <c r="E257" s="115"/>
      <c r="F257" s="196"/>
      <c r="G257" s="88"/>
      <c r="H257" s="7"/>
      <c r="I257" s="74"/>
      <c r="J257" s="28"/>
      <c r="K257" s="7"/>
      <c r="L257" s="74"/>
      <c r="M257" s="22"/>
      <c r="N257" s="7"/>
      <c r="O257" s="23"/>
      <c r="P257" s="82"/>
      <c r="Q257" s="80"/>
    </row>
    <row r="258" spans="1:17" ht="12.75">
      <c r="A258" s="35" t="s">
        <v>149</v>
      </c>
      <c r="B258" s="99"/>
      <c r="C258" s="152">
        <v>27295.94</v>
      </c>
      <c r="D258" s="115"/>
      <c r="E258" s="115"/>
      <c r="F258" s="196">
        <f aca="true" t="shared" si="73" ref="F258:F266">C258+D258+E258</f>
        <v>27295.94</v>
      </c>
      <c r="G258" s="88"/>
      <c r="H258" s="7"/>
      <c r="I258" s="74">
        <f>F258+G258+H258</f>
        <v>27295.94</v>
      </c>
      <c r="J258" s="28"/>
      <c r="K258" s="7"/>
      <c r="L258" s="74">
        <f>I258+J258+K258</f>
        <v>27295.94</v>
      </c>
      <c r="M258" s="22"/>
      <c r="N258" s="7"/>
      <c r="O258" s="23">
        <f>L258+M258+N258</f>
        <v>27295.94</v>
      </c>
      <c r="P258" s="82"/>
      <c r="Q258" s="80">
        <f>O258+P258</f>
        <v>27295.94</v>
      </c>
    </row>
    <row r="259" spans="1:17" ht="12.75">
      <c r="A259" s="35" t="s">
        <v>57</v>
      </c>
      <c r="B259" s="99"/>
      <c r="C259" s="152">
        <v>7685.31</v>
      </c>
      <c r="D259" s="115"/>
      <c r="E259" s="115"/>
      <c r="F259" s="196">
        <f t="shared" si="73"/>
        <v>7685.31</v>
      </c>
      <c r="G259" s="88"/>
      <c r="H259" s="7"/>
      <c r="I259" s="74">
        <f>F259+G259+H259</f>
        <v>7685.31</v>
      </c>
      <c r="J259" s="28"/>
      <c r="K259" s="7"/>
      <c r="L259" s="74">
        <f>I259+J259+K259</f>
        <v>7685.31</v>
      </c>
      <c r="M259" s="22"/>
      <c r="N259" s="7"/>
      <c r="O259" s="23">
        <f>L259+M259+N259</f>
        <v>7685.31</v>
      </c>
      <c r="P259" s="82"/>
      <c r="Q259" s="80">
        <f>O259+P259</f>
        <v>7685.31</v>
      </c>
    </row>
    <row r="260" spans="1:17" ht="12.75">
      <c r="A260" s="35" t="s">
        <v>280</v>
      </c>
      <c r="B260" s="99"/>
      <c r="C260" s="152">
        <v>1450</v>
      </c>
      <c r="D260" s="115"/>
      <c r="E260" s="115"/>
      <c r="F260" s="196">
        <f t="shared" si="73"/>
        <v>1450</v>
      </c>
      <c r="G260" s="88"/>
      <c r="H260" s="7"/>
      <c r="I260" s="74">
        <f>F260+G260+H260</f>
        <v>1450</v>
      </c>
      <c r="J260" s="28"/>
      <c r="K260" s="7"/>
      <c r="L260" s="74">
        <f>I260+J260+K260</f>
        <v>1450</v>
      </c>
      <c r="M260" s="22"/>
      <c r="N260" s="7"/>
      <c r="O260" s="23">
        <f>L260+M260+N260</f>
        <v>1450</v>
      </c>
      <c r="P260" s="82"/>
      <c r="Q260" s="80">
        <f>O260+P260</f>
        <v>1450</v>
      </c>
    </row>
    <row r="261" spans="1:17" ht="12.75">
      <c r="A261" s="35" t="s">
        <v>58</v>
      </c>
      <c r="B261" s="99"/>
      <c r="C261" s="152">
        <v>14175.4</v>
      </c>
      <c r="D261" s="115">
        <f>-70.1+1000</f>
        <v>929.9</v>
      </c>
      <c r="E261" s="115"/>
      <c r="F261" s="196">
        <f t="shared" si="73"/>
        <v>15105.3</v>
      </c>
      <c r="G261" s="88"/>
      <c r="H261" s="7"/>
      <c r="I261" s="74">
        <f>F261+G261+H261</f>
        <v>15105.3</v>
      </c>
      <c r="J261" s="28"/>
      <c r="K261" s="7"/>
      <c r="L261" s="74">
        <f>I261+J261+K261</f>
        <v>15105.3</v>
      </c>
      <c r="M261" s="22"/>
      <c r="N261" s="7"/>
      <c r="O261" s="23">
        <f>L261+M261+N261</f>
        <v>15105.3</v>
      </c>
      <c r="P261" s="82"/>
      <c r="Q261" s="80">
        <f>O261+P261</f>
        <v>15105.3</v>
      </c>
    </row>
    <row r="262" spans="1:17" ht="12.75" hidden="1">
      <c r="A262" s="35" t="s">
        <v>88</v>
      </c>
      <c r="B262" s="99"/>
      <c r="C262" s="152"/>
      <c r="D262" s="115"/>
      <c r="E262" s="115"/>
      <c r="F262" s="196">
        <f t="shared" si="73"/>
        <v>0</v>
      </c>
      <c r="G262" s="88"/>
      <c r="H262" s="7"/>
      <c r="I262" s="74"/>
      <c r="J262" s="28"/>
      <c r="K262" s="7"/>
      <c r="L262" s="74"/>
      <c r="M262" s="22"/>
      <c r="N262" s="7"/>
      <c r="O262" s="23"/>
      <c r="P262" s="82"/>
      <c r="Q262" s="80"/>
    </row>
    <row r="263" spans="1:17" ht="12.75">
      <c r="A263" s="35" t="s">
        <v>59</v>
      </c>
      <c r="B263" s="99"/>
      <c r="C263" s="152">
        <v>500</v>
      </c>
      <c r="D263" s="115"/>
      <c r="E263" s="115"/>
      <c r="F263" s="196">
        <f t="shared" si="73"/>
        <v>500</v>
      </c>
      <c r="G263" s="88"/>
      <c r="H263" s="7"/>
      <c r="I263" s="74">
        <f>F263+G263+H263</f>
        <v>500</v>
      </c>
      <c r="J263" s="28"/>
      <c r="K263" s="7"/>
      <c r="L263" s="74">
        <f>I263+J263+K263</f>
        <v>500</v>
      </c>
      <c r="M263" s="22"/>
      <c r="N263" s="7"/>
      <c r="O263" s="23">
        <f>L263+M263+N263</f>
        <v>500</v>
      </c>
      <c r="P263" s="82"/>
      <c r="Q263" s="80">
        <f>O263+P263</f>
        <v>500</v>
      </c>
    </row>
    <row r="264" spans="1:17" ht="12.75">
      <c r="A264" s="35" t="s">
        <v>281</v>
      </c>
      <c r="B264" s="99"/>
      <c r="C264" s="152">
        <v>9000</v>
      </c>
      <c r="D264" s="115">
        <f>1300</f>
        <v>1300</v>
      </c>
      <c r="E264" s="115"/>
      <c r="F264" s="196">
        <f t="shared" si="73"/>
        <v>10300</v>
      </c>
      <c r="G264" s="88"/>
      <c r="H264" s="7"/>
      <c r="I264" s="74"/>
      <c r="J264" s="28"/>
      <c r="K264" s="7"/>
      <c r="L264" s="74"/>
      <c r="M264" s="22"/>
      <c r="N264" s="7"/>
      <c r="O264" s="23"/>
      <c r="P264" s="82"/>
      <c r="Q264" s="80"/>
    </row>
    <row r="265" spans="1:17" ht="12.75">
      <c r="A265" s="35" t="s">
        <v>282</v>
      </c>
      <c r="B265" s="99"/>
      <c r="C265" s="152">
        <v>600</v>
      </c>
      <c r="D265" s="115">
        <f>2725.7</f>
        <v>2725.7</v>
      </c>
      <c r="E265" s="115"/>
      <c r="F265" s="196">
        <f t="shared" si="73"/>
        <v>3325.7</v>
      </c>
      <c r="G265" s="88"/>
      <c r="H265" s="7"/>
      <c r="I265" s="74"/>
      <c r="J265" s="28"/>
      <c r="K265" s="7"/>
      <c r="L265" s="74"/>
      <c r="M265" s="22"/>
      <c r="N265" s="7"/>
      <c r="O265" s="23"/>
      <c r="P265" s="82"/>
      <c r="Q265" s="80"/>
    </row>
    <row r="266" spans="1:17" ht="12.75" hidden="1">
      <c r="A266" s="35" t="s">
        <v>60</v>
      </c>
      <c r="B266" s="99"/>
      <c r="C266" s="152"/>
      <c r="D266" s="115"/>
      <c r="E266" s="115"/>
      <c r="F266" s="196">
        <f t="shared" si="73"/>
        <v>0</v>
      </c>
      <c r="G266" s="88"/>
      <c r="H266" s="7"/>
      <c r="I266" s="74">
        <f>F266+G266+H266</f>
        <v>0</v>
      </c>
      <c r="J266" s="28"/>
      <c r="K266" s="7"/>
      <c r="L266" s="74">
        <f>I266+J266+K266</f>
        <v>0</v>
      </c>
      <c r="M266" s="22"/>
      <c r="N266" s="7"/>
      <c r="O266" s="23">
        <f>L266+M266+N266</f>
        <v>0</v>
      </c>
      <c r="P266" s="82"/>
      <c r="Q266" s="80">
        <f>O266+P266</f>
        <v>0</v>
      </c>
    </row>
    <row r="267" spans="1:17" ht="12.75">
      <c r="A267" s="42" t="s">
        <v>61</v>
      </c>
      <c r="B267" s="103"/>
      <c r="C267" s="181">
        <f aca="true" t="shared" si="74" ref="C267:Q267">SUM(C269:C273)</f>
        <v>0</v>
      </c>
      <c r="D267" s="125">
        <f t="shared" si="74"/>
        <v>1350</v>
      </c>
      <c r="E267" s="125">
        <f t="shared" si="74"/>
        <v>0</v>
      </c>
      <c r="F267" s="201">
        <f t="shared" si="74"/>
        <v>1350</v>
      </c>
      <c r="G267" s="218">
        <f t="shared" si="74"/>
        <v>0</v>
      </c>
      <c r="H267" s="125">
        <f t="shared" si="74"/>
        <v>0</v>
      </c>
      <c r="I267" s="171">
        <f t="shared" si="74"/>
        <v>250</v>
      </c>
      <c r="J267" s="181">
        <f t="shared" si="74"/>
        <v>0</v>
      </c>
      <c r="K267" s="125">
        <f t="shared" si="74"/>
        <v>0</v>
      </c>
      <c r="L267" s="171">
        <f t="shared" si="74"/>
        <v>250</v>
      </c>
      <c r="M267" s="124">
        <f t="shared" si="74"/>
        <v>0</v>
      </c>
      <c r="N267" s="124">
        <f t="shared" si="74"/>
        <v>0</v>
      </c>
      <c r="O267" s="124">
        <f t="shared" si="74"/>
        <v>250</v>
      </c>
      <c r="P267" s="124">
        <f t="shared" si="74"/>
        <v>0</v>
      </c>
      <c r="Q267" s="253">
        <f t="shared" si="74"/>
        <v>250</v>
      </c>
    </row>
    <row r="268" spans="1:17" ht="12.75">
      <c r="A268" s="33" t="s">
        <v>27</v>
      </c>
      <c r="B268" s="99"/>
      <c r="C268" s="145"/>
      <c r="D268" s="118"/>
      <c r="E268" s="118"/>
      <c r="F268" s="197"/>
      <c r="G268" s="215"/>
      <c r="H268" s="8"/>
      <c r="I268" s="29"/>
      <c r="J268" s="233"/>
      <c r="K268" s="8"/>
      <c r="L268" s="29"/>
      <c r="M268" s="24"/>
      <c r="N268" s="8"/>
      <c r="O268" s="25"/>
      <c r="P268" s="82"/>
      <c r="Q268" s="80"/>
    </row>
    <row r="269" spans="1:17" ht="12.75" hidden="1">
      <c r="A269" s="35" t="s">
        <v>168</v>
      </c>
      <c r="B269" s="99"/>
      <c r="C269" s="152"/>
      <c r="D269" s="115"/>
      <c r="E269" s="115"/>
      <c r="F269" s="196">
        <f>C269+D269+E269</f>
        <v>0</v>
      </c>
      <c r="G269" s="88"/>
      <c r="H269" s="7"/>
      <c r="I269" s="74">
        <f>F269+G269+H269</f>
        <v>0</v>
      </c>
      <c r="J269" s="28"/>
      <c r="K269" s="7"/>
      <c r="L269" s="74">
        <f>I269+J269+K269</f>
        <v>0</v>
      </c>
      <c r="M269" s="22"/>
      <c r="N269" s="7"/>
      <c r="O269" s="23">
        <f>L269+M269+N269</f>
        <v>0</v>
      </c>
      <c r="P269" s="82"/>
      <c r="Q269" s="80">
        <f>O269+P269</f>
        <v>0</v>
      </c>
    </row>
    <row r="270" spans="1:17" ht="12.75">
      <c r="A270" s="35" t="s">
        <v>281</v>
      </c>
      <c r="B270" s="99"/>
      <c r="C270" s="152"/>
      <c r="D270" s="115">
        <f>800</f>
        <v>800</v>
      </c>
      <c r="E270" s="115"/>
      <c r="F270" s="196">
        <f>C270+D270+E270</f>
        <v>800</v>
      </c>
      <c r="G270" s="88"/>
      <c r="H270" s="7"/>
      <c r="I270" s="74"/>
      <c r="J270" s="28"/>
      <c r="K270" s="7"/>
      <c r="L270" s="74"/>
      <c r="M270" s="22"/>
      <c r="N270" s="7"/>
      <c r="O270" s="23"/>
      <c r="P270" s="82"/>
      <c r="Q270" s="80"/>
    </row>
    <row r="271" spans="1:17" ht="12.75">
      <c r="A271" s="35" t="s">
        <v>282</v>
      </c>
      <c r="B271" s="99"/>
      <c r="C271" s="152"/>
      <c r="D271" s="115">
        <f>300</f>
        <v>300</v>
      </c>
      <c r="E271" s="115"/>
      <c r="F271" s="196">
        <f>C271+D271+E271</f>
        <v>300</v>
      </c>
      <c r="G271" s="88"/>
      <c r="H271" s="7"/>
      <c r="I271" s="74"/>
      <c r="J271" s="28"/>
      <c r="K271" s="7"/>
      <c r="L271" s="74"/>
      <c r="M271" s="22"/>
      <c r="N271" s="7"/>
      <c r="O271" s="23"/>
      <c r="P271" s="82"/>
      <c r="Q271" s="80"/>
    </row>
    <row r="272" spans="1:17" ht="12.75" hidden="1">
      <c r="A272" s="35" t="s">
        <v>60</v>
      </c>
      <c r="B272" s="99"/>
      <c r="C272" s="152"/>
      <c r="D272" s="115"/>
      <c r="E272" s="115"/>
      <c r="F272" s="196">
        <f>C272+D272+E272</f>
        <v>0</v>
      </c>
      <c r="G272" s="219"/>
      <c r="H272" s="10"/>
      <c r="I272" s="73">
        <f>F272+G272+H272</f>
        <v>0</v>
      </c>
      <c r="J272" s="234"/>
      <c r="K272" s="10"/>
      <c r="L272" s="73">
        <f>I272+J272+K272</f>
        <v>0</v>
      </c>
      <c r="M272" s="26"/>
      <c r="N272" s="10"/>
      <c r="O272" s="27">
        <f>L272+M272+N272</f>
        <v>0</v>
      </c>
      <c r="P272" s="85"/>
      <c r="Q272" s="86">
        <f>O272+P272</f>
        <v>0</v>
      </c>
    </row>
    <row r="273" spans="1:17" ht="12.75">
      <c r="A273" s="38" t="s">
        <v>62</v>
      </c>
      <c r="B273" s="102"/>
      <c r="C273" s="180"/>
      <c r="D273" s="123">
        <f>250</f>
        <v>250</v>
      </c>
      <c r="E273" s="123"/>
      <c r="F273" s="200">
        <f>C273+D273+E273</f>
        <v>250</v>
      </c>
      <c r="G273" s="219"/>
      <c r="H273" s="10"/>
      <c r="I273" s="73">
        <f>F273+G273+H273</f>
        <v>250</v>
      </c>
      <c r="J273" s="234"/>
      <c r="K273" s="10"/>
      <c r="L273" s="73">
        <f>I273+J273+K273</f>
        <v>250</v>
      </c>
      <c r="M273" s="26"/>
      <c r="N273" s="10"/>
      <c r="O273" s="27">
        <f>L273+M273+N273</f>
        <v>250</v>
      </c>
      <c r="P273" s="82"/>
      <c r="Q273" s="80">
        <f>O273+P273</f>
        <v>250</v>
      </c>
    </row>
    <row r="274" spans="1:17" ht="12.75">
      <c r="A274" s="32" t="s">
        <v>288</v>
      </c>
      <c r="B274" s="103"/>
      <c r="C274" s="159">
        <f aca="true" t="shared" si="75" ref="C274:Q274">C275+C292</f>
        <v>419866.13</v>
      </c>
      <c r="D274" s="114">
        <f t="shared" si="75"/>
        <v>24051.07</v>
      </c>
      <c r="E274" s="114">
        <f t="shared" si="75"/>
        <v>0</v>
      </c>
      <c r="F274" s="174">
        <f t="shared" si="75"/>
        <v>443917.19999999995</v>
      </c>
      <c r="G274" s="160">
        <f t="shared" si="75"/>
        <v>0</v>
      </c>
      <c r="H274" s="114">
        <f t="shared" si="75"/>
        <v>0</v>
      </c>
      <c r="I274" s="142">
        <f t="shared" si="75"/>
        <v>443917.19999999995</v>
      </c>
      <c r="J274" s="159">
        <f t="shared" si="75"/>
        <v>0</v>
      </c>
      <c r="K274" s="114">
        <f t="shared" si="75"/>
        <v>0</v>
      </c>
      <c r="L274" s="142">
        <f t="shared" si="75"/>
        <v>443917.19999999995</v>
      </c>
      <c r="M274" s="113">
        <f t="shared" si="75"/>
        <v>0</v>
      </c>
      <c r="N274" s="113">
        <f t="shared" si="75"/>
        <v>0</v>
      </c>
      <c r="O274" s="113">
        <f t="shared" si="75"/>
        <v>443917.19999999995</v>
      </c>
      <c r="P274" s="113">
        <f t="shared" si="75"/>
        <v>0</v>
      </c>
      <c r="Q274" s="247">
        <f t="shared" si="75"/>
        <v>443917.19999999995</v>
      </c>
    </row>
    <row r="275" spans="1:17" ht="12.75">
      <c r="A275" s="41" t="s">
        <v>56</v>
      </c>
      <c r="B275" s="103"/>
      <c r="C275" s="179">
        <f aca="true" t="shared" si="76" ref="C275:Q275">SUM(C277:C291)</f>
        <v>419866.13</v>
      </c>
      <c r="D275" s="122">
        <f t="shared" si="76"/>
        <v>14411.85</v>
      </c>
      <c r="E275" s="122">
        <f t="shared" si="76"/>
        <v>0</v>
      </c>
      <c r="F275" s="199">
        <f t="shared" si="76"/>
        <v>434277.98</v>
      </c>
      <c r="G275" s="217">
        <f t="shared" si="76"/>
        <v>0</v>
      </c>
      <c r="H275" s="122">
        <f t="shared" si="76"/>
        <v>0</v>
      </c>
      <c r="I275" s="170">
        <f t="shared" si="76"/>
        <v>434277.98</v>
      </c>
      <c r="J275" s="179">
        <f t="shared" si="76"/>
        <v>0</v>
      </c>
      <c r="K275" s="122">
        <f t="shared" si="76"/>
        <v>0</v>
      </c>
      <c r="L275" s="170">
        <f t="shared" si="76"/>
        <v>434277.98</v>
      </c>
      <c r="M275" s="121">
        <f t="shared" si="76"/>
        <v>0</v>
      </c>
      <c r="N275" s="121">
        <f t="shared" si="76"/>
        <v>0</v>
      </c>
      <c r="O275" s="121">
        <f t="shared" si="76"/>
        <v>434277.98</v>
      </c>
      <c r="P275" s="121">
        <f t="shared" si="76"/>
        <v>0</v>
      </c>
      <c r="Q275" s="252">
        <f t="shared" si="76"/>
        <v>434277.98</v>
      </c>
    </row>
    <row r="276" spans="1:17" ht="12.75">
      <c r="A276" s="37" t="s">
        <v>27</v>
      </c>
      <c r="B276" s="99"/>
      <c r="C276" s="152"/>
      <c r="D276" s="115"/>
      <c r="E276" s="115"/>
      <c r="F276" s="196"/>
      <c r="G276" s="88"/>
      <c r="H276" s="7"/>
      <c r="I276" s="74"/>
      <c r="J276" s="28"/>
      <c r="K276" s="7"/>
      <c r="L276" s="74"/>
      <c r="M276" s="22"/>
      <c r="N276" s="7"/>
      <c r="O276" s="23"/>
      <c r="P276" s="82"/>
      <c r="Q276" s="80"/>
    </row>
    <row r="277" spans="1:17" ht="12.75">
      <c r="A277" s="44" t="s">
        <v>150</v>
      </c>
      <c r="B277" s="99"/>
      <c r="C277" s="152">
        <v>217305.11</v>
      </c>
      <c r="D277" s="115">
        <f>1753.37</f>
        <v>1753.37</v>
      </c>
      <c r="E277" s="115"/>
      <c r="F277" s="196">
        <f aca="true" t="shared" si="77" ref="F277:F291">C277+D277+E277</f>
        <v>219058.47999999998</v>
      </c>
      <c r="G277" s="88"/>
      <c r="H277" s="7"/>
      <c r="I277" s="74">
        <f>F277+G277+H277</f>
        <v>219058.47999999998</v>
      </c>
      <c r="J277" s="28"/>
      <c r="K277" s="7"/>
      <c r="L277" s="74">
        <f>I277+J277+K277</f>
        <v>219058.47999999998</v>
      </c>
      <c r="M277" s="22"/>
      <c r="N277" s="7"/>
      <c r="O277" s="23">
        <f>L277+M277+N277</f>
        <v>219058.47999999998</v>
      </c>
      <c r="P277" s="82"/>
      <c r="Q277" s="80">
        <f aca="true" t="shared" si="78" ref="Q277:Q284">O277+P277</f>
        <v>219058.47999999998</v>
      </c>
    </row>
    <row r="278" spans="1:17" ht="12.75">
      <c r="A278" s="35" t="s">
        <v>57</v>
      </c>
      <c r="B278" s="99"/>
      <c r="C278" s="152">
        <v>74147.88</v>
      </c>
      <c r="D278" s="115">
        <f>603.6</f>
        <v>603.6</v>
      </c>
      <c r="E278" s="115"/>
      <c r="F278" s="196">
        <f t="shared" si="77"/>
        <v>74751.48000000001</v>
      </c>
      <c r="G278" s="88"/>
      <c r="H278" s="7"/>
      <c r="I278" s="74">
        <f aca="true" t="shared" si="79" ref="I278:I284">F278+G278+H278</f>
        <v>74751.48000000001</v>
      </c>
      <c r="J278" s="28"/>
      <c r="K278" s="7"/>
      <c r="L278" s="74">
        <f aca="true" t="shared" si="80" ref="L278:L284">I278+J278+K278</f>
        <v>74751.48000000001</v>
      </c>
      <c r="M278" s="22"/>
      <c r="N278" s="7"/>
      <c r="O278" s="23">
        <f aca="true" t="shared" si="81" ref="O278:O284">L278+M278+N278</f>
        <v>74751.48000000001</v>
      </c>
      <c r="P278" s="82"/>
      <c r="Q278" s="80">
        <f t="shared" si="78"/>
        <v>74751.48000000001</v>
      </c>
    </row>
    <row r="279" spans="1:17" ht="12.75">
      <c r="A279" s="35" t="s">
        <v>280</v>
      </c>
      <c r="B279" s="99"/>
      <c r="C279" s="152">
        <v>200</v>
      </c>
      <c r="D279" s="115"/>
      <c r="E279" s="115"/>
      <c r="F279" s="196">
        <f t="shared" si="77"/>
        <v>200</v>
      </c>
      <c r="G279" s="88"/>
      <c r="H279" s="7"/>
      <c r="I279" s="74">
        <f t="shared" si="79"/>
        <v>200</v>
      </c>
      <c r="J279" s="28"/>
      <c r="K279" s="7"/>
      <c r="L279" s="74">
        <f t="shared" si="80"/>
        <v>200</v>
      </c>
      <c r="M279" s="22"/>
      <c r="N279" s="7"/>
      <c r="O279" s="23">
        <f t="shared" si="81"/>
        <v>200</v>
      </c>
      <c r="P279" s="82"/>
      <c r="Q279" s="80">
        <f t="shared" si="78"/>
        <v>200</v>
      </c>
    </row>
    <row r="280" spans="1:17" ht="12.75">
      <c r="A280" s="35" t="s">
        <v>58</v>
      </c>
      <c r="B280" s="99"/>
      <c r="C280" s="152">
        <v>62887.14</v>
      </c>
      <c r="D280" s="115">
        <f>80+11174+200+61.36</f>
        <v>11515.36</v>
      </c>
      <c r="E280" s="115"/>
      <c r="F280" s="196">
        <f t="shared" si="77"/>
        <v>74402.5</v>
      </c>
      <c r="G280" s="88"/>
      <c r="H280" s="7"/>
      <c r="I280" s="74">
        <f t="shared" si="79"/>
        <v>74402.5</v>
      </c>
      <c r="J280" s="28"/>
      <c r="K280" s="7"/>
      <c r="L280" s="74">
        <f t="shared" si="80"/>
        <v>74402.5</v>
      </c>
      <c r="M280" s="22"/>
      <c r="N280" s="7"/>
      <c r="O280" s="23">
        <f t="shared" si="81"/>
        <v>74402.5</v>
      </c>
      <c r="P280" s="82"/>
      <c r="Q280" s="80">
        <f t="shared" si="78"/>
        <v>74402.5</v>
      </c>
    </row>
    <row r="281" spans="1:17" ht="12.75">
      <c r="A281" s="35" t="s">
        <v>63</v>
      </c>
      <c r="B281" s="99">
        <v>1115</v>
      </c>
      <c r="C281" s="152">
        <v>462</v>
      </c>
      <c r="D281" s="115"/>
      <c r="E281" s="115"/>
      <c r="F281" s="196">
        <f t="shared" si="77"/>
        <v>462</v>
      </c>
      <c r="G281" s="88"/>
      <c r="H281" s="7"/>
      <c r="I281" s="74">
        <f t="shared" si="79"/>
        <v>462</v>
      </c>
      <c r="J281" s="28"/>
      <c r="K281" s="7"/>
      <c r="L281" s="74">
        <f t="shared" si="80"/>
        <v>462</v>
      </c>
      <c r="M281" s="22"/>
      <c r="N281" s="7"/>
      <c r="O281" s="23">
        <f t="shared" si="81"/>
        <v>462</v>
      </c>
      <c r="P281" s="82"/>
      <c r="Q281" s="80">
        <f t="shared" si="78"/>
        <v>462</v>
      </c>
    </row>
    <row r="282" spans="1:17" ht="12.75" hidden="1">
      <c r="A282" s="35" t="s">
        <v>64</v>
      </c>
      <c r="B282" s="99"/>
      <c r="C282" s="152"/>
      <c r="D282" s="115"/>
      <c r="E282" s="115"/>
      <c r="F282" s="196">
        <f t="shared" si="77"/>
        <v>0</v>
      </c>
      <c r="G282" s="88"/>
      <c r="H282" s="7"/>
      <c r="I282" s="74">
        <f t="shared" si="79"/>
        <v>0</v>
      </c>
      <c r="J282" s="28"/>
      <c r="K282" s="7"/>
      <c r="L282" s="74">
        <f t="shared" si="80"/>
        <v>0</v>
      </c>
      <c r="M282" s="22"/>
      <c r="N282" s="7"/>
      <c r="O282" s="23">
        <f t="shared" si="81"/>
        <v>0</v>
      </c>
      <c r="P282" s="82"/>
      <c r="Q282" s="80">
        <f t="shared" si="78"/>
        <v>0</v>
      </c>
    </row>
    <row r="283" spans="1:17" ht="12.75">
      <c r="A283" s="35" t="s">
        <v>65</v>
      </c>
      <c r="B283" s="99">
        <v>51</v>
      </c>
      <c r="C283" s="152">
        <v>64864</v>
      </c>
      <c r="D283" s="115"/>
      <c r="E283" s="115"/>
      <c r="F283" s="196">
        <f t="shared" si="77"/>
        <v>64864</v>
      </c>
      <c r="G283" s="88"/>
      <c r="H283" s="7"/>
      <c r="I283" s="74">
        <f t="shared" si="79"/>
        <v>64864</v>
      </c>
      <c r="J283" s="28"/>
      <c r="K283" s="7"/>
      <c r="L283" s="74">
        <f t="shared" si="80"/>
        <v>64864</v>
      </c>
      <c r="M283" s="22"/>
      <c r="N283" s="7"/>
      <c r="O283" s="23">
        <f t="shared" si="81"/>
        <v>64864</v>
      </c>
      <c r="P283" s="82"/>
      <c r="Q283" s="80">
        <f t="shared" si="78"/>
        <v>64864</v>
      </c>
    </row>
    <row r="284" spans="1:17" ht="12.75">
      <c r="A284" s="35" t="s">
        <v>87</v>
      </c>
      <c r="B284" s="99"/>
      <c r="C284" s="152"/>
      <c r="D284" s="115">
        <f>475+49.52</f>
        <v>524.52</v>
      </c>
      <c r="E284" s="115"/>
      <c r="F284" s="196">
        <f t="shared" si="77"/>
        <v>524.52</v>
      </c>
      <c r="G284" s="88"/>
      <c r="H284" s="7"/>
      <c r="I284" s="74">
        <f t="shared" si="79"/>
        <v>524.52</v>
      </c>
      <c r="J284" s="28"/>
      <c r="K284" s="7"/>
      <c r="L284" s="74">
        <f t="shared" si="80"/>
        <v>524.52</v>
      </c>
      <c r="M284" s="22"/>
      <c r="N284" s="7"/>
      <c r="O284" s="23">
        <f t="shared" si="81"/>
        <v>524.52</v>
      </c>
      <c r="P284" s="82"/>
      <c r="Q284" s="80">
        <f t="shared" si="78"/>
        <v>524.52</v>
      </c>
    </row>
    <row r="285" spans="1:17" ht="12.75" hidden="1">
      <c r="A285" s="35" t="s">
        <v>223</v>
      </c>
      <c r="B285" s="99">
        <v>13234</v>
      </c>
      <c r="C285" s="152"/>
      <c r="D285" s="115"/>
      <c r="E285" s="115"/>
      <c r="F285" s="196">
        <f t="shared" si="77"/>
        <v>0</v>
      </c>
      <c r="G285" s="88"/>
      <c r="H285" s="7"/>
      <c r="I285" s="74"/>
      <c r="J285" s="28"/>
      <c r="K285" s="7"/>
      <c r="L285" s="74"/>
      <c r="M285" s="22"/>
      <c r="N285" s="7"/>
      <c r="O285" s="23"/>
      <c r="P285" s="82"/>
      <c r="Q285" s="80"/>
    </row>
    <row r="286" spans="1:17" ht="12.75" hidden="1">
      <c r="A286" s="35" t="s">
        <v>66</v>
      </c>
      <c r="B286" s="99"/>
      <c r="C286" s="152"/>
      <c r="D286" s="115"/>
      <c r="E286" s="115"/>
      <c r="F286" s="196">
        <f t="shared" si="77"/>
        <v>0</v>
      </c>
      <c r="G286" s="88"/>
      <c r="H286" s="7"/>
      <c r="I286" s="74">
        <f>F286+G286+H286</f>
        <v>0</v>
      </c>
      <c r="J286" s="28"/>
      <c r="K286" s="7"/>
      <c r="L286" s="74">
        <f>I286+J286+K286</f>
        <v>0</v>
      </c>
      <c r="M286" s="22"/>
      <c r="N286" s="7"/>
      <c r="O286" s="23">
        <f>L286+M286+N286</f>
        <v>0</v>
      </c>
      <c r="P286" s="82"/>
      <c r="Q286" s="80">
        <f>O286+P286</f>
        <v>0</v>
      </c>
    </row>
    <row r="287" spans="1:17" ht="12.75" hidden="1">
      <c r="A287" s="35" t="s">
        <v>291</v>
      </c>
      <c r="B287" s="99">
        <v>98008</v>
      </c>
      <c r="C287" s="152"/>
      <c r="D287" s="115"/>
      <c r="E287" s="115"/>
      <c r="F287" s="196">
        <f t="shared" si="77"/>
        <v>0</v>
      </c>
      <c r="G287" s="88"/>
      <c r="H287" s="7"/>
      <c r="I287" s="74"/>
      <c r="J287" s="28"/>
      <c r="K287" s="7"/>
      <c r="L287" s="74"/>
      <c r="M287" s="22"/>
      <c r="N287" s="7"/>
      <c r="O287" s="23"/>
      <c r="P287" s="82"/>
      <c r="Q287" s="80"/>
    </row>
    <row r="288" spans="1:17" ht="12.75" hidden="1">
      <c r="A288" s="35" t="s">
        <v>292</v>
      </c>
      <c r="B288" s="99">
        <v>98071</v>
      </c>
      <c r="C288" s="152"/>
      <c r="D288" s="115"/>
      <c r="E288" s="115"/>
      <c r="F288" s="196">
        <f t="shared" si="77"/>
        <v>0</v>
      </c>
      <c r="G288" s="88"/>
      <c r="H288" s="7"/>
      <c r="I288" s="74"/>
      <c r="J288" s="28"/>
      <c r="K288" s="7"/>
      <c r="L288" s="74"/>
      <c r="M288" s="22"/>
      <c r="N288" s="7"/>
      <c r="O288" s="23"/>
      <c r="P288" s="82"/>
      <c r="Q288" s="80"/>
    </row>
    <row r="289" spans="1:17" ht="12.75">
      <c r="A289" s="35" t="s">
        <v>67</v>
      </c>
      <c r="B289" s="99">
        <v>98074</v>
      </c>
      <c r="C289" s="152"/>
      <c r="D289" s="115">
        <f>15</f>
        <v>15</v>
      </c>
      <c r="E289" s="115"/>
      <c r="F289" s="196">
        <f t="shared" si="77"/>
        <v>15</v>
      </c>
      <c r="G289" s="88"/>
      <c r="H289" s="7"/>
      <c r="I289" s="74">
        <f>F289+G289+H289</f>
        <v>15</v>
      </c>
      <c r="J289" s="28"/>
      <c r="K289" s="7"/>
      <c r="L289" s="74">
        <f>I289+J289+K289</f>
        <v>15</v>
      </c>
      <c r="M289" s="22"/>
      <c r="N289" s="7"/>
      <c r="O289" s="23">
        <f>L289+M289+N289</f>
        <v>15</v>
      </c>
      <c r="P289" s="82"/>
      <c r="Q289" s="80">
        <f>O289+P289</f>
        <v>15</v>
      </c>
    </row>
    <row r="290" spans="1:17" ht="12.75" hidden="1">
      <c r="A290" s="35" t="s">
        <v>68</v>
      </c>
      <c r="B290" s="99"/>
      <c r="C290" s="152"/>
      <c r="D290" s="115"/>
      <c r="E290" s="115"/>
      <c r="F290" s="196">
        <f t="shared" si="77"/>
        <v>0</v>
      </c>
      <c r="G290" s="88"/>
      <c r="H290" s="7"/>
      <c r="I290" s="74">
        <f>F290+G290+H290</f>
        <v>0</v>
      </c>
      <c r="J290" s="28"/>
      <c r="K290" s="7"/>
      <c r="L290" s="74">
        <f>I290+J290+K290</f>
        <v>0</v>
      </c>
      <c r="M290" s="22"/>
      <c r="N290" s="7"/>
      <c r="O290" s="23">
        <f>L290+M290+N290</f>
        <v>0</v>
      </c>
      <c r="P290" s="82"/>
      <c r="Q290" s="80">
        <f>O290+P290</f>
        <v>0</v>
      </c>
    </row>
    <row r="291" spans="1:17" ht="12.75" hidden="1">
      <c r="A291" s="35" t="s">
        <v>69</v>
      </c>
      <c r="B291" s="99">
        <v>4001</v>
      </c>
      <c r="C291" s="152"/>
      <c r="D291" s="115"/>
      <c r="E291" s="115"/>
      <c r="F291" s="196">
        <f t="shared" si="77"/>
        <v>0</v>
      </c>
      <c r="G291" s="88"/>
      <c r="H291" s="7"/>
      <c r="I291" s="74">
        <f>F291+G291+H291</f>
        <v>0</v>
      </c>
      <c r="J291" s="28"/>
      <c r="K291" s="7"/>
      <c r="L291" s="74">
        <f>I291+J291+K291</f>
        <v>0</v>
      </c>
      <c r="M291" s="22"/>
      <c r="N291" s="7"/>
      <c r="O291" s="23">
        <f>L291+M291+N291</f>
        <v>0</v>
      </c>
      <c r="P291" s="82"/>
      <c r="Q291" s="80">
        <f>O291+P291</f>
        <v>0</v>
      </c>
    </row>
    <row r="292" spans="1:17" ht="12.75">
      <c r="A292" s="41" t="s">
        <v>61</v>
      </c>
      <c r="B292" s="103"/>
      <c r="C292" s="179">
        <f>C295+C294</f>
        <v>0</v>
      </c>
      <c r="D292" s="122">
        <f aca="true" t="shared" si="82" ref="D292:Q292">D295+D294</f>
        <v>9639.22</v>
      </c>
      <c r="E292" s="122">
        <f t="shared" si="82"/>
        <v>0</v>
      </c>
      <c r="F292" s="199">
        <f t="shared" si="82"/>
        <v>9639.22</v>
      </c>
      <c r="G292" s="217">
        <f t="shared" si="82"/>
        <v>0</v>
      </c>
      <c r="H292" s="122">
        <f t="shared" si="82"/>
        <v>0</v>
      </c>
      <c r="I292" s="170">
        <f t="shared" si="82"/>
        <v>9639.22</v>
      </c>
      <c r="J292" s="179">
        <f t="shared" si="82"/>
        <v>0</v>
      </c>
      <c r="K292" s="122">
        <f t="shared" si="82"/>
        <v>0</v>
      </c>
      <c r="L292" s="170">
        <f t="shared" si="82"/>
        <v>9639.22</v>
      </c>
      <c r="M292" s="121">
        <f t="shared" si="82"/>
        <v>0</v>
      </c>
      <c r="N292" s="121">
        <f t="shared" si="82"/>
        <v>0</v>
      </c>
      <c r="O292" s="121">
        <f t="shared" si="82"/>
        <v>9639.22</v>
      </c>
      <c r="P292" s="121">
        <f t="shared" si="82"/>
        <v>0</v>
      </c>
      <c r="Q292" s="252">
        <f t="shared" si="82"/>
        <v>9639.22</v>
      </c>
    </row>
    <row r="293" spans="1:17" ht="12.75">
      <c r="A293" s="37" t="s">
        <v>27</v>
      </c>
      <c r="B293" s="99"/>
      <c r="C293" s="152"/>
      <c r="D293" s="115"/>
      <c r="E293" s="115"/>
      <c r="F293" s="174"/>
      <c r="G293" s="88"/>
      <c r="H293" s="7"/>
      <c r="I293" s="70"/>
      <c r="J293" s="28"/>
      <c r="K293" s="7"/>
      <c r="L293" s="70"/>
      <c r="M293" s="22"/>
      <c r="N293" s="7"/>
      <c r="O293" s="21"/>
      <c r="P293" s="82"/>
      <c r="Q293" s="80"/>
    </row>
    <row r="294" spans="1:17" ht="12.75" hidden="1">
      <c r="A294" s="34" t="s">
        <v>62</v>
      </c>
      <c r="B294" s="99"/>
      <c r="C294" s="152"/>
      <c r="D294" s="115"/>
      <c r="E294" s="115"/>
      <c r="F294" s="196">
        <f>C294+D294+E294</f>
        <v>0</v>
      </c>
      <c r="G294" s="88"/>
      <c r="H294" s="7"/>
      <c r="I294" s="74">
        <f>F294+G294+H294</f>
        <v>0</v>
      </c>
      <c r="J294" s="28"/>
      <c r="K294" s="7"/>
      <c r="L294" s="74">
        <f>I294+J294+K294</f>
        <v>0</v>
      </c>
      <c r="M294" s="22"/>
      <c r="N294" s="7"/>
      <c r="O294" s="23">
        <f>L294+M294+N294</f>
        <v>0</v>
      </c>
      <c r="P294" s="82"/>
      <c r="Q294" s="80">
        <f>O294+P294</f>
        <v>0</v>
      </c>
    </row>
    <row r="295" spans="1:17" ht="12.75">
      <c r="A295" s="38" t="s">
        <v>88</v>
      </c>
      <c r="B295" s="102"/>
      <c r="C295" s="180"/>
      <c r="D295" s="123">
        <f>3071+5849.48+718.74</f>
        <v>9639.22</v>
      </c>
      <c r="E295" s="123"/>
      <c r="F295" s="200">
        <f>C295+D295+E295</f>
        <v>9639.22</v>
      </c>
      <c r="G295" s="219"/>
      <c r="H295" s="10"/>
      <c r="I295" s="73">
        <f>F295+G295+H295</f>
        <v>9639.22</v>
      </c>
      <c r="J295" s="234"/>
      <c r="K295" s="10"/>
      <c r="L295" s="73">
        <f>I295+J295+K295</f>
        <v>9639.22</v>
      </c>
      <c r="M295" s="26"/>
      <c r="N295" s="10"/>
      <c r="O295" s="27">
        <f>L295+M295+N295</f>
        <v>9639.22</v>
      </c>
      <c r="P295" s="85"/>
      <c r="Q295" s="86">
        <f>O295+P295</f>
        <v>9639.22</v>
      </c>
    </row>
    <row r="296" spans="1:17" ht="12.75">
      <c r="A296" s="47" t="s">
        <v>180</v>
      </c>
      <c r="B296" s="104"/>
      <c r="C296" s="159">
        <f aca="true" t="shared" si="83" ref="C296:Q296">C297+C319</f>
        <v>856277.74</v>
      </c>
      <c r="D296" s="114">
        <f t="shared" si="83"/>
        <v>1510596.3699999999</v>
      </c>
      <c r="E296" s="114">
        <f t="shared" si="83"/>
        <v>-392.57</v>
      </c>
      <c r="F296" s="174">
        <f t="shared" si="83"/>
        <v>2366481.5400000005</v>
      </c>
      <c r="G296" s="160">
        <f t="shared" si="83"/>
        <v>0</v>
      </c>
      <c r="H296" s="114">
        <f t="shared" si="83"/>
        <v>0</v>
      </c>
      <c r="I296" s="142">
        <f t="shared" si="83"/>
        <v>0</v>
      </c>
      <c r="J296" s="159">
        <f t="shared" si="83"/>
        <v>0</v>
      </c>
      <c r="K296" s="114">
        <f t="shared" si="83"/>
        <v>0</v>
      </c>
      <c r="L296" s="142">
        <f t="shared" si="83"/>
        <v>0</v>
      </c>
      <c r="M296" s="113">
        <f t="shared" si="83"/>
        <v>0</v>
      </c>
      <c r="N296" s="113">
        <f t="shared" si="83"/>
        <v>0</v>
      </c>
      <c r="O296" s="113">
        <f t="shared" si="83"/>
        <v>0</v>
      </c>
      <c r="P296" s="113">
        <f t="shared" si="83"/>
        <v>0</v>
      </c>
      <c r="Q296" s="247">
        <f t="shared" si="83"/>
        <v>0</v>
      </c>
    </row>
    <row r="297" spans="1:17" ht="12.75">
      <c r="A297" s="41" t="s">
        <v>56</v>
      </c>
      <c r="B297" s="103"/>
      <c r="C297" s="179">
        <f aca="true" t="shared" si="84" ref="C297:Q297">SUM(C299:C307)</f>
        <v>81041.73999999999</v>
      </c>
      <c r="D297" s="122">
        <f t="shared" si="84"/>
        <v>37300.939999999995</v>
      </c>
      <c r="E297" s="122">
        <f t="shared" si="84"/>
        <v>0</v>
      </c>
      <c r="F297" s="199">
        <f t="shared" si="84"/>
        <v>118342.68</v>
      </c>
      <c r="G297" s="217">
        <f t="shared" si="84"/>
        <v>0</v>
      </c>
      <c r="H297" s="122">
        <f t="shared" si="84"/>
        <v>0</v>
      </c>
      <c r="I297" s="170">
        <f t="shared" si="84"/>
        <v>0</v>
      </c>
      <c r="J297" s="179">
        <f t="shared" si="84"/>
        <v>0</v>
      </c>
      <c r="K297" s="122">
        <f t="shared" si="84"/>
        <v>0</v>
      </c>
      <c r="L297" s="170">
        <f t="shared" si="84"/>
        <v>0</v>
      </c>
      <c r="M297" s="121">
        <f t="shared" si="84"/>
        <v>0</v>
      </c>
      <c r="N297" s="121">
        <f t="shared" si="84"/>
        <v>0</v>
      </c>
      <c r="O297" s="121">
        <f t="shared" si="84"/>
        <v>0</v>
      </c>
      <c r="P297" s="121">
        <f t="shared" si="84"/>
        <v>0</v>
      </c>
      <c r="Q297" s="252">
        <f t="shared" si="84"/>
        <v>0</v>
      </c>
    </row>
    <row r="298" spans="1:17" ht="12.75">
      <c r="A298" s="37" t="s">
        <v>27</v>
      </c>
      <c r="B298" s="99"/>
      <c r="C298" s="179"/>
      <c r="D298" s="139"/>
      <c r="E298" s="139"/>
      <c r="F298" s="199"/>
      <c r="G298" s="88"/>
      <c r="H298" s="7"/>
      <c r="I298" s="74"/>
      <c r="J298" s="28"/>
      <c r="K298" s="7"/>
      <c r="L298" s="74"/>
      <c r="M298" s="31"/>
      <c r="N298" s="7"/>
      <c r="O298" s="23"/>
      <c r="P298" s="82"/>
      <c r="Q298" s="80"/>
    </row>
    <row r="299" spans="1:17" ht="12.75">
      <c r="A299" s="39" t="s">
        <v>58</v>
      </c>
      <c r="B299" s="99"/>
      <c r="C299" s="152">
        <v>2645.9</v>
      </c>
      <c r="D299" s="126">
        <f>52.8</f>
        <v>52.8</v>
      </c>
      <c r="E299" s="126"/>
      <c r="F299" s="196">
        <f aca="true" t="shared" si="85" ref="F299:F318">C299+D299+E299</f>
        <v>2698.7000000000003</v>
      </c>
      <c r="G299" s="88"/>
      <c r="H299" s="7"/>
      <c r="I299" s="74"/>
      <c r="J299" s="28"/>
      <c r="K299" s="7"/>
      <c r="L299" s="74"/>
      <c r="M299" s="31"/>
      <c r="N299" s="7"/>
      <c r="O299" s="23"/>
      <c r="P299" s="82"/>
      <c r="Q299" s="80"/>
    </row>
    <row r="300" spans="1:17" ht="12.75">
      <c r="A300" s="39" t="s">
        <v>190</v>
      </c>
      <c r="B300" s="99">
        <v>1080</v>
      </c>
      <c r="C300" s="152"/>
      <c r="D300" s="126">
        <f>1493.12</f>
        <v>1493.12</v>
      </c>
      <c r="E300" s="126"/>
      <c r="F300" s="196">
        <f t="shared" si="85"/>
        <v>1493.12</v>
      </c>
      <c r="G300" s="88"/>
      <c r="H300" s="7"/>
      <c r="I300" s="74"/>
      <c r="J300" s="28"/>
      <c r="K300" s="7"/>
      <c r="L300" s="74"/>
      <c r="M300" s="31"/>
      <c r="N300" s="7"/>
      <c r="O300" s="23"/>
      <c r="P300" s="82"/>
      <c r="Q300" s="80"/>
    </row>
    <row r="301" spans="1:17" ht="12.75">
      <c r="A301" s="39" t="s">
        <v>191</v>
      </c>
      <c r="B301" s="240">
        <v>1081.1202</v>
      </c>
      <c r="C301" s="152">
        <v>2502</v>
      </c>
      <c r="D301" s="126">
        <f>1114.97</f>
        <v>1114.97</v>
      </c>
      <c r="E301" s="126"/>
      <c r="F301" s="196">
        <f t="shared" si="85"/>
        <v>3616.9700000000003</v>
      </c>
      <c r="G301" s="88"/>
      <c r="H301" s="7"/>
      <c r="I301" s="74"/>
      <c r="J301" s="28"/>
      <c r="K301" s="7"/>
      <c r="L301" s="74"/>
      <c r="M301" s="31"/>
      <c r="N301" s="7"/>
      <c r="O301" s="23"/>
      <c r="P301" s="82"/>
      <c r="Q301" s="80"/>
    </row>
    <row r="302" spans="1:17" ht="12.75">
      <c r="A302" s="100" t="s">
        <v>91</v>
      </c>
      <c r="B302" s="99"/>
      <c r="C302" s="152">
        <v>550</v>
      </c>
      <c r="D302" s="126"/>
      <c r="E302" s="126"/>
      <c r="F302" s="196">
        <f t="shared" si="85"/>
        <v>550</v>
      </c>
      <c r="G302" s="88"/>
      <c r="H302" s="7"/>
      <c r="I302" s="74"/>
      <c r="J302" s="28"/>
      <c r="K302" s="7"/>
      <c r="L302" s="74"/>
      <c r="M302" s="31"/>
      <c r="N302" s="7"/>
      <c r="O302" s="23"/>
      <c r="P302" s="82"/>
      <c r="Q302" s="80"/>
    </row>
    <row r="303" spans="1:17" ht="12.75">
      <c r="A303" s="35" t="s">
        <v>198</v>
      </c>
      <c r="B303" s="99"/>
      <c r="C303" s="152">
        <v>34518.84</v>
      </c>
      <c r="D303" s="126">
        <f>-300</f>
        <v>-300</v>
      </c>
      <c r="E303" s="126"/>
      <c r="F303" s="196">
        <f t="shared" si="85"/>
        <v>34218.84</v>
      </c>
      <c r="G303" s="88"/>
      <c r="H303" s="7"/>
      <c r="I303" s="74"/>
      <c r="J303" s="28"/>
      <c r="K303" s="7"/>
      <c r="L303" s="74"/>
      <c r="M303" s="31"/>
      <c r="N303" s="7"/>
      <c r="O303" s="23"/>
      <c r="P303" s="82"/>
      <c r="Q303" s="80"/>
    </row>
    <row r="304" spans="1:17" ht="12.75">
      <c r="A304" s="39" t="s">
        <v>260</v>
      </c>
      <c r="B304" s="99"/>
      <c r="C304" s="152"/>
      <c r="D304" s="126">
        <f>500</f>
        <v>500</v>
      </c>
      <c r="E304" s="126"/>
      <c r="F304" s="196">
        <f t="shared" si="85"/>
        <v>500</v>
      </c>
      <c r="G304" s="88"/>
      <c r="H304" s="7"/>
      <c r="I304" s="74"/>
      <c r="J304" s="28"/>
      <c r="K304" s="7"/>
      <c r="L304" s="74"/>
      <c r="M304" s="31"/>
      <c r="N304" s="7"/>
      <c r="O304" s="23"/>
      <c r="P304" s="82"/>
      <c r="Q304" s="80"/>
    </row>
    <row r="305" spans="1:17" ht="12.75" hidden="1">
      <c r="A305" s="35" t="s">
        <v>220</v>
      </c>
      <c r="B305" s="163">
        <v>212163</v>
      </c>
      <c r="C305" s="152"/>
      <c r="D305" s="126"/>
      <c r="E305" s="126"/>
      <c r="F305" s="196">
        <f t="shared" si="85"/>
        <v>0</v>
      </c>
      <c r="G305" s="88"/>
      <c r="H305" s="7"/>
      <c r="I305" s="74"/>
      <c r="J305" s="28"/>
      <c r="K305" s="7"/>
      <c r="L305" s="74"/>
      <c r="M305" s="31"/>
      <c r="N305" s="7"/>
      <c r="O305" s="23"/>
      <c r="P305" s="82"/>
      <c r="Q305" s="80"/>
    </row>
    <row r="306" spans="1:17" ht="12.75">
      <c r="A306" s="39" t="s">
        <v>183</v>
      </c>
      <c r="B306" s="163">
        <v>212162</v>
      </c>
      <c r="C306" s="152"/>
      <c r="D306" s="126">
        <f>658.97</f>
        <v>658.97</v>
      </c>
      <c r="E306" s="126"/>
      <c r="F306" s="196">
        <f t="shared" si="85"/>
        <v>658.97</v>
      </c>
      <c r="G306" s="88"/>
      <c r="H306" s="7"/>
      <c r="I306" s="74"/>
      <c r="J306" s="28"/>
      <c r="K306" s="7"/>
      <c r="L306" s="74"/>
      <c r="M306" s="31"/>
      <c r="N306" s="7"/>
      <c r="O306" s="23"/>
      <c r="P306" s="82"/>
      <c r="Q306" s="80"/>
    </row>
    <row r="307" spans="1:17" ht="12.75">
      <c r="A307" s="35" t="s">
        <v>88</v>
      </c>
      <c r="B307" s="99"/>
      <c r="C307" s="154">
        <f>SUM(C308:C318)</f>
        <v>40825</v>
      </c>
      <c r="D307" s="126">
        <f aca="true" t="shared" si="86" ref="D307:Q307">SUM(D308:D318)</f>
        <v>33781.079999999994</v>
      </c>
      <c r="E307" s="126">
        <f t="shared" si="86"/>
        <v>0</v>
      </c>
      <c r="F307" s="203">
        <f t="shared" si="86"/>
        <v>74606.08</v>
      </c>
      <c r="G307" s="172">
        <f t="shared" si="86"/>
        <v>0</v>
      </c>
      <c r="H307" s="126">
        <f t="shared" si="86"/>
        <v>0</v>
      </c>
      <c r="I307" s="172">
        <f t="shared" si="86"/>
        <v>0</v>
      </c>
      <c r="J307" s="154">
        <f t="shared" si="86"/>
        <v>0</v>
      </c>
      <c r="K307" s="126">
        <f t="shared" si="86"/>
        <v>0</v>
      </c>
      <c r="L307" s="172">
        <f t="shared" si="86"/>
        <v>0</v>
      </c>
      <c r="M307" s="154">
        <f t="shared" si="86"/>
        <v>0</v>
      </c>
      <c r="N307" s="154">
        <f t="shared" si="86"/>
        <v>0</v>
      </c>
      <c r="O307" s="154">
        <f t="shared" si="86"/>
        <v>0</v>
      </c>
      <c r="P307" s="154">
        <f t="shared" si="86"/>
        <v>0</v>
      </c>
      <c r="Q307" s="254">
        <f t="shared" si="86"/>
        <v>0</v>
      </c>
    </row>
    <row r="308" spans="1:17" ht="12.75">
      <c r="A308" s="35" t="s">
        <v>246</v>
      </c>
      <c r="B308" s="99"/>
      <c r="C308" s="154">
        <v>14000</v>
      </c>
      <c r="D308" s="126"/>
      <c r="E308" s="115"/>
      <c r="F308" s="196">
        <f t="shared" si="85"/>
        <v>14000</v>
      </c>
      <c r="G308" s="88"/>
      <c r="H308" s="7"/>
      <c r="I308" s="74"/>
      <c r="J308" s="28"/>
      <c r="K308" s="7"/>
      <c r="L308" s="74"/>
      <c r="M308" s="31"/>
      <c r="N308" s="7"/>
      <c r="O308" s="23"/>
      <c r="P308" s="82"/>
      <c r="Q308" s="80"/>
    </row>
    <row r="309" spans="1:17" ht="12.75">
      <c r="A309" s="35" t="s">
        <v>197</v>
      </c>
      <c r="B309" s="99"/>
      <c r="C309" s="154"/>
      <c r="D309" s="126">
        <f>146.37+25302.67</f>
        <v>25449.039999999997</v>
      </c>
      <c r="E309" s="115"/>
      <c r="F309" s="196">
        <f t="shared" si="85"/>
        <v>25449.039999999997</v>
      </c>
      <c r="G309" s="88"/>
      <c r="H309" s="7"/>
      <c r="I309" s="74"/>
      <c r="J309" s="28"/>
      <c r="K309" s="7"/>
      <c r="L309" s="74"/>
      <c r="M309" s="31"/>
      <c r="N309" s="7"/>
      <c r="O309" s="23"/>
      <c r="P309" s="82"/>
      <c r="Q309" s="80"/>
    </row>
    <row r="310" spans="1:17" ht="12.75">
      <c r="A310" s="35" t="s">
        <v>317</v>
      </c>
      <c r="B310" s="99"/>
      <c r="C310" s="154">
        <v>475</v>
      </c>
      <c r="D310" s="140">
        <f>-475</f>
        <v>-475</v>
      </c>
      <c r="E310" s="115"/>
      <c r="F310" s="196">
        <f t="shared" si="85"/>
        <v>0</v>
      </c>
      <c r="G310" s="88"/>
      <c r="H310" s="7"/>
      <c r="I310" s="74"/>
      <c r="J310" s="28"/>
      <c r="K310" s="7"/>
      <c r="L310" s="74"/>
      <c r="M310" s="31"/>
      <c r="N310" s="7"/>
      <c r="O310" s="23"/>
      <c r="P310" s="82"/>
      <c r="Q310" s="80"/>
    </row>
    <row r="311" spans="1:17" ht="12.75" hidden="1">
      <c r="A311" s="35" t="s">
        <v>231</v>
      </c>
      <c r="B311" s="99"/>
      <c r="C311" s="154"/>
      <c r="D311" s="126"/>
      <c r="E311" s="115"/>
      <c r="F311" s="196">
        <f t="shared" si="85"/>
        <v>0</v>
      </c>
      <c r="G311" s="88"/>
      <c r="H311" s="7"/>
      <c r="I311" s="74"/>
      <c r="J311" s="28"/>
      <c r="K311" s="7"/>
      <c r="L311" s="74"/>
      <c r="M311" s="31"/>
      <c r="N311" s="7"/>
      <c r="O311" s="23"/>
      <c r="P311" s="82"/>
      <c r="Q311" s="80"/>
    </row>
    <row r="312" spans="1:17" ht="12.75">
      <c r="A312" s="35" t="s">
        <v>259</v>
      </c>
      <c r="B312" s="99"/>
      <c r="C312" s="154"/>
      <c r="D312" s="126">
        <f>12500+439.55</f>
        <v>12939.55</v>
      </c>
      <c r="E312" s="115"/>
      <c r="F312" s="196">
        <f t="shared" si="85"/>
        <v>12939.55</v>
      </c>
      <c r="G312" s="88"/>
      <c r="H312" s="7"/>
      <c r="I312" s="74"/>
      <c r="J312" s="28"/>
      <c r="K312" s="7"/>
      <c r="L312" s="74"/>
      <c r="M312" s="31"/>
      <c r="N312" s="7"/>
      <c r="O312" s="23"/>
      <c r="P312" s="82"/>
      <c r="Q312" s="80"/>
    </row>
    <row r="313" spans="1:17" ht="12.75">
      <c r="A313" s="35" t="s">
        <v>196</v>
      </c>
      <c r="B313" s="99"/>
      <c r="C313" s="154"/>
      <c r="D313" s="126">
        <f>146.2+494.22+1.89+731.81+66.43+30.89+557.68+130.68+290.4+1173.45+24.2+13.17+20.57+20.57</f>
        <v>3702.16</v>
      </c>
      <c r="E313" s="115"/>
      <c r="F313" s="196">
        <f t="shared" si="85"/>
        <v>3702.16</v>
      </c>
      <c r="G313" s="88"/>
      <c r="H313" s="7"/>
      <c r="I313" s="74"/>
      <c r="J313" s="28"/>
      <c r="K313" s="7"/>
      <c r="L313" s="74"/>
      <c r="M313" s="31"/>
      <c r="N313" s="7"/>
      <c r="O313" s="23"/>
      <c r="P313" s="82"/>
      <c r="Q313" s="80"/>
    </row>
    <row r="314" spans="1:17" ht="12.75">
      <c r="A314" s="35" t="s">
        <v>199</v>
      </c>
      <c r="B314" s="99"/>
      <c r="C314" s="154"/>
      <c r="D314" s="126">
        <f>2617.13</f>
        <v>2617.13</v>
      </c>
      <c r="E314" s="115"/>
      <c r="F314" s="196">
        <f t="shared" si="85"/>
        <v>2617.13</v>
      </c>
      <c r="G314" s="88"/>
      <c r="H314" s="7"/>
      <c r="I314" s="74"/>
      <c r="J314" s="28"/>
      <c r="K314" s="7"/>
      <c r="L314" s="74"/>
      <c r="M314" s="31"/>
      <c r="N314" s="7"/>
      <c r="O314" s="23"/>
      <c r="P314" s="82"/>
      <c r="Q314" s="80"/>
    </row>
    <row r="315" spans="1:17" ht="12.75">
      <c r="A315" s="35" t="s">
        <v>205</v>
      </c>
      <c r="B315" s="99"/>
      <c r="C315" s="154">
        <v>8463</v>
      </c>
      <c r="D315" s="126">
        <f>-951+41.35</f>
        <v>-909.65</v>
      </c>
      <c r="E315" s="115"/>
      <c r="F315" s="196">
        <f t="shared" si="85"/>
        <v>7553.35</v>
      </c>
      <c r="G315" s="88"/>
      <c r="H315" s="7"/>
      <c r="I315" s="74"/>
      <c r="J315" s="28"/>
      <c r="K315" s="7"/>
      <c r="L315" s="74"/>
      <c r="M315" s="31"/>
      <c r="N315" s="7"/>
      <c r="O315" s="23"/>
      <c r="P315" s="82"/>
      <c r="Q315" s="80"/>
    </row>
    <row r="316" spans="1:17" ht="12.75">
      <c r="A316" s="38" t="s">
        <v>203</v>
      </c>
      <c r="B316" s="102"/>
      <c r="C316" s="184">
        <v>16691</v>
      </c>
      <c r="D316" s="265">
        <f>-12690.05+2000</f>
        <v>-10690.05</v>
      </c>
      <c r="E316" s="123"/>
      <c r="F316" s="200">
        <f t="shared" si="85"/>
        <v>6000.950000000001</v>
      </c>
      <c r="G316" s="88"/>
      <c r="H316" s="7"/>
      <c r="I316" s="74"/>
      <c r="J316" s="28"/>
      <c r="K316" s="7"/>
      <c r="L316" s="74"/>
      <c r="M316" s="31"/>
      <c r="N316" s="7"/>
      <c r="O316" s="23"/>
      <c r="P316" s="82"/>
      <c r="Q316" s="80"/>
    </row>
    <row r="317" spans="1:17" ht="12.75">
      <c r="A317" s="35" t="s">
        <v>235</v>
      </c>
      <c r="B317" s="99"/>
      <c r="C317" s="154">
        <v>1196</v>
      </c>
      <c r="D317" s="126">
        <f>-140.48-105+671</f>
        <v>425.52</v>
      </c>
      <c r="E317" s="115"/>
      <c r="F317" s="196">
        <f t="shared" si="85"/>
        <v>1621.52</v>
      </c>
      <c r="G317" s="88"/>
      <c r="H317" s="7"/>
      <c r="I317" s="74"/>
      <c r="J317" s="28"/>
      <c r="K317" s="7"/>
      <c r="L317" s="74"/>
      <c r="M317" s="31"/>
      <c r="N317" s="7"/>
      <c r="O317" s="23"/>
      <c r="P317" s="82"/>
      <c r="Q317" s="80"/>
    </row>
    <row r="318" spans="1:17" ht="12.75">
      <c r="A318" s="35" t="s">
        <v>274</v>
      </c>
      <c r="B318" s="99"/>
      <c r="C318" s="154"/>
      <c r="D318" s="140">
        <f>767.53-6.64-3.09-33-2.42</f>
        <v>722.38</v>
      </c>
      <c r="E318" s="115"/>
      <c r="F318" s="196">
        <f t="shared" si="85"/>
        <v>722.38</v>
      </c>
      <c r="G318" s="88"/>
      <c r="H318" s="7"/>
      <c r="I318" s="74"/>
      <c r="J318" s="28"/>
      <c r="K318" s="7"/>
      <c r="L318" s="74"/>
      <c r="M318" s="31"/>
      <c r="N318" s="7"/>
      <c r="O318" s="23"/>
      <c r="P318" s="82"/>
      <c r="Q318" s="80"/>
    </row>
    <row r="319" spans="1:17" ht="12.75">
      <c r="A319" s="41" t="s">
        <v>61</v>
      </c>
      <c r="B319" s="103"/>
      <c r="C319" s="179">
        <f aca="true" t="shared" si="87" ref="C319:Q319">SUM(C321:C332)</f>
        <v>775236</v>
      </c>
      <c r="D319" s="122">
        <f t="shared" si="87"/>
        <v>1473295.43</v>
      </c>
      <c r="E319" s="122">
        <f t="shared" si="87"/>
        <v>-392.57</v>
      </c>
      <c r="F319" s="199">
        <f t="shared" si="87"/>
        <v>2248138.8600000003</v>
      </c>
      <c r="G319" s="217">
        <f t="shared" si="87"/>
        <v>0</v>
      </c>
      <c r="H319" s="122">
        <f t="shared" si="87"/>
        <v>0</v>
      </c>
      <c r="I319" s="170">
        <f t="shared" si="87"/>
        <v>0</v>
      </c>
      <c r="J319" s="179">
        <f t="shared" si="87"/>
        <v>0</v>
      </c>
      <c r="K319" s="122">
        <f t="shared" si="87"/>
        <v>0</v>
      </c>
      <c r="L319" s="170">
        <f t="shared" si="87"/>
        <v>0</v>
      </c>
      <c r="M319" s="121">
        <f t="shared" si="87"/>
        <v>0</v>
      </c>
      <c r="N319" s="121">
        <f t="shared" si="87"/>
        <v>0</v>
      </c>
      <c r="O319" s="121">
        <f t="shared" si="87"/>
        <v>0</v>
      </c>
      <c r="P319" s="121">
        <f t="shared" si="87"/>
        <v>0</v>
      </c>
      <c r="Q319" s="252">
        <f t="shared" si="87"/>
        <v>0</v>
      </c>
    </row>
    <row r="320" spans="1:17" ht="12.75">
      <c r="A320" s="39" t="s">
        <v>27</v>
      </c>
      <c r="B320" s="99"/>
      <c r="C320" s="152"/>
      <c r="D320" s="115"/>
      <c r="E320" s="115"/>
      <c r="F320" s="196"/>
      <c r="G320" s="88"/>
      <c r="H320" s="7"/>
      <c r="I320" s="74"/>
      <c r="J320" s="28"/>
      <c r="K320" s="7"/>
      <c r="L320" s="74"/>
      <c r="M320" s="31"/>
      <c r="N320" s="7"/>
      <c r="O320" s="23"/>
      <c r="P320" s="82"/>
      <c r="Q320" s="80"/>
    </row>
    <row r="321" spans="1:17" ht="12.75" hidden="1">
      <c r="A321" s="39" t="s">
        <v>192</v>
      </c>
      <c r="B321" s="99"/>
      <c r="C321" s="152"/>
      <c r="D321" s="115"/>
      <c r="E321" s="115"/>
      <c r="F321" s="196">
        <f aca="true" t="shared" si="88" ref="F321:F344">C321+D321+E321</f>
        <v>0</v>
      </c>
      <c r="G321" s="88"/>
      <c r="H321" s="7"/>
      <c r="I321" s="74"/>
      <c r="J321" s="28"/>
      <c r="K321" s="7"/>
      <c r="L321" s="74"/>
      <c r="M321" s="31"/>
      <c r="N321" s="7"/>
      <c r="O321" s="23"/>
      <c r="P321" s="82"/>
      <c r="Q321" s="80"/>
    </row>
    <row r="322" spans="1:17" ht="12.75">
      <c r="A322" s="39" t="s">
        <v>191</v>
      </c>
      <c r="B322" s="240">
        <v>1081.1202</v>
      </c>
      <c r="C322" s="152">
        <v>5725</v>
      </c>
      <c r="D322" s="115">
        <f>792.52</f>
        <v>792.52</v>
      </c>
      <c r="E322" s="115"/>
      <c r="F322" s="196">
        <f t="shared" si="88"/>
        <v>6517.52</v>
      </c>
      <c r="G322" s="88"/>
      <c r="H322" s="7"/>
      <c r="I322" s="74"/>
      <c r="J322" s="28"/>
      <c r="K322" s="7"/>
      <c r="L322" s="74"/>
      <c r="M322" s="31"/>
      <c r="N322" s="7"/>
      <c r="O322" s="23"/>
      <c r="P322" s="82"/>
      <c r="Q322" s="80"/>
    </row>
    <row r="323" spans="1:17" ht="12.75">
      <c r="A323" s="39" t="s">
        <v>182</v>
      </c>
      <c r="B323" s="99"/>
      <c r="C323" s="152">
        <v>33853</v>
      </c>
      <c r="D323" s="115">
        <f>4022.06</f>
        <v>4022.06</v>
      </c>
      <c r="E323" s="115"/>
      <c r="F323" s="196">
        <f t="shared" si="88"/>
        <v>37875.06</v>
      </c>
      <c r="G323" s="88"/>
      <c r="H323" s="7"/>
      <c r="I323" s="74"/>
      <c r="J323" s="28"/>
      <c r="K323" s="7"/>
      <c r="L323" s="74"/>
      <c r="M323" s="31"/>
      <c r="N323" s="7"/>
      <c r="O323" s="23"/>
      <c r="P323" s="82"/>
      <c r="Q323" s="80"/>
    </row>
    <row r="324" spans="1:17" ht="12.75">
      <c r="A324" s="39" t="s">
        <v>244</v>
      </c>
      <c r="B324" s="99"/>
      <c r="C324" s="152"/>
      <c r="D324" s="126">
        <f>802.9</f>
        <v>802.9</v>
      </c>
      <c r="E324" s="126"/>
      <c r="F324" s="196">
        <f t="shared" si="88"/>
        <v>802.9</v>
      </c>
      <c r="G324" s="88"/>
      <c r="H324" s="7"/>
      <c r="I324" s="74"/>
      <c r="J324" s="28"/>
      <c r="K324" s="7"/>
      <c r="L324" s="74"/>
      <c r="M324" s="31"/>
      <c r="N324" s="7"/>
      <c r="O324" s="23"/>
      <c r="P324" s="82"/>
      <c r="Q324" s="80"/>
    </row>
    <row r="325" spans="1:17" ht="12.75">
      <c r="A325" s="161" t="s">
        <v>260</v>
      </c>
      <c r="B325" s="99"/>
      <c r="C325" s="152">
        <v>420000</v>
      </c>
      <c r="D325" s="140">
        <f>180000+100000+25+25+8134.79</f>
        <v>288184.79</v>
      </c>
      <c r="E325" s="140"/>
      <c r="F325" s="196">
        <f t="shared" si="88"/>
        <v>708184.79</v>
      </c>
      <c r="G325" s="88"/>
      <c r="H325" s="7"/>
      <c r="I325" s="74"/>
      <c r="J325" s="28"/>
      <c r="K325" s="7"/>
      <c r="L325" s="74"/>
      <c r="M325" s="31"/>
      <c r="N325" s="7"/>
      <c r="O325" s="23"/>
      <c r="P325" s="82"/>
      <c r="Q325" s="80"/>
    </row>
    <row r="326" spans="1:17" ht="12.75">
      <c r="A326" s="39" t="s">
        <v>283</v>
      </c>
      <c r="B326" s="163">
        <v>212161</v>
      </c>
      <c r="C326" s="152">
        <v>81932</v>
      </c>
      <c r="D326" s="126">
        <f>20000+35000+3955.95</f>
        <v>58955.95</v>
      </c>
      <c r="E326" s="126"/>
      <c r="F326" s="196">
        <f t="shared" si="88"/>
        <v>140887.95</v>
      </c>
      <c r="G326" s="88"/>
      <c r="H326" s="7"/>
      <c r="I326" s="74"/>
      <c r="J326" s="28"/>
      <c r="K326" s="7"/>
      <c r="L326" s="74"/>
      <c r="M326" s="31"/>
      <c r="N326" s="7"/>
      <c r="O326" s="23"/>
      <c r="P326" s="82"/>
      <c r="Q326" s="80"/>
    </row>
    <row r="327" spans="1:17" ht="12.75" hidden="1">
      <c r="A327" s="39" t="s">
        <v>268</v>
      </c>
      <c r="B327" s="163">
        <v>22777</v>
      </c>
      <c r="C327" s="152"/>
      <c r="D327" s="126"/>
      <c r="E327" s="126"/>
      <c r="F327" s="196">
        <f t="shared" si="88"/>
        <v>0</v>
      </c>
      <c r="G327" s="88"/>
      <c r="H327" s="7"/>
      <c r="I327" s="74"/>
      <c r="J327" s="28"/>
      <c r="K327" s="7"/>
      <c r="L327" s="74"/>
      <c r="M327" s="31"/>
      <c r="N327" s="7"/>
      <c r="O327" s="23"/>
      <c r="P327" s="82"/>
      <c r="Q327" s="80"/>
    </row>
    <row r="328" spans="1:17" ht="12.75">
      <c r="A328" s="39" t="s">
        <v>324</v>
      </c>
      <c r="B328" s="163">
        <v>98858</v>
      </c>
      <c r="C328" s="152"/>
      <c r="D328" s="126">
        <f>33000</f>
        <v>33000</v>
      </c>
      <c r="E328" s="126"/>
      <c r="F328" s="196">
        <f t="shared" si="88"/>
        <v>33000</v>
      </c>
      <c r="G328" s="88"/>
      <c r="H328" s="7"/>
      <c r="I328" s="74"/>
      <c r="J328" s="28"/>
      <c r="K328" s="7"/>
      <c r="L328" s="74"/>
      <c r="M328" s="31"/>
      <c r="N328" s="7"/>
      <c r="O328" s="23"/>
      <c r="P328" s="82"/>
      <c r="Q328" s="80"/>
    </row>
    <row r="329" spans="1:17" ht="12.75">
      <c r="A329" s="39" t="s">
        <v>183</v>
      </c>
      <c r="B329" s="163">
        <v>212162</v>
      </c>
      <c r="C329" s="152"/>
      <c r="D329" s="126">
        <f>45097.04</f>
        <v>45097.04</v>
      </c>
      <c r="E329" s="126"/>
      <c r="F329" s="196">
        <f t="shared" si="88"/>
        <v>45097.04</v>
      </c>
      <c r="G329" s="88"/>
      <c r="H329" s="7"/>
      <c r="I329" s="74"/>
      <c r="J329" s="28"/>
      <c r="K329" s="7"/>
      <c r="L329" s="74"/>
      <c r="M329" s="31"/>
      <c r="N329" s="7"/>
      <c r="O329" s="23"/>
      <c r="P329" s="82"/>
      <c r="Q329" s="80"/>
    </row>
    <row r="330" spans="1:17" ht="12.75">
      <c r="A330" s="39" t="s">
        <v>86</v>
      </c>
      <c r="B330" s="163">
        <v>91628</v>
      </c>
      <c r="C330" s="152"/>
      <c r="D330" s="126">
        <f>153987</f>
        <v>153987</v>
      </c>
      <c r="E330" s="126"/>
      <c r="F330" s="196">
        <f t="shared" si="88"/>
        <v>153987</v>
      </c>
      <c r="G330" s="88"/>
      <c r="H330" s="7"/>
      <c r="I330" s="74"/>
      <c r="J330" s="28"/>
      <c r="K330" s="7"/>
      <c r="L330" s="74"/>
      <c r="M330" s="31"/>
      <c r="N330" s="7"/>
      <c r="O330" s="23"/>
      <c r="P330" s="82"/>
      <c r="Q330" s="80"/>
    </row>
    <row r="331" spans="1:17" ht="12.75">
      <c r="A331" s="39" t="s">
        <v>226</v>
      </c>
      <c r="B331" s="99"/>
      <c r="C331" s="152"/>
      <c r="D331" s="126">
        <f>940.71+300</f>
        <v>1240.71</v>
      </c>
      <c r="E331" s="126"/>
      <c r="F331" s="196">
        <f t="shared" si="88"/>
        <v>1240.71</v>
      </c>
      <c r="G331" s="88"/>
      <c r="H331" s="7"/>
      <c r="I331" s="74"/>
      <c r="J331" s="28"/>
      <c r="K331" s="7"/>
      <c r="L331" s="74"/>
      <c r="M331" s="31"/>
      <c r="N331" s="7"/>
      <c r="O331" s="23"/>
      <c r="P331" s="82"/>
      <c r="Q331" s="80"/>
    </row>
    <row r="332" spans="1:17" ht="12.75">
      <c r="A332" s="39" t="s">
        <v>184</v>
      </c>
      <c r="B332" s="99"/>
      <c r="C332" s="152">
        <f>SUM(C333:C344)</f>
        <v>233726</v>
      </c>
      <c r="D332" s="115">
        <f aca="true" t="shared" si="89" ref="D332:Q332">SUM(D333:D344)</f>
        <v>887212.46</v>
      </c>
      <c r="E332" s="115">
        <f t="shared" si="89"/>
        <v>-392.57</v>
      </c>
      <c r="F332" s="196">
        <f t="shared" si="89"/>
        <v>1120545.8900000001</v>
      </c>
      <c r="G332" s="153">
        <f t="shared" si="89"/>
        <v>0</v>
      </c>
      <c r="H332" s="115">
        <f t="shared" si="89"/>
        <v>0</v>
      </c>
      <c r="I332" s="153">
        <f t="shared" si="89"/>
        <v>0</v>
      </c>
      <c r="J332" s="152">
        <f t="shared" si="89"/>
        <v>0</v>
      </c>
      <c r="K332" s="115">
        <f t="shared" si="89"/>
        <v>0</v>
      </c>
      <c r="L332" s="153">
        <f t="shared" si="89"/>
        <v>0</v>
      </c>
      <c r="M332" s="152">
        <f t="shared" si="89"/>
        <v>0</v>
      </c>
      <c r="N332" s="152">
        <f t="shared" si="89"/>
        <v>0</v>
      </c>
      <c r="O332" s="152">
        <f t="shared" si="89"/>
        <v>0</v>
      </c>
      <c r="P332" s="152">
        <f t="shared" si="89"/>
        <v>0</v>
      </c>
      <c r="Q332" s="248">
        <f t="shared" si="89"/>
        <v>0</v>
      </c>
    </row>
    <row r="333" spans="1:17" ht="12.75">
      <c r="A333" s="39" t="s">
        <v>185</v>
      </c>
      <c r="B333" s="99"/>
      <c r="C333" s="152">
        <v>7410</v>
      </c>
      <c r="D333" s="126">
        <f>20624.21+142104.89</f>
        <v>162729.1</v>
      </c>
      <c r="E333" s="115"/>
      <c r="F333" s="196">
        <f t="shared" si="88"/>
        <v>170139.1</v>
      </c>
      <c r="G333" s="88"/>
      <c r="H333" s="7"/>
      <c r="I333" s="74"/>
      <c r="J333" s="28"/>
      <c r="K333" s="7"/>
      <c r="L333" s="74"/>
      <c r="M333" s="31"/>
      <c r="N333" s="7"/>
      <c r="O333" s="23"/>
      <c r="P333" s="82"/>
      <c r="Q333" s="80"/>
    </row>
    <row r="334" spans="1:17" ht="12.75" hidden="1">
      <c r="A334" s="39" t="s">
        <v>206</v>
      </c>
      <c r="B334" s="99"/>
      <c r="C334" s="152"/>
      <c r="D334" s="126"/>
      <c r="E334" s="115"/>
      <c r="F334" s="196">
        <f t="shared" si="88"/>
        <v>0</v>
      </c>
      <c r="G334" s="88"/>
      <c r="H334" s="7"/>
      <c r="I334" s="74"/>
      <c r="J334" s="28"/>
      <c r="K334" s="7"/>
      <c r="L334" s="74"/>
      <c r="M334" s="31"/>
      <c r="N334" s="7"/>
      <c r="O334" s="23"/>
      <c r="P334" s="82"/>
      <c r="Q334" s="80"/>
    </row>
    <row r="335" spans="1:17" ht="12.75">
      <c r="A335" s="35" t="s">
        <v>318</v>
      </c>
      <c r="B335" s="99"/>
      <c r="C335" s="152">
        <v>3071</v>
      </c>
      <c r="D335" s="126">
        <f>-3071+420</f>
        <v>-2651</v>
      </c>
      <c r="E335" s="115"/>
      <c r="F335" s="196">
        <f t="shared" si="88"/>
        <v>420</v>
      </c>
      <c r="G335" s="88"/>
      <c r="H335" s="7"/>
      <c r="I335" s="74"/>
      <c r="J335" s="28"/>
      <c r="K335" s="7"/>
      <c r="L335" s="74"/>
      <c r="M335" s="31"/>
      <c r="N335" s="7"/>
      <c r="O335" s="23"/>
      <c r="P335" s="82"/>
      <c r="Q335" s="80"/>
    </row>
    <row r="336" spans="1:17" ht="12.75" hidden="1">
      <c r="A336" s="39" t="s">
        <v>219</v>
      </c>
      <c r="B336" s="99"/>
      <c r="C336" s="152"/>
      <c r="D336" s="126"/>
      <c r="E336" s="115"/>
      <c r="F336" s="196">
        <f t="shared" si="88"/>
        <v>0</v>
      </c>
      <c r="G336" s="88"/>
      <c r="H336" s="7"/>
      <c r="I336" s="74"/>
      <c r="J336" s="28"/>
      <c r="K336" s="7"/>
      <c r="L336" s="74"/>
      <c r="M336" s="31"/>
      <c r="N336" s="7"/>
      <c r="O336" s="23"/>
      <c r="P336" s="82"/>
      <c r="Q336" s="80"/>
    </row>
    <row r="337" spans="1:17" ht="12.75">
      <c r="A337" s="39" t="s">
        <v>186</v>
      </c>
      <c r="B337" s="99"/>
      <c r="C337" s="152">
        <v>82040</v>
      </c>
      <c r="D337" s="126">
        <f>223153.48+13199.17</f>
        <v>236352.65000000002</v>
      </c>
      <c r="E337" s="115"/>
      <c r="F337" s="196">
        <f t="shared" si="88"/>
        <v>318392.65</v>
      </c>
      <c r="G337" s="88"/>
      <c r="H337" s="7"/>
      <c r="I337" s="74"/>
      <c r="J337" s="28"/>
      <c r="K337" s="7"/>
      <c r="L337" s="74"/>
      <c r="M337" s="31"/>
      <c r="N337" s="7"/>
      <c r="O337" s="23"/>
      <c r="P337" s="82"/>
      <c r="Q337" s="80"/>
    </row>
    <row r="338" spans="1:17" ht="12.75">
      <c r="A338" s="39" t="s">
        <v>187</v>
      </c>
      <c r="B338" s="99"/>
      <c r="C338" s="152">
        <v>19531</v>
      </c>
      <c r="D338" s="126">
        <f>1421.95+1579.52+435.09+647.68+21.78+6.05+43.56+2661.82+3539.3+618.15+828.99+1642.35+48.4+1824.91+364.77+23.4+1042.29+1963.76+1025.79+334.24+19.6+1010.16+46983.03-545+15693.8+2097.91+121.46+48.4+228.69+26.38+2998.76-12050-1000-2663+650.07+2572.1+1039.36+289.86+42.35+1387.91</f>
        <v>79025.64000000003</v>
      </c>
      <c r="E338" s="115"/>
      <c r="F338" s="196">
        <f t="shared" si="88"/>
        <v>98556.64000000003</v>
      </c>
      <c r="G338" s="88"/>
      <c r="H338" s="7"/>
      <c r="I338" s="74"/>
      <c r="J338" s="28"/>
      <c r="K338" s="7"/>
      <c r="L338" s="74"/>
      <c r="M338" s="31"/>
      <c r="N338" s="7"/>
      <c r="O338" s="23"/>
      <c r="P338" s="82"/>
      <c r="Q338" s="80"/>
    </row>
    <row r="339" spans="1:17" ht="12.75">
      <c r="A339" s="39" t="s">
        <v>193</v>
      </c>
      <c r="B339" s="99"/>
      <c r="C339" s="152">
        <v>57230</v>
      </c>
      <c r="D339" s="126">
        <f>1157.99+12622.64</f>
        <v>13780.63</v>
      </c>
      <c r="E339" s="115"/>
      <c r="F339" s="196">
        <f t="shared" si="88"/>
        <v>71010.63</v>
      </c>
      <c r="G339" s="88"/>
      <c r="H339" s="7"/>
      <c r="I339" s="74"/>
      <c r="J339" s="28"/>
      <c r="K339" s="7"/>
      <c r="L339" s="74"/>
      <c r="M339" s="31"/>
      <c r="N339" s="7"/>
      <c r="O339" s="23"/>
      <c r="P339" s="82"/>
      <c r="Q339" s="80"/>
    </row>
    <row r="340" spans="1:17" ht="12.75">
      <c r="A340" s="39" t="s">
        <v>204</v>
      </c>
      <c r="B340" s="99"/>
      <c r="C340" s="152">
        <v>50803</v>
      </c>
      <c r="D340" s="126">
        <f>689.65+810.9-3364+30480.21+547.34-9000-30657+1094.51</f>
        <v>-9398.390000000001</v>
      </c>
      <c r="E340" s="115"/>
      <c r="F340" s="196">
        <f t="shared" si="88"/>
        <v>41404.61</v>
      </c>
      <c r="G340" s="88"/>
      <c r="H340" s="7"/>
      <c r="I340" s="74"/>
      <c r="J340" s="28"/>
      <c r="K340" s="7"/>
      <c r="L340" s="74"/>
      <c r="M340" s="31"/>
      <c r="N340" s="7"/>
      <c r="O340" s="23"/>
      <c r="P340" s="82"/>
      <c r="Q340" s="80"/>
    </row>
    <row r="341" spans="1:17" ht="12.75">
      <c r="A341" s="39" t="s">
        <v>188</v>
      </c>
      <c r="B341" s="99"/>
      <c r="C341" s="152">
        <v>8641</v>
      </c>
      <c r="D341" s="115">
        <f>1265.87+608.05+1165.23+37309.97+656.05+492.6+17.97</f>
        <v>41515.740000000005</v>
      </c>
      <c r="E341" s="115"/>
      <c r="F341" s="196">
        <f t="shared" si="88"/>
        <v>50156.740000000005</v>
      </c>
      <c r="G341" s="88"/>
      <c r="H341" s="7"/>
      <c r="I341" s="74"/>
      <c r="J341" s="28"/>
      <c r="K341" s="7"/>
      <c r="L341" s="74"/>
      <c r="M341" s="31"/>
      <c r="N341" s="7"/>
      <c r="O341" s="23"/>
      <c r="P341" s="82"/>
      <c r="Q341" s="80"/>
    </row>
    <row r="342" spans="1:17" ht="12.75">
      <c r="A342" s="39" t="s">
        <v>265</v>
      </c>
      <c r="B342" s="99">
        <v>2088</v>
      </c>
      <c r="C342" s="152"/>
      <c r="D342" s="115">
        <f>54326.96</f>
        <v>54326.96</v>
      </c>
      <c r="E342" s="115"/>
      <c r="F342" s="196">
        <f t="shared" si="88"/>
        <v>54326.96</v>
      </c>
      <c r="G342" s="88"/>
      <c r="H342" s="7"/>
      <c r="I342" s="74"/>
      <c r="J342" s="28"/>
      <c r="K342" s="7"/>
      <c r="L342" s="74"/>
      <c r="M342" s="31"/>
      <c r="N342" s="7"/>
      <c r="O342" s="23"/>
      <c r="P342" s="82"/>
      <c r="Q342" s="80"/>
    </row>
    <row r="343" spans="1:17" ht="12.75">
      <c r="A343" s="39" t="s">
        <v>266</v>
      </c>
      <c r="B343" s="99">
        <v>2077</v>
      </c>
      <c r="C343" s="152">
        <v>5000</v>
      </c>
      <c r="D343" s="115">
        <f>96915.92-388.61-23.11-2.34-699.88-167.12+4315+545+33-121.46-23.11-228.69-26.38-6.05+9000+30657+12050+1000+2663+26.5-52.48-25.41-832.75-20.57-20.57</f>
        <v>154566.88999999996</v>
      </c>
      <c r="E343" s="115"/>
      <c r="F343" s="196">
        <f t="shared" si="88"/>
        <v>159566.88999999996</v>
      </c>
      <c r="G343" s="88"/>
      <c r="H343" s="7"/>
      <c r="I343" s="74"/>
      <c r="J343" s="28"/>
      <c r="K343" s="7"/>
      <c r="L343" s="74"/>
      <c r="M343" s="31"/>
      <c r="N343" s="7"/>
      <c r="O343" s="23"/>
      <c r="P343" s="82"/>
      <c r="Q343" s="80"/>
    </row>
    <row r="344" spans="1:17" ht="12.75">
      <c r="A344" s="46" t="s">
        <v>267</v>
      </c>
      <c r="B344" s="102">
        <v>2099</v>
      </c>
      <c r="C344" s="180"/>
      <c r="D344" s="123">
        <f>213890.38-1421.95-1725.72-435.09-259.07-21.78-43.56-2661.82-4033.52-689.65-1265.87-608.05-1165.23-618.15-828.99-1644.24-25.29-2556.72-59.79-364.77-1157.99-21.06-342.41-1963.76-810.9-1025.79-1567.84-167.12-19.6-27.8-47113.71-2097.91-718.74-547.34-25.29+47113.71-35000-21.78-3357.5-656.05-663.24-2572.1-1039.36-492.6-17.97+9668.73-237.38-1094.51-16.94-555.16+4227.97+5824.56</f>
        <v>156964.24000000005</v>
      </c>
      <c r="E344" s="123">
        <f>-392.57</f>
        <v>-392.57</v>
      </c>
      <c r="F344" s="200">
        <f t="shared" si="88"/>
        <v>156571.67000000004</v>
      </c>
      <c r="G344" s="88"/>
      <c r="H344" s="7"/>
      <c r="I344" s="74"/>
      <c r="J344" s="28"/>
      <c r="K344" s="7"/>
      <c r="L344" s="74"/>
      <c r="M344" s="31"/>
      <c r="N344" s="7"/>
      <c r="O344" s="23"/>
      <c r="P344" s="82"/>
      <c r="Q344" s="80"/>
    </row>
    <row r="345" spans="1:17" ht="12.75">
      <c r="A345" s="32" t="s">
        <v>106</v>
      </c>
      <c r="B345" s="103"/>
      <c r="C345" s="159">
        <f aca="true" t="shared" si="90" ref="C345:Q345">C346+C366</f>
        <v>235617.8</v>
      </c>
      <c r="D345" s="114">
        <f t="shared" si="90"/>
        <v>928303.42</v>
      </c>
      <c r="E345" s="114">
        <f t="shared" si="90"/>
        <v>0</v>
      </c>
      <c r="F345" s="174">
        <f t="shared" si="90"/>
        <v>1163921.22</v>
      </c>
      <c r="G345" s="160">
        <f t="shared" si="90"/>
        <v>0</v>
      </c>
      <c r="H345" s="114">
        <f t="shared" si="90"/>
        <v>0</v>
      </c>
      <c r="I345" s="142">
        <f t="shared" si="90"/>
        <v>216676.19999999998</v>
      </c>
      <c r="J345" s="159">
        <f t="shared" si="90"/>
        <v>0</v>
      </c>
      <c r="K345" s="114">
        <f t="shared" si="90"/>
        <v>0</v>
      </c>
      <c r="L345" s="142">
        <f t="shared" si="90"/>
        <v>216676.19999999998</v>
      </c>
      <c r="M345" s="113">
        <f t="shared" si="90"/>
        <v>0</v>
      </c>
      <c r="N345" s="113">
        <f t="shared" si="90"/>
        <v>0</v>
      </c>
      <c r="O345" s="113">
        <f t="shared" si="90"/>
        <v>216676.19999999998</v>
      </c>
      <c r="P345" s="113">
        <f t="shared" si="90"/>
        <v>0</v>
      </c>
      <c r="Q345" s="247">
        <f t="shared" si="90"/>
        <v>216676.19999999998</v>
      </c>
    </row>
    <row r="346" spans="1:17" ht="12.75">
      <c r="A346" s="41" t="s">
        <v>56</v>
      </c>
      <c r="B346" s="103"/>
      <c r="C346" s="179">
        <f aca="true" t="shared" si="91" ref="C346:Q346">SUM(C348:C365)</f>
        <v>235617.8</v>
      </c>
      <c r="D346" s="122">
        <f t="shared" si="91"/>
        <v>928303.42</v>
      </c>
      <c r="E346" s="122">
        <f t="shared" si="91"/>
        <v>0</v>
      </c>
      <c r="F346" s="199">
        <f t="shared" si="91"/>
        <v>1163921.22</v>
      </c>
      <c r="G346" s="217">
        <f t="shared" si="91"/>
        <v>0</v>
      </c>
      <c r="H346" s="122">
        <f t="shared" si="91"/>
        <v>0</v>
      </c>
      <c r="I346" s="170">
        <f t="shared" si="91"/>
        <v>216676.19999999998</v>
      </c>
      <c r="J346" s="179">
        <f t="shared" si="91"/>
        <v>0</v>
      </c>
      <c r="K346" s="122">
        <f t="shared" si="91"/>
        <v>0</v>
      </c>
      <c r="L346" s="170">
        <f t="shared" si="91"/>
        <v>216676.19999999998</v>
      </c>
      <c r="M346" s="121">
        <f t="shared" si="91"/>
        <v>0</v>
      </c>
      <c r="N346" s="121">
        <f t="shared" si="91"/>
        <v>0</v>
      </c>
      <c r="O346" s="121">
        <f t="shared" si="91"/>
        <v>216676.19999999998</v>
      </c>
      <c r="P346" s="121">
        <f t="shared" si="91"/>
        <v>0</v>
      </c>
      <c r="Q346" s="252">
        <f t="shared" si="91"/>
        <v>216676.19999999998</v>
      </c>
    </row>
    <row r="347" spans="1:17" ht="12.75">
      <c r="A347" s="37" t="s">
        <v>27</v>
      </c>
      <c r="B347" s="99"/>
      <c r="C347" s="152"/>
      <c r="D347" s="115"/>
      <c r="E347" s="115"/>
      <c r="F347" s="196"/>
      <c r="G347" s="88"/>
      <c r="H347" s="7"/>
      <c r="I347" s="74"/>
      <c r="J347" s="28"/>
      <c r="K347" s="7"/>
      <c r="L347" s="74"/>
      <c r="M347" s="22"/>
      <c r="N347" s="7"/>
      <c r="O347" s="23"/>
      <c r="P347" s="82"/>
      <c r="Q347" s="80"/>
    </row>
    <row r="348" spans="1:17" ht="12.75">
      <c r="A348" s="48" t="s">
        <v>107</v>
      </c>
      <c r="B348" s="105"/>
      <c r="C348" s="152">
        <v>179520</v>
      </c>
      <c r="D348" s="115"/>
      <c r="E348" s="115"/>
      <c r="F348" s="196">
        <f aca="true" t="shared" si="92" ref="F348:F365">C348+D348+E348</f>
        <v>179520</v>
      </c>
      <c r="G348" s="88"/>
      <c r="H348" s="7"/>
      <c r="I348" s="74">
        <f>F348+G348+H348</f>
        <v>179520</v>
      </c>
      <c r="J348" s="28"/>
      <c r="K348" s="7"/>
      <c r="L348" s="74">
        <f>I348+J348+K348</f>
        <v>179520</v>
      </c>
      <c r="M348" s="22"/>
      <c r="N348" s="7"/>
      <c r="O348" s="23">
        <f>L348+M348+N348</f>
        <v>179520</v>
      </c>
      <c r="P348" s="82"/>
      <c r="Q348" s="80">
        <f>O348+P348</f>
        <v>179520</v>
      </c>
    </row>
    <row r="349" spans="1:17" ht="12.75" hidden="1">
      <c r="A349" s="100" t="s">
        <v>232</v>
      </c>
      <c r="B349" s="105"/>
      <c r="C349" s="152"/>
      <c r="D349" s="115"/>
      <c r="E349" s="115"/>
      <c r="F349" s="196">
        <f t="shared" si="92"/>
        <v>0</v>
      </c>
      <c r="G349" s="88"/>
      <c r="H349" s="7"/>
      <c r="I349" s="74"/>
      <c r="J349" s="28"/>
      <c r="K349" s="7"/>
      <c r="L349" s="74"/>
      <c r="M349" s="22"/>
      <c r="N349" s="7"/>
      <c r="O349" s="23"/>
      <c r="P349" s="82"/>
      <c r="Q349" s="80"/>
    </row>
    <row r="350" spans="1:17" ht="12.75" hidden="1">
      <c r="A350" s="35" t="s">
        <v>159</v>
      </c>
      <c r="B350" s="99"/>
      <c r="C350" s="152"/>
      <c r="D350" s="115"/>
      <c r="E350" s="115"/>
      <c r="F350" s="196">
        <f t="shared" si="92"/>
        <v>0</v>
      </c>
      <c r="G350" s="88"/>
      <c r="H350" s="7"/>
      <c r="I350" s="74">
        <f>F350+G350+H350</f>
        <v>0</v>
      </c>
      <c r="J350" s="28"/>
      <c r="K350" s="7"/>
      <c r="L350" s="74">
        <f>I350+J350+K350</f>
        <v>0</v>
      </c>
      <c r="M350" s="22"/>
      <c r="N350" s="7"/>
      <c r="O350" s="23">
        <f>L350+M350+N350</f>
        <v>0</v>
      </c>
      <c r="P350" s="82"/>
      <c r="Q350" s="80">
        <f>O350+P350</f>
        <v>0</v>
      </c>
    </row>
    <row r="351" spans="1:17" ht="12.75">
      <c r="A351" s="35" t="s">
        <v>176</v>
      </c>
      <c r="B351" s="99">
        <v>1228</v>
      </c>
      <c r="C351" s="152">
        <v>45500</v>
      </c>
      <c r="D351" s="115"/>
      <c r="E351" s="115"/>
      <c r="F351" s="196">
        <f t="shared" si="92"/>
        <v>45500</v>
      </c>
      <c r="G351" s="88"/>
      <c r="H351" s="7"/>
      <c r="I351" s="74"/>
      <c r="J351" s="28"/>
      <c r="K351" s="7"/>
      <c r="L351" s="74"/>
      <c r="M351" s="22"/>
      <c r="N351" s="7"/>
      <c r="O351" s="23"/>
      <c r="P351" s="82"/>
      <c r="Q351" s="80"/>
    </row>
    <row r="352" spans="1:17" ht="12.75">
      <c r="A352" s="35" t="s">
        <v>58</v>
      </c>
      <c r="B352" s="99"/>
      <c r="C352" s="152">
        <v>10597.8</v>
      </c>
      <c r="D352" s="115">
        <f>407+317</f>
        <v>724</v>
      </c>
      <c r="E352" s="115"/>
      <c r="F352" s="196">
        <f t="shared" si="92"/>
        <v>11321.8</v>
      </c>
      <c r="G352" s="88"/>
      <c r="H352" s="7"/>
      <c r="I352" s="74">
        <f>F352+G352+H352</f>
        <v>11321.8</v>
      </c>
      <c r="J352" s="28"/>
      <c r="K352" s="7"/>
      <c r="L352" s="74">
        <f>I352+J352+K352</f>
        <v>11321.8</v>
      </c>
      <c r="M352" s="22"/>
      <c r="N352" s="7"/>
      <c r="O352" s="23">
        <f>L352+M352+N352</f>
        <v>11321.8</v>
      </c>
      <c r="P352" s="82"/>
      <c r="Q352" s="80">
        <f>O352+P352</f>
        <v>11321.8</v>
      </c>
    </row>
    <row r="353" spans="1:17" ht="12.75" hidden="1">
      <c r="A353" s="35" t="s">
        <v>72</v>
      </c>
      <c r="B353" s="99"/>
      <c r="C353" s="152"/>
      <c r="D353" s="115"/>
      <c r="E353" s="115"/>
      <c r="F353" s="196">
        <f t="shared" si="92"/>
        <v>0</v>
      </c>
      <c r="G353" s="88"/>
      <c r="H353" s="7"/>
      <c r="I353" s="74">
        <f>F353+G353+H353</f>
        <v>0</v>
      </c>
      <c r="J353" s="28"/>
      <c r="K353" s="7"/>
      <c r="L353" s="74">
        <f>I353+J353+K353</f>
        <v>0</v>
      </c>
      <c r="M353" s="22"/>
      <c r="N353" s="7"/>
      <c r="O353" s="23">
        <f>L353+M353+N353</f>
        <v>0</v>
      </c>
      <c r="P353" s="82"/>
      <c r="Q353" s="80">
        <f>O353+P353</f>
        <v>0</v>
      </c>
    </row>
    <row r="354" spans="1:17" ht="12.75" hidden="1">
      <c r="A354" s="35" t="s">
        <v>301</v>
      </c>
      <c r="B354" s="99">
        <v>13013</v>
      </c>
      <c r="C354" s="152"/>
      <c r="D354" s="115"/>
      <c r="E354" s="115"/>
      <c r="F354" s="196">
        <f t="shared" si="92"/>
        <v>0</v>
      </c>
      <c r="G354" s="88"/>
      <c r="H354" s="7"/>
      <c r="I354" s="74"/>
      <c r="J354" s="28"/>
      <c r="K354" s="7"/>
      <c r="L354" s="74"/>
      <c r="M354" s="22"/>
      <c r="N354" s="7"/>
      <c r="O354" s="23"/>
      <c r="P354" s="82"/>
      <c r="Q354" s="80"/>
    </row>
    <row r="355" spans="1:17" ht="12.75" hidden="1">
      <c r="A355" s="100" t="s">
        <v>326</v>
      </c>
      <c r="B355" s="99">
        <v>2043</v>
      </c>
      <c r="C355" s="152"/>
      <c r="D355" s="115"/>
      <c r="E355" s="115"/>
      <c r="F355" s="196">
        <f t="shared" si="92"/>
        <v>0</v>
      </c>
      <c r="G355" s="88"/>
      <c r="H355" s="7"/>
      <c r="I355" s="74"/>
      <c r="J355" s="28"/>
      <c r="K355" s="7"/>
      <c r="L355" s="74"/>
      <c r="M355" s="22"/>
      <c r="N355" s="7"/>
      <c r="O355" s="23"/>
      <c r="P355" s="82"/>
      <c r="Q355" s="80"/>
    </row>
    <row r="356" spans="1:17" ht="12.75">
      <c r="A356" s="100" t="s">
        <v>331</v>
      </c>
      <c r="B356" s="99">
        <v>2177</v>
      </c>
      <c r="C356" s="152"/>
      <c r="D356" s="115">
        <f>5874.31</f>
        <v>5874.31</v>
      </c>
      <c r="E356" s="115"/>
      <c r="F356" s="196">
        <f t="shared" si="92"/>
        <v>5874.31</v>
      </c>
      <c r="G356" s="88"/>
      <c r="H356" s="7"/>
      <c r="I356" s="74"/>
      <c r="J356" s="28"/>
      <c r="K356" s="7"/>
      <c r="L356" s="74"/>
      <c r="M356" s="22"/>
      <c r="N356" s="7"/>
      <c r="O356" s="23"/>
      <c r="P356" s="82"/>
      <c r="Q356" s="80"/>
    </row>
    <row r="357" spans="1:17" ht="12.75">
      <c r="A357" s="35" t="s">
        <v>327</v>
      </c>
      <c r="B357" s="99">
        <v>2050</v>
      </c>
      <c r="C357" s="152"/>
      <c r="D357" s="115">
        <f>40706.05+1156.84</f>
        <v>41862.89</v>
      </c>
      <c r="E357" s="115"/>
      <c r="F357" s="196">
        <f t="shared" si="92"/>
        <v>41862.89</v>
      </c>
      <c r="G357" s="88"/>
      <c r="H357" s="7"/>
      <c r="I357" s="74"/>
      <c r="J357" s="28"/>
      <c r="K357" s="7"/>
      <c r="L357" s="74"/>
      <c r="M357" s="22"/>
      <c r="N357" s="7"/>
      <c r="O357" s="23"/>
      <c r="P357" s="82"/>
      <c r="Q357" s="80"/>
    </row>
    <row r="358" spans="1:17" ht="12.75" hidden="1">
      <c r="A358" s="35" t="s">
        <v>271</v>
      </c>
      <c r="B358" s="99">
        <v>2050</v>
      </c>
      <c r="C358" s="152"/>
      <c r="D358" s="115"/>
      <c r="E358" s="115"/>
      <c r="F358" s="196">
        <f t="shared" si="92"/>
        <v>0</v>
      </c>
      <c r="G358" s="88"/>
      <c r="H358" s="7"/>
      <c r="I358" s="74"/>
      <c r="J358" s="28"/>
      <c r="K358" s="7"/>
      <c r="L358" s="74"/>
      <c r="M358" s="22"/>
      <c r="N358" s="7"/>
      <c r="O358" s="23"/>
      <c r="P358" s="82"/>
      <c r="Q358" s="80"/>
    </row>
    <row r="359" spans="1:17" ht="12.75">
      <c r="A359" s="35" t="s">
        <v>328</v>
      </c>
      <c r="B359" s="99">
        <v>2073</v>
      </c>
      <c r="C359" s="152"/>
      <c r="D359" s="115">
        <f>24426.27+209.01</f>
        <v>24635.28</v>
      </c>
      <c r="E359" s="115"/>
      <c r="F359" s="196">
        <f t="shared" si="92"/>
        <v>24635.28</v>
      </c>
      <c r="G359" s="88"/>
      <c r="H359" s="7"/>
      <c r="I359" s="74"/>
      <c r="J359" s="28"/>
      <c r="K359" s="7"/>
      <c r="L359" s="74"/>
      <c r="M359" s="22"/>
      <c r="N359" s="7"/>
      <c r="O359" s="23"/>
      <c r="P359" s="82"/>
      <c r="Q359" s="80"/>
    </row>
    <row r="360" spans="1:17" ht="12.75">
      <c r="A360" s="35" t="s">
        <v>325</v>
      </c>
      <c r="B360" s="99">
        <v>2044</v>
      </c>
      <c r="C360" s="152"/>
      <c r="D360" s="115">
        <f>3568.74</f>
        <v>3568.74</v>
      </c>
      <c r="E360" s="115"/>
      <c r="F360" s="196">
        <f t="shared" si="92"/>
        <v>3568.74</v>
      </c>
      <c r="G360" s="88"/>
      <c r="H360" s="7"/>
      <c r="I360" s="74"/>
      <c r="J360" s="28"/>
      <c r="K360" s="7"/>
      <c r="L360" s="74"/>
      <c r="M360" s="22"/>
      <c r="N360" s="7"/>
      <c r="O360" s="23"/>
      <c r="P360" s="82"/>
      <c r="Q360" s="80"/>
    </row>
    <row r="361" spans="1:17" ht="12.75">
      <c r="A361" s="44" t="s">
        <v>227</v>
      </c>
      <c r="B361" s="99">
        <v>13305</v>
      </c>
      <c r="C361" s="152"/>
      <c r="D361" s="115">
        <f>825803.8</f>
        <v>825803.8</v>
      </c>
      <c r="E361" s="115"/>
      <c r="F361" s="196">
        <f t="shared" si="92"/>
        <v>825803.8</v>
      </c>
      <c r="G361" s="88"/>
      <c r="H361" s="7"/>
      <c r="I361" s="74"/>
      <c r="J361" s="28"/>
      <c r="K361" s="7"/>
      <c r="L361" s="74"/>
      <c r="M361" s="22"/>
      <c r="N361" s="7"/>
      <c r="O361" s="23"/>
      <c r="P361" s="82"/>
      <c r="Q361" s="80"/>
    </row>
    <row r="362" spans="1:17" ht="12.75">
      <c r="A362" s="35" t="s">
        <v>108</v>
      </c>
      <c r="B362" s="99">
        <v>13307</v>
      </c>
      <c r="C362" s="152"/>
      <c r="D362" s="115">
        <f>7000</f>
        <v>7000</v>
      </c>
      <c r="E362" s="115"/>
      <c r="F362" s="196">
        <f t="shared" si="92"/>
        <v>7000</v>
      </c>
      <c r="G362" s="88"/>
      <c r="H362" s="7"/>
      <c r="I362" s="74">
        <f>F362+G362+H362</f>
        <v>7000</v>
      </c>
      <c r="J362" s="28"/>
      <c r="K362" s="7"/>
      <c r="L362" s="74">
        <f>I362+J362+K362</f>
        <v>7000</v>
      </c>
      <c r="M362" s="22"/>
      <c r="N362" s="7"/>
      <c r="O362" s="23">
        <f>L362+M362+N362</f>
        <v>7000</v>
      </c>
      <c r="P362" s="82"/>
      <c r="Q362" s="80">
        <f>O362+P362</f>
        <v>7000</v>
      </c>
    </row>
    <row r="363" spans="1:17" ht="12.75" hidden="1">
      <c r="A363" s="35" t="s">
        <v>158</v>
      </c>
      <c r="B363" s="99">
        <v>14032</v>
      </c>
      <c r="C363" s="152"/>
      <c r="D363" s="115"/>
      <c r="E363" s="115"/>
      <c r="F363" s="196">
        <f t="shared" si="92"/>
        <v>0</v>
      </c>
      <c r="G363" s="88"/>
      <c r="H363" s="7"/>
      <c r="I363" s="74">
        <f>F363+G363+H363</f>
        <v>0</v>
      </c>
      <c r="J363" s="28"/>
      <c r="K363" s="7"/>
      <c r="L363" s="74">
        <f>I363+J363+K363</f>
        <v>0</v>
      </c>
      <c r="M363" s="22"/>
      <c r="N363" s="7"/>
      <c r="O363" s="23">
        <f>L363+M363+N363</f>
        <v>0</v>
      </c>
      <c r="P363" s="82"/>
      <c r="Q363" s="80">
        <f>O363+P363</f>
        <v>0</v>
      </c>
    </row>
    <row r="364" spans="1:17" ht="12.75" hidden="1">
      <c r="A364" s="44" t="s">
        <v>165</v>
      </c>
      <c r="B364" s="99">
        <v>4359</v>
      </c>
      <c r="C364" s="152"/>
      <c r="D364" s="115"/>
      <c r="E364" s="115"/>
      <c r="F364" s="196">
        <f t="shared" si="92"/>
        <v>0</v>
      </c>
      <c r="G364" s="88"/>
      <c r="H364" s="7"/>
      <c r="I364" s="74">
        <f>F364+G364+H364</f>
        <v>0</v>
      </c>
      <c r="J364" s="28"/>
      <c r="K364" s="7"/>
      <c r="L364" s="74">
        <f>I364+J364+K364</f>
        <v>0</v>
      </c>
      <c r="M364" s="22"/>
      <c r="N364" s="7"/>
      <c r="O364" s="23">
        <f>L364+M364+N364</f>
        <v>0</v>
      </c>
      <c r="P364" s="82"/>
      <c r="Q364" s="80">
        <f>O364+P364</f>
        <v>0</v>
      </c>
    </row>
    <row r="365" spans="1:17" ht="13.5" thickBot="1">
      <c r="A365" s="241" t="s">
        <v>87</v>
      </c>
      <c r="B365" s="150"/>
      <c r="C365" s="182"/>
      <c r="D365" s="151">
        <f>12690.05+60.57+714.64+5297.25+60.89+11</f>
        <v>18834.399999999998</v>
      </c>
      <c r="E365" s="151"/>
      <c r="F365" s="202">
        <f t="shared" si="92"/>
        <v>18834.399999999998</v>
      </c>
      <c r="G365" s="88"/>
      <c r="H365" s="7"/>
      <c r="I365" s="74">
        <f>F365+G365+H365</f>
        <v>18834.399999999998</v>
      </c>
      <c r="J365" s="28"/>
      <c r="K365" s="7"/>
      <c r="L365" s="74">
        <f>I365+J365+K365</f>
        <v>18834.399999999998</v>
      </c>
      <c r="M365" s="22"/>
      <c r="N365" s="7"/>
      <c r="O365" s="23">
        <f>L365+M365+N365</f>
        <v>18834.399999999998</v>
      </c>
      <c r="P365" s="82"/>
      <c r="Q365" s="80">
        <f>O365+P365</f>
        <v>18834.399999999998</v>
      </c>
    </row>
    <row r="366" spans="1:17" ht="12.75" hidden="1">
      <c r="A366" s="41" t="s">
        <v>61</v>
      </c>
      <c r="B366" s="103"/>
      <c r="C366" s="179">
        <f>SUM(C368:C370)</f>
        <v>0</v>
      </c>
      <c r="D366" s="122">
        <f aca="true" t="shared" si="93" ref="D366:Q366">SUM(D368:D370)</f>
        <v>0</v>
      </c>
      <c r="E366" s="122">
        <f t="shared" si="93"/>
        <v>0</v>
      </c>
      <c r="F366" s="199">
        <f t="shared" si="93"/>
        <v>0</v>
      </c>
      <c r="G366" s="217">
        <f t="shared" si="93"/>
        <v>0</v>
      </c>
      <c r="H366" s="122">
        <f t="shared" si="93"/>
        <v>0</v>
      </c>
      <c r="I366" s="170">
        <f t="shared" si="93"/>
        <v>0</v>
      </c>
      <c r="J366" s="179">
        <f t="shared" si="93"/>
        <v>0</v>
      </c>
      <c r="K366" s="122">
        <f t="shared" si="93"/>
        <v>0</v>
      </c>
      <c r="L366" s="170">
        <f t="shared" si="93"/>
        <v>0</v>
      </c>
      <c r="M366" s="121">
        <f t="shared" si="93"/>
        <v>0</v>
      </c>
      <c r="N366" s="121">
        <f t="shared" si="93"/>
        <v>0</v>
      </c>
      <c r="O366" s="121">
        <f t="shared" si="93"/>
        <v>0</v>
      </c>
      <c r="P366" s="121">
        <f t="shared" si="93"/>
        <v>0</v>
      </c>
      <c r="Q366" s="252">
        <f t="shared" si="93"/>
        <v>0</v>
      </c>
    </row>
    <row r="367" spans="1:17" ht="12.75" hidden="1">
      <c r="A367" s="37" t="s">
        <v>27</v>
      </c>
      <c r="B367" s="99"/>
      <c r="C367" s="152"/>
      <c r="D367" s="115"/>
      <c r="E367" s="115"/>
      <c r="F367" s="196"/>
      <c r="G367" s="88"/>
      <c r="H367" s="7"/>
      <c r="I367" s="74"/>
      <c r="J367" s="28"/>
      <c r="K367" s="7"/>
      <c r="L367" s="74"/>
      <c r="M367" s="22"/>
      <c r="N367" s="7"/>
      <c r="O367" s="23"/>
      <c r="P367" s="82"/>
      <c r="Q367" s="80"/>
    </row>
    <row r="368" spans="1:17" ht="12.75" hidden="1">
      <c r="A368" s="35" t="s">
        <v>99</v>
      </c>
      <c r="B368" s="99"/>
      <c r="C368" s="152"/>
      <c r="D368" s="115"/>
      <c r="E368" s="115"/>
      <c r="F368" s="196">
        <f>C368+D368+E368</f>
        <v>0</v>
      </c>
      <c r="G368" s="88"/>
      <c r="H368" s="7"/>
      <c r="I368" s="74">
        <f>F368+G368+H368</f>
        <v>0</v>
      </c>
      <c r="J368" s="28"/>
      <c r="K368" s="7"/>
      <c r="L368" s="74">
        <f>I368+J368+K368</f>
        <v>0</v>
      </c>
      <c r="M368" s="22"/>
      <c r="N368" s="7"/>
      <c r="O368" s="23">
        <f>L368+M368+N368</f>
        <v>0</v>
      </c>
      <c r="P368" s="82"/>
      <c r="Q368" s="80">
        <f>O368+P368</f>
        <v>0</v>
      </c>
    </row>
    <row r="369" spans="1:17" ht="12.75" hidden="1">
      <c r="A369" s="35" t="s">
        <v>62</v>
      </c>
      <c r="B369" s="99"/>
      <c r="C369" s="152"/>
      <c r="D369" s="115"/>
      <c r="E369" s="115"/>
      <c r="F369" s="196">
        <f>C369+D369+E369</f>
        <v>0</v>
      </c>
      <c r="G369" s="88"/>
      <c r="H369" s="7"/>
      <c r="I369" s="74"/>
      <c r="J369" s="28"/>
      <c r="K369" s="7"/>
      <c r="L369" s="74">
        <f>I369+J369+K369</f>
        <v>0</v>
      </c>
      <c r="M369" s="22"/>
      <c r="N369" s="7"/>
      <c r="O369" s="23">
        <f>L369+M369+N369</f>
        <v>0</v>
      </c>
      <c r="P369" s="82"/>
      <c r="Q369" s="80">
        <f>O369+P369</f>
        <v>0</v>
      </c>
    </row>
    <row r="370" spans="1:17" ht="13.5" hidden="1" thickBot="1">
      <c r="A370" s="241" t="s">
        <v>87</v>
      </c>
      <c r="B370" s="150"/>
      <c r="C370" s="182"/>
      <c r="D370" s="151"/>
      <c r="E370" s="151"/>
      <c r="F370" s="202">
        <f>C370+D370+E370</f>
        <v>0</v>
      </c>
      <c r="G370" s="88"/>
      <c r="H370" s="7"/>
      <c r="I370" s="74">
        <f>F370+G370+H370</f>
        <v>0</v>
      </c>
      <c r="J370" s="28"/>
      <c r="K370" s="7"/>
      <c r="L370" s="74">
        <f>I370+J370+K370</f>
        <v>0</v>
      </c>
      <c r="M370" s="22"/>
      <c r="N370" s="7"/>
      <c r="O370" s="23">
        <f>L370+M370+N370</f>
        <v>0</v>
      </c>
      <c r="P370" s="82"/>
      <c r="Q370" s="80">
        <f>O370+P370</f>
        <v>0</v>
      </c>
    </row>
    <row r="371" spans="1:17" ht="12.75">
      <c r="A371" s="36" t="s">
        <v>200</v>
      </c>
      <c r="B371" s="103"/>
      <c r="C371" s="159">
        <f>C372+C384</f>
        <v>14047.2</v>
      </c>
      <c r="D371" s="114">
        <f aca="true" t="shared" si="94" ref="D371:Q371">D372+D384</f>
        <v>6111.490000000001</v>
      </c>
      <c r="E371" s="114">
        <f t="shared" si="94"/>
        <v>0</v>
      </c>
      <c r="F371" s="174">
        <f t="shared" si="94"/>
        <v>20158.690000000002</v>
      </c>
      <c r="G371" s="160">
        <f t="shared" si="94"/>
        <v>0</v>
      </c>
      <c r="H371" s="114">
        <f t="shared" si="94"/>
        <v>0</v>
      </c>
      <c r="I371" s="142">
        <f t="shared" si="94"/>
        <v>20158.690000000002</v>
      </c>
      <c r="J371" s="159">
        <f t="shared" si="94"/>
        <v>0</v>
      </c>
      <c r="K371" s="114">
        <f t="shared" si="94"/>
        <v>0</v>
      </c>
      <c r="L371" s="142">
        <f t="shared" si="94"/>
        <v>20158.690000000002</v>
      </c>
      <c r="M371" s="113">
        <f t="shared" si="94"/>
        <v>0</v>
      </c>
      <c r="N371" s="113">
        <f t="shared" si="94"/>
        <v>0</v>
      </c>
      <c r="O371" s="113">
        <f t="shared" si="94"/>
        <v>20158.690000000002</v>
      </c>
      <c r="P371" s="113">
        <f t="shared" si="94"/>
        <v>0</v>
      </c>
      <c r="Q371" s="247">
        <f t="shared" si="94"/>
        <v>20158.690000000002</v>
      </c>
    </row>
    <row r="372" spans="1:17" ht="12.75">
      <c r="A372" s="41" t="s">
        <v>56</v>
      </c>
      <c r="B372" s="103"/>
      <c r="C372" s="179">
        <f>SUM(C374:C383)</f>
        <v>12047.2</v>
      </c>
      <c r="D372" s="122">
        <f aca="true" t="shared" si="95" ref="D372:Q372">SUM(D374:D383)</f>
        <v>6111.490000000001</v>
      </c>
      <c r="E372" s="122">
        <f t="shared" si="95"/>
        <v>0</v>
      </c>
      <c r="F372" s="199">
        <f t="shared" si="95"/>
        <v>18158.690000000002</v>
      </c>
      <c r="G372" s="217">
        <f t="shared" si="95"/>
        <v>0</v>
      </c>
      <c r="H372" s="122">
        <f t="shared" si="95"/>
        <v>0</v>
      </c>
      <c r="I372" s="170">
        <f t="shared" si="95"/>
        <v>18158.690000000002</v>
      </c>
      <c r="J372" s="179">
        <f t="shared" si="95"/>
        <v>0</v>
      </c>
      <c r="K372" s="122">
        <f t="shared" si="95"/>
        <v>0</v>
      </c>
      <c r="L372" s="170">
        <f t="shared" si="95"/>
        <v>18158.690000000002</v>
      </c>
      <c r="M372" s="121">
        <f t="shared" si="95"/>
        <v>0</v>
      </c>
      <c r="N372" s="121">
        <f t="shared" si="95"/>
        <v>0</v>
      </c>
      <c r="O372" s="121">
        <f t="shared" si="95"/>
        <v>18158.690000000002</v>
      </c>
      <c r="P372" s="121">
        <f t="shared" si="95"/>
        <v>0</v>
      </c>
      <c r="Q372" s="252">
        <f t="shared" si="95"/>
        <v>18158.690000000002</v>
      </c>
    </row>
    <row r="373" spans="1:17" ht="12.75">
      <c r="A373" s="37" t="s">
        <v>27</v>
      </c>
      <c r="B373" s="99"/>
      <c r="C373" s="152"/>
      <c r="D373" s="115"/>
      <c r="E373" s="115"/>
      <c r="F373" s="174"/>
      <c r="G373" s="88"/>
      <c r="H373" s="7"/>
      <c r="I373" s="70"/>
      <c r="J373" s="28"/>
      <c r="K373" s="7"/>
      <c r="L373" s="70"/>
      <c r="M373" s="22"/>
      <c r="N373" s="7"/>
      <c r="O373" s="21"/>
      <c r="P373" s="82"/>
      <c r="Q373" s="80"/>
    </row>
    <row r="374" spans="1:17" ht="12.75">
      <c r="A374" s="35" t="s">
        <v>58</v>
      </c>
      <c r="B374" s="99"/>
      <c r="C374" s="152">
        <v>12047.2</v>
      </c>
      <c r="D374" s="115">
        <f>1613+70.1+4000</f>
        <v>5683.1</v>
      </c>
      <c r="E374" s="115"/>
      <c r="F374" s="196">
        <f aca="true" t="shared" si="96" ref="F374:F383">C374+D374+E374</f>
        <v>17730.300000000003</v>
      </c>
      <c r="G374" s="88"/>
      <c r="H374" s="7"/>
      <c r="I374" s="74">
        <f>F374+G374+H374</f>
        <v>17730.300000000003</v>
      </c>
      <c r="J374" s="28"/>
      <c r="K374" s="7"/>
      <c r="L374" s="74">
        <f>I374+J374+K374</f>
        <v>17730.300000000003</v>
      </c>
      <c r="M374" s="22"/>
      <c r="N374" s="7"/>
      <c r="O374" s="23">
        <f>L374+M374+N374</f>
        <v>17730.300000000003</v>
      </c>
      <c r="P374" s="82"/>
      <c r="Q374" s="80">
        <f>O374+P374</f>
        <v>17730.300000000003</v>
      </c>
    </row>
    <row r="375" spans="1:17" ht="12.75" hidden="1">
      <c r="A375" s="39" t="s">
        <v>229</v>
      </c>
      <c r="B375" s="99"/>
      <c r="C375" s="152"/>
      <c r="D375" s="115"/>
      <c r="E375" s="115"/>
      <c r="F375" s="196">
        <f t="shared" si="96"/>
        <v>0</v>
      </c>
      <c r="G375" s="88"/>
      <c r="H375" s="7"/>
      <c r="I375" s="74">
        <f aca="true" t="shared" si="97" ref="I375:I380">F375+G375+H375</f>
        <v>0</v>
      </c>
      <c r="J375" s="28"/>
      <c r="K375" s="7"/>
      <c r="L375" s="74">
        <f aca="true" t="shared" si="98" ref="L375:L380">I375+J375+K375</f>
        <v>0</v>
      </c>
      <c r="M375" s="22"/>
      <c r="N375" s="7"/>
      <c r="O375" s="23">
        <f aca="true" t="shared" si="99" ref="O375:O380">L375+M375+N375</f>
        <v>0</v>
      </c>
      <c r="P375" s="82"/>
      <c r="Q375" s="80">
        <f>O375+P375</f>
        <v>0</v>
      </c>
    </row>
    <row r="376" spans="1:17" ht="12.75" hidden="1">
      <c r="A376" s="39" t="s">
        <v>230</v>
      </c>
      <c r="B376" s="99"/>
      <c r="C376" s="152"/>
      <c r="D376" s="115"/>
      <c r="E376" s="115"/>
      <c r="F376" s="196">
        <f t="shared" si="96"/>
        <v>0</v>
      </c>
      <c r="G376" s="88"/>
      <c r="H376" s="7"/>
      <c r="I376" s="74"/>
      <c r="J376" s="28"/>
      <c r="K376" s="7"/>
      <c r="L376" s="74"/>
      <c r="M376" s="22"/>
      <c r="N376" s="7"/>
      <c r="O376" s="23"/>
      <c r="P376" s="82"/>
      <c r="Q376" s="80"/>
    </row>
    <row r="377" spans="1:17" ht="12.75" hidden="1">
      <c r="A377" s="39" t="s">
        <v>233</v>
      </c>
      <c r="B377" s="99">
        <v>1400</v>
      </c>
      <c r="C377" s="152"/>
      <c r="D377" s="126"/>
      <c r="E377" s="115"/>
      <c r="F377" s="196">
        <f t="shared" si="96"/>
        <v>0</v>
      </c>
      <c r="G377" s="88"/>
      <c r="H377" s="7"/>
      <c r="I377" s="74"/>
      <c r="J377" s="28"/>
      <c r="K377" s="7"/>
      <c r="L377" s="74"/>
      <c r="M377" s="22"/>
      <c r="N377" s="7"/>
      <c r="O377" s="23"/>
      <c r="P377" s="82"/>
      <c r="Q377" s="80"/>
    </row>
    <row r="378" spans="1:17" ht="12.75">
      <c r="A378" s="35" t="s">
        <v>87</v>
      </c>
      <c r="B378" s="99"/>
      <c r="C378" s="152"/>
      <c r="D378" s="140">
        <f>428.39</f>
        <v>428.39</v>
      </c>
      <c r="E378" s="115"/>
      <c r="F378" s="196">
        <f t="shared" si="96"/>
        <v>428.39</v>
      </c>
      <c r="G378" s="88"/>
      <c r="H378" s="7"/>
      <c r="I378" s="74">
        <f t="shared" si="97"/>
        <v>428.39</v>
      </c>
      <c r="J378" s="28"/>
      <c r="K378" s="7"/>
      <c r="L378" s="74">
        <f t="shared" si="98"/>
        <v>428.39</v>
      </c>
      <c r="M378" s="22"/>
      <c r="N378" s="7"/>
      <c r="O378" s="23">
        <f t="shared" si="99"/>
        <v>428.39</v>
      </c>
      <c r="P378" s="82"/>
      <c r="Q378" s="80">
        <f>O378+P378</f>
        <v>428.39</v>
      </c>
    </row>
    <row r="379" spans="1:17" ht="12.75" hidden="1">
      <c r="A379" s="35" t="s">
        <v>72</v>
      </c>
      <c r="B379" s="99"/>
      <c r="C379" s="152"/>
      <c r="D379" s="115"/>
      <c r="E379" s="115"/>
      <c r="F379" s="196">
        <f t="shared" si="96"/>
        <v>0</v>
      </c>
      <c r="G379" s="88"/>
      <c r="H379" s="7"/>
      <c r="I379" s="74">
        <f t="shared" si="97"/>
        <v>0</v>
      </c>
      <c r="J379" s="232"/>
      <c r="K379" s="7"/>
      <c r="L379" s="74">
        <f t="shared" si="98"/>
        <v>0</v>
      </c>
      <c r="M379" s="22"/>
      <c r="N379" s="7"/>
      <c r="O379" s="23">
        <f t="shared" si="99"/>
        <v>0</v>
      </c>
      <c r="P379" s="82"/>
      <c r="Q379" s="80">
        <f>O379+P379</f>
        <v>0</v>
      </c>
    </row>
    <row r="380" spans="1:17" ht="12.75" hidden="1">
      <c r="A380" s="35" t="s">
        <v>172</v>
      </c>
      <c r="B380" s="99"/>
      <c r="C380" s="152"/>
      <c r="D380" s="115"/>
      <c r="E380" s="115"/>
      <c r="F380" s="196">
        <f t="shared" si="96"/>
        <v>0</v>
      </c>
      <c r="G380" s="88"/>
      <c r="H380" s="7"/>
      <c r="I380" s="74">
        <f t="shared" si="97"/>
        <v>0</v>
      </c>
      <c r="J380" s="232"/>
      <c r="K380" s="7"/>
      <c r="L380" s="74">
        <f t="shared" si="98"/>
        <v>0</v>
      </c>
      <c r="M380" s="22"/>
      <c r="N380" s="7"/>
      <c r="O380" s="23">
        <f t="shared" si="99"/>
        <v>0</v>
      </c>
      <c r="P380" s="82"/>
      <c r="Q380" s="80">
        <f>O380+P380</f>
        <v>0</v>
      </c>
    </row>
    <row r="381" spans="1:17" ht="12.75" hidden="1">
      <c r="A381" s="35" t="s">
        <v>290</v>
      </c>
      <c r="B381" s="99">
        <v>98035</v>
      </c>
      <c r="C381" s="152"/>
      <c r="D381" s="115"/>
      <c r="E381" s="115"/>
      <c r="F381" s="196">
        <f t="shared" si="96"/>
        <v>0</v>
      </c>
      <c r="G381" s="88"/>
      <c r="H381" s="7"/>
      <c r="I381" s="74"/>
      <c r="J381" s="232"/>
      <c r="K381" s="7"/>
      <c r="L381" s="74"/>
      <c r="M381" s="22"/>
      <c r="N381" s="7"/>
      <c r="O381" s="23"/>
      <c r="P381" s="82"/>
      <c r="Q381" s="80"/>
    </row>
    <row r="382" spans="1:17" ht="12.75" hidden="1">
      <c r="A382" s="35" t="s">
        <v>262</v>
      </c>
      <c r="B382" s="166" t="s">
        <v>263</v>
      </c>
      <c r="C382" s="152"/>
      <c r="D382" s="115"/>
      <c r="E382" s="115"/>
      <c r="F382" s="196">
        <f t="shared" si="96"/>
        <v>0</v>
      </c>
      <c r="G382" s="88"/>
      <c r="H382" s="7"/>
      <c r="I382" s="74"/>
      <c r="J382" s="232"/>
      <c r="K382" s="7"/>
      <c r="L382" s="74"/>
      <c r="M382" s="22"/>
      <c r="N382" s="7"/>
      <c r="O382" s="23"/>
      <c r="P382" s="82"/>
      <c r="Q382" s="80"/>
    </row>
    <row r="383" spans="1:17" ht="12.75" hidden="1">
      <c r="A383" s="35" t="s">
        <v>261</v>
      </c>
      <c r="B383" s="99">
        <v>33064</v>
      </c>
      <c r="C383" s="152"/>
      <c r="D383" s="115"/>
      <c r="E383" s="115"/>
      <c r="F383" s="196">
        <f t="shared" si="96"/>
        <v>0</v>
      </c>
      <c r="G383" s="88"/>
      <c r="H383" s="7"/>
      <c r="I383" s="74"/>
      <c r="J383" s="232"/>
      <c r="K383" s="7"/>
      <c r="L383" s="74"/>
      <c r="M383" s="22"/>
      <c r="N383" s="7"/>
      <c r="O383" s="23"/>
      <c r="P383" s="82"/>
      <c r="Q383" s="80"/>
    </row>
    <row r="384" spans="1:17" ht="12.75">
      <c r="A384" s="41" t="s">
        <v>61</v>
      </c>
      <c r="B384" s="103"/>
      <c r="C384" s="179">
        <f>SUM(C386:C392)</f>
        <v>2000</v>
      </c>
      <c r="D384" s="122">
        <f aca="true" t="shared" si="100" ref="D384:Q384">SUM(D386:D392)</f>
        <v>0</v>
      </c>
      <c r="E384" s="122">
        <f t="shared" si="100"/>
        <v>0</v>
      </c>
      <c r="F384" s="199">
        <f t="shared" si="100"/>
        <v>2000</v>
      </c>
      <c r="G384" s="217">
        <f t="shared" si="100"/>
        <v>0</v>
      </c>
      <c r="H384" s="122">
        <f t="shared" si="100"/>
        <v>0</v>
      </c>
      <c r="I384" s="170">
        <f t="shared" si="100"/>
        <v>2000</v>
      </c>
      <c r="J384" s="179">
        <f t="shared" si="100"/>
        <v>0</v>
      </c>
      <c r="K384" s="122">
        <f t="shared" si="100"/>
        <v>0</v>
      </c>
      <c r="L384" s="170">
        <f t="shared" si="100"/>
        <v>2000</v>
      </c>
      <c r="M384" s="121">
        <f t="shared" si="100"/>
        <v>0</v>
      </c>
      <c r="N384" s="121">
        <f t="shared" si="100"/>
        <v>0</v>
      </c>
      <c r="O384" s="121">
        <f t="shared" si="100"/>
        <v>2000</v>
      </c>
      <c r="P384" s="121">
        <f t="shared" si="100"/>
        <v>0</v>
      </c>
      <c r="Q384" s="252">
        <f t="shared" si="100"/>
        <v>2000</v>
      </c>
    </row>
    <row r="385" spans="1:17" ht="12.75">
      <c r="A385" s="37" t="s">
        <v>27</v>
      </c>
      <c r="B385" s="99"/>
      <c r="C385" s="152"/>
      <c r="D385" s="115"/>
      <c r="E385" s="115"/>
      <c r="F385" s="196"/>
      <c r="G385" s="88"/>
      <c r="H385" s="7"/>
      <c r="I385" s="74"/>
      <c r="J385" s="28"/>
      <c r="K385" s="7"/>
      <c r="L385" s="74"/>
      <c r="M385" s="22"/>
      <c r="N385" s="7"/>
      <c r="O385" s="23"/>
      <c r="P385" s="82"/>
      <c r="Q385" s="80"/>
    </row>
    <row r="386" spans="1:17" ht="12.75" hidden="1">
      <c r="A386" s="39" t="s">
        <v>76</v>
      </c>
      <c r="B386" s="99"/>
      <c r="C386" s="152"/>
      <c r="D386" s="115"/>
      <c r="E386" s="115"/>
      <c r="F386" s="196">
        <f aca="true" t="shared" si="101" ref="F386:F392">C386+D386+E386</f>
        <v>0</v>
      </c>
      <c r="G386" s="88"/>
      <c r="H386" s="7"/>
      <c r="I386" s="74">
        <f>F386+G386+H386</f>
        <v>0</v>
      </c>
      <c r="J386" s="28"/>
      <c r="K386" s="7"/>
      <c r="L386" s="74">
        <f>I386+J386+K386</f>
        <v>0</v>
      </c>
      <c r="M386" s="22"/>
      <c r="N386" s="7"/>
      <c r="O386" s="23">
        <f>L386+M386+N386</f>
        <v>0</v>
      </c>
      <c r="P386" s="82"/>
      <c r="Q386" s="80">
        <f>O386+P386</f>
        <v>0</v>
      </c>
    </row>
    <row r="387" spans="1:17" ht="12.75" hidden="1">
      <c r="A387" s="39" t="s">
        <v>213</v>
      </c>
      <c r="B387" s="99"/>
      <c r="C387" s="152"/>
      <c r="D387" s="115"/>
      <c r="E387" s="115"/>
      <c r="F387" s="196">
        <f t="shared" si="101"/>
        <v>0</v>
      </c>
      <c r="G387" s="88"/>
      <c r="H387" s="7"/>
      <c r="I387" s="74"/>
      <c r="J387" s="28"/>
      <c r="K387" s="7"/>
      <c r="L387" s="74"/>
      <c r="M387" s="22"/>
      <c r="N387" s="7"/>
      <c r="O387" s="23"/>
      <c r="P387" s="82"/>
      <c r="Q387" s="80"/>
    </row>
    <row r="388" spans="1:17" ht="12.75" hidden="1">
      <c r="A388" s="39" t="s">
        <v>214</v>
      </c>
      <c r="B388" s="99"/>
      <c r="C388" s="152"/>
      <c r="D388" s="115"/>
      <c r="E388" s="115"/>
      <c r="F388" s="196">
        <f t="shared" si="101"/>
        <v>0</v>
      </c>
      <c r="G388" s="88"/>
      <c r="H388" s="7"/>
      <c r="I388" s="74"/>
      <c r="J388" s="28"/>
      <c r="K388" s="7"/>
      <c r="L388" s="74"/>
      <c r="M388" s="22"/>
      <c r="N388" s="7"/>
      <c r="O388" s="23"/>
      <c r="P388" s="82"/>
      <c r="Q388" s="80"/>
    </row>
    <row r="389" spans="1:17" ht="12.75" hidden="1">
      <c r="A389" s="39" t="s">
        <v>201</v>
      </c>
      <c r="B389" s="99"/>
      <c r="C389" s="152"/>
      <c r="D389" s="115"/>
      <c r="E389" s="115"/>
      <c r="F389" s="196">
        <f t="shared" si="101"/>
        <v>0</v>
      </c>
      <c r="G389" s="88"/>
      <c r="H389" s="7"/>
      <c r="I389" s="74"/>
      <c r="J389" s="28"/>
      <c r="K389" s="7"/>
      <c r="L389" s="74"/>
      <c r="M389" s="22"/>
      <c r="N389" s="7"/>
      <c r="O389" s="23"/>
      <c r="P389" s="82"/>
      <c r="Q389" s="80"/>
    </row>
    <row r="390" spans="1:17" ht="12.75">
      <c r="A390" s="38" t="s">
        <v>62</v>
      </c>
      <c r="B390" s="102"/>
      <c r="C390" s="180">
        <v>2000</v>
      </c>
      <c r="D390" s="123"/>
      <c r="E390" s="123"/>
      <c r="F390" s="200">
        <f t="shared" si="101"/>
        <v>2000</v>
      </c>
      <c r="G390" s="88"/>
      <c r="H390" s="7"/>
      <c r="I390" s="74">
        <f>F390+G390+H390</f>
        <v>2000</v>
      </c>
      <c r="J390" s="28"/>
      <c r="K390" s="7"/>
      <c r="L390" s="74">
        <f>I390+J390+K390</f>
        <v>2000</v>
      </c>
      <c r="M390" s="22"/>
      <c r="N390" s="7"/>
      <c r="O390" s="23">
        <f>L390+M390+N390</f>
        <v>2000</v>
      </c>
      <c r="P390" s="82"/>
      <c r="Q390" s="80">
        <f>O390+P390</f>
        <v>2000</v>
      </c>
    </row>
    <row r="391" spans="1:17" ht="12.75" hidden="1">
      <c r="A391" s="38" t="s">
        <v>87</v>
      </c>
      <c r="B391" s="102"/>
      <c r="C391" s="180"/>
      <c r="D391" s="123"/>
      <c r="E391" s="123"/>
      <c r="F391" s="200">
        <f t="shared" si="101"/>
        <v>0</v>
      </c>
      <c r="G391" s="88"/>
      <c r="H391" s="7"/>
      <c r="I391" s="74">
        <f>F391+G391+H391</f>
        <v>0</v>
      </c>
      <c r="J391" s="28"/>
      <c r="K391" s="7"/>
      <c r="L391" s="74">
        <f>I391+J391+K391</f>
        <v>0</v>
      </c>
      <c r="M391" s="22"/>
      <c r="N391" s="7"/>
      <c r="O391" s="23">
        <f>L391+M391+N391</f>
        <v>0</v>
      </c>
      <c r="P391" s="82"/>
      <c r="Q391" s="80">
        <f>O391+P391</f>
        <v>0</v>
      </c>
    </row>
    <row r="392" spans="1:17" ht="12.75" hidden="1">
      <c r="A392" s="45" t="s">
        <v>202</v>
      </c>
      <c r="B392" s="102"/>
      <c r="C392" s="180"/>
      <c r="D392" s="123"/>
      <c r="E392" s="123"/>
      <c r="F392" s="200">
        <f t="shared" si="101"/>
        <v>0</v>
      </c>
      <c r="G392" s="219"/>
      <c r="H392" s="10"/>
      <c r="I392" s="73">
        <f>F392+G392+H392</f>
        <v>0</v>
      </c>
      <c r="J392" s="234"/>
      <c r="K392" s="10"/>
      <c r="L392" s="73">
        <f>I392+J392+K392</f>
        <v>0</v>
      </c>
      <c r="M392" s="26"/>
      <c r="N392" s="10"/>
      <c r="O392" s="27">
        <f>L392+M392+N392</f>
        <v>0</v>
      </c>
      <c r="P392" s="85"/>
      <c r="Q392" s="86">
        <f>O392+P392</f>
        <v>0</v>
      </c>
    </row>
    <row r="393" spans="1:17" ht="12.75">
      <c r="A393" s="32" t="s">
        <v>109</v>
      </c>
      <c r="B393" s="103"/>
      <c r="C393" s="159">
        <f>C394+C397</f>
        <v>3304.9</v>
      </c>
      <c r="D393" s="114">
        <f aca="true" t="shared" si="102" ref="D393:Q393">D394+D397</f>
        <v>0</v>
      </c>
      <c r="E393" s="114">
        <f t="shared" si="102"/>
        <v>0</v>
      </c>
      <c r="F393" s="174">
        <f t="shared" si="102"/>
        <v>3304.9</v>
      </c>
      <c r="G393" s="160">
        <f t="shared" si="102"/>
        <v>0</v>
      </c>
      <c r="H393" s="114">
        <f t="shared" si="102"/>
        <v>0</v>
      </c>
      <c r="I393" s="142">
        <f t="shared" si="102"/>
        <v>3304.9</v>
      </c>
      <c r="J393" s="159">
        <f t="shared" si="102"/>
        <v>0</v>
      </c>
      <c r="K393" s="114">
        <f t="shared" si="102"/>
        <v>0</v>
      </c>
      <c r="L393" s="142">
        <f t="shared" si="102"/>
        <v>3304.9</v>
      </c>
      <c r="M393" s="113">
        <f t="shared" si="102"/>
        <v>0</v>
      </c>
      <c r="N393" s="113">
        <f t="shared" si="102"/>
        <v>0</v>
      </c>
      <c r="O393" s="113">
        <f t="shared" si="102"/>
        <v>3304.9</v>
      </c>
      <c r="P393" s="113">
        <f t="shared" si="102"/>
        <v>0</v>
      </c>
      <c r="Q393" s="247">
        <f t="shared" si="102"/>
        <v>3304.9</v>
      </c>
    </row>
    <row r="394" spans="1:17" ht="12.75">
      <c r="A394" s="41" t="s">
        <v>56</v>
      </c>
      <c r="B394" s="103"/>
      <c r="C394" s="179">
        <f>SUM(C396:C396)</f>
        <v>3304.9</v>
      </c>
      <c r="D394" s="122">
        <f aca="true" t="shared" si="103" ref="D394:Q394">SUM(D396:D396)</f>
        <v>0</v>
      </c>
      <c r="E394" s="122">
        <f t="shared" si="103"/>
        <v>0</v>
      </c>
      <c r="F394" s="199">
        <f t="shared" si="103"/>
        <v>3304.9</v>
      </c>
      <c r="G394" s="217">
        <f t="shared" si="103"/>
        <v>0</v>
      </c>
      <c r="H394" s="122">
        <f t="shared" si="103"/>
        <v>0</v>
      </c>
      <c r="I394" s="170">
        <f t="shared" si="103"/>
        <v>3304.9</v>
      </c>
      <c r="J394" s="179">
        <f t="shared" si="103"/>
        <v>0</v>
      </c>
      <c r="K394" s="122">
        <f t="shared" si="103"/>
        <v>0</v>
      </c>
      <c r="L394" s="170">
        <f t="shared" si="103"/>
        <v>3304.9</v>
      </c>
      <c r="M394" s="121">
        <f t="shared" si="103"/>
        <v>0</v>
      </c>
      <c r="N394" s="121">
        <f t="shared" si="103"/>
        <v>0</v>
      </c>
      <c r="O394" s="121">
        <f t="shared" si="103"/>
        <v>3304.9</v>
      </c>
      <c r="P394" s="121">
        <f t="shared" si="103"/>
        <v>0</v>
      </c>
      <c r="Q394" s="252">
        <f t="shared" si="103"/>
        <v>3304.9</v>
      </c>
    </row>
    <row r="395" spans="1:17" ht="12.75">
      <c r="A395" s="37" t="s">
        <v>27</v>
      </c>
      <c r="B395" s="99"/>
      <c r="C395" s="152"/>
      <c r="D395" s="115"/>
      <c r="E395" s="115"/>
      <c r="F395" s="174"/>
      <c r="G395" s="88"/>
      <c r="H395" s="7"/>
      <c r="I395" s="70"/>
      <c r="J395" s="28"/>
      <c r="K395" s="7"/>
      <c r="L395" s="70"/>
      <c r="M395" s="22"/>
      <c r="N395" s="7"/>
      <c r="O395" s="21"/>
      <c r="P395" s="82"/>
      <c r="Q395" s="80"/>
    </row>
    <row r="396" spans="1:17" ht="12.75">
      <c r="A396" s="38" t="s">
        <v>58</v>
      </c>
      <c r="B396" s="102"/>
      <c r="C396" s="183">
        <v>3304.9</v>
      </c>
      <c r="D396" s="123"/>
      <c r="E396" s="123"/>
      <c r="F396" s="200">
        <f>C396+D396+E396</f>
        <v>3304.9</v>
      </c>
      <c r="G396" s="88"/>
      <c r="H396" s="7"/>
      <c r="I396" s="74">
        <f>F396+G396+H396</f>
        <v>3304.9</v>
      </c>
      <c r="J396" s="28"/>
      <c r="K396" s="7"/>
      <c r="L396" s="74">
        <f>I396+J396+K396</f>
        <v>3304.9</v>
      </c>
      <c r="M396" s="22"/>
      <c r="N396" s="7"/>
      <c r="O396" s="23">
        <f>L396+M396+N396</f>
        <v>3304.9</v>
      </c>
      <c r="P396" s="82"/>
      <c r="Q396" s="80">
        <f>O396+P396</f>
        <v>3304.9</v>
      </c>
    </row>
    <row r="397" spans="1:17" ht="12.75" hidden="1">
      <c r="A397" s="41" t="s">
        <v>61</v>
      </c>
      <c r="B397" s="103"/>
      <c r="C397" s="179">
        <f aca="true" t="shared" si="104" ref="C397:Q397">SUM(C399:C399)</f>
        <v>0</v>
      </c>
      <c r="D397" s="122">
        <f t="shared" si="104"/>
        <v>0</v>
      </c>
      <c r="E397" s="122">
        <f t="shared" si="104"/>
        <v>0</v>
      </c>
      <c r="F397" s="199">
        <f t="shared" si="104"/>
        <v>0</v>
      </c>
      <c r="G397" s="217">
        <f t="shared" si="104"/>
        <v>0</v>
      </c>
      <c r="H397" s="122">
        <f t="shared" si="104"/>
        <v>0</v>
      </c>
      <c r="I397" s="170">
        <f t="shared" si="104"/>
        <v>0</v>
      </c>
      <c r="J397" s="179">
        <f t="shared" si="104"/>
        <v>0</v>
      </c>
      <c r="K397" s="122">
        <f t="shared" si="104"/>
        <v>0</v>
      </c>
      <c r="L397" s="170">
        <f t="shared" si="104"/>
        <v>0</v>
      </c>
      <c r="M397" s="121">
        <f t="shared" si="104"/>
        <v>0</v>
      </c>
      <c r="N397" s="121">
        <f t="shared" si="104"/>
        <v>0</v>
      </c>
      <c r="O397" s="121">
        <f t="shared" si="104"/>
        <v>0</v>
      </c>
      <c r="P397" s="121">
        <f t="shared" si="104"/>
        <v>0</v>
      </c>
      <c r="Q397" s="252">
        <f t="shared" si="104"/>
        <v>0</v>
      </c>
    </row>
    <row r="398" spans="1:17" ht="12.75" hidden="1">
      <c r="A398" s="37" t="s">
        <v>27</v>
      </c>
      <c r="B398" s="99"/>
      <c r="C398" s="152"/>
      <c r="D398" s="115"/>
      <c r="E398" s="115"/>
      <c r="F398" s="196"/>
      <c r="G398" s="88"/>
      <c r="H398" s="7"/>
      <c r="I398" s="74"/>
      <c r="J398" s="28"/>
      <c r="K398" s="7"/>
      <c r="L398" s="74"/>
      <c r="M398" s="22"/>
      <c r="N398" s="7"/>
      <c r="O398" s="23"/>
      <c r="P398" s="82"/>
      <c r="Q398" s="80"/>
    </row>
    <row r="399" spans="1:17" ht="12.75" hidden="1">
      <c r="A399" s="38" t="s">
        <v>62</v>
      </c>
      <c r="B399" s="102"/>
      <c r="C399" s="180"/>
      <c r="D399" s="123"/>
      <c r="E399" s="123"/>
      <c r="F399" s="200">
        <f>C399+D399+E399</f>
        <v>0</v>
      </c>
      <c r="G399" s="219"/>
      <c r="H399" s="10"/>
      <c r="I399" s="73">
        <f>F399+G399+H399</f>
        <v>0</v>
      </c>
      <c r="J399" s="234"/>
      <c r="K399" s="10"/>
      <c r="L399" s="73">
        <f>I399+J399+K399</f>
        <v>0</v>
      </c>
      <c r="M399" s="26"/>
      <c r="N399" s="10"/>
      <c r="O399" s="27">
        <f>L399+M399+N399</f>
        <v>0</v>
      </c>
      <c r="P399" s="85"/>
      <c r="Q399" s="86">
        <f>O399+P399</f>
        <v>0</v>
      </c>
    </row>
    <row r="400" spans="1:17" ht="12.75">
      <c r="A400" s="32" t="s">
        <v>110</v>
      </c>
      <c r="B400" s="103"/>
      <c r="C400" s="159">
        <f aca="true" t="shared" si="105" ref="C400:Q400">C401</f>
        <v>54833.6</v>
      </c>
      <c r="D400" s="114">
        <f t="shared" si="105"/>
        <v>17655.68</v>
      </c>
      <c r="E400" s="114">
        <f t="shared" si="105"/>
        <v>0</v>
      </c>
      <c r="F400" s="174">
        <f t="shared" si="105"/>
        <v>72489.28</v>
      </c>
      <c r="G400" s="160">
        <f t="shared" si="105"/>
        <v>0</v>
      </c>
      <c r="H400" s="114">
        <f t="shared" si="105"/>
        <v>0</v>
      </c>
      <c r="I400" s="142">
        <f t="shared" si="105"/>
        <v>72489.28</v>
      </c>
      <c r="J400" s="159">
        <f t="shared" si="105"/>
        <v>0</v>
      </c>
      <c r="K400" s="114">
        <f t="shared" si="105"/>
        <v>0</v>
      </c>
      <c r="L400" s="142">
        <f t="shared" si="105"/>
        <v>72489.28</v>
      </c>
      <c r="M400" s="113">
        <f t="shared" si="105"/>
        <v>0</v>
      </c>
      <c r="N400" s="113">
        <f t="shared" si="105"/>
        <v>0</v>
      </c>
      <c r="O400" s="113">
        <f t="shared" si="105"/>
        <v>72489.28</v>
      </c>
      <c r="P400" s="113">
        <f t="shared" si="105"/>
        <v>0</v>
      </c>
      <c r="Q400" s="247">
        <f t="shared" si="105"/>
        <v>72489.28</v>
      </c>
    </row>
    <row r="401" spans="1:17" ht="12.75">
      <c r="A401" s="41" t="s">
        <v>56</v>
      </c>
      <c r="B401" s="103"/>
      <c r="C401" s="179">
        <f>SUM(C403:C406)</f>
        <v>54833.6</v>
      </c>
      <c r="D401" s="122">
        <f aca="true" t="shared" si="106" ref="D401:Q401">SUM(D403:D406)</f>
        <v>17655.68</v>
      </c>
      <c r="E401" s="122">
        <f t="shared" si="106"/>
        <v>0</v>
      </c>
      <c r="F401" s="199">
        <f t="shared" si="106"/>
        <v>72489.28</v>
      </c>
      <c r="G401" s="217">
        <f t="shared" si="106"/>
        <v>0</v>
      </c>
      <c r="H401" s="122">
        <f t="shared" si="106"/>
        <v>0</v>
      </c>
      <c r="I401" s="170">
        <f t="shared" si="106"/>
        <v>72489.28</v>
      </c>
      <c r="J401" s="179">
        <f t="shared" si="106"/>
        <v>0</v>
      </c>
      <c r="K401" s="122">
        <f t="shared" si="106"/>
        <v>0</v>
      </c>
      <c r="L401" s="170">
        <f t="shared" si="106"/>
        <v>72489.28</v>
      </c>
      <c r="M401" s="121">
        <f t="shared" si="106"/>
        <v>0</v>
      </c>
      <c r="N401" s="121">
        <f t="shared" si="106"/>
        <v>0</v>
      </c>
      <c r="O401" s="121">
        <f t="shared" si="106"/>
        <v>72489.28</v>
      </c>
      <c r="P401" s="121">
        <f t="shared" si="106"/>
        <v>0</v>
      </c>
      <c r="Q401" s="252">
        <f t="shared" si="106"/>
        <v>72489.28</v>
      </c>
    </row>
    <row r="402" spans="1:17" ht="12.75">
      <c r="A402" s="37" t="s">
        <v>27</v>
      </c>
      <c r="B402" s="99"/>
      <c r="C402" s="159"/>
      <c r="D402" s="114"/>
      <c r="E402" s="114"/>
      <c r="F402" s="174"/>
      <c r="G402" s="143"/>
      <c r="H402" s="6"/>
      <c r="I402" s="70"/>
      <c r="J402" s="231"/>
      <c r="K402" s="6"/>
      <c r="L402" s="70"/>
      <c r="M402" s="20"/>
      <c r="N402" s="6"/>
      <c r="O402" s="21"/>
      <c r="P402" s="82"/>
      <c r="Q402" s="80"/>
    </row>
    <row r="403" spans="1:17" ht="12.75">
      <c r="A403" s="100" t="s">
        <v>215</v>
      </c>
      <c r="B403" s="99"/>
      <c r="C403" s="152">
        <v>15000</v>
      </c>
      <c r="D403" s="115">
        <f>-1000-2418.33</f>
        <v>-3418.33</v>
      </c>
      <c r="E403" s="115"/>
      <c r="F403" s="196">
        <f>C403+D403+E403</f>
        <v>11581.67</v>
      </c>
      <c r="G403" s="88"/>
      <c r="H403" s="7"/>
      <c r="I403" s="74">
        <f>F403+G403+H403</f>
        <v>11581.67</v>
      </c>
      <c r="J403" s="232"/>
      <c r="K403" s="7"/>
      <c r="L403" s="74">
        <f>I403+J403+K403</f>
        <v>11581.67</v>
      </c>
      <c r="M403" s="22"/>
      <c r="N403" s="7"/>
      <c r="O403" s="23">
        <f>L403+M403+N403</f>
        <v>11581.67</v>
      </c>
      <c r="P403" s="82"/>
      <c r="Q403" s="80">
        <f>O403+P403</f>
        <v>11581.67</v>
      </c>
    </row>
    <row r="404" spans="1:17" ht="12.75">
      <c r="A404" s="100" t="s">
        <v>111</v>
      </c>
      <c r="B404" s="99"/>
      <c r="C404" s="152"/>
      <c r="D404" s="126">
        <f>18285</f>
        <v>18285</v>
      </c>
      <c r="E404" s="115"/>
      <c r="F404" s="196">
        <f>C404+D404+E404</f>
        <v>18285</v>
      </c>
      <c r="G404" s="88"/>
      <c r="H404" s="7"/>
      <c r="I404" s="74">
        <f>F404+G404+H404</f>
        <v>18285</v>
      </c>
      <c r="J404" s="28"/>
      <c r="K404" s="7"/>
      <c r="L404" s="74">
        <f>I404+J404+K404</f>
        <v>18285</v>
      </c>
      <c r="M404" s="22"/>
      <c r="N404" s="7"/>
      <c r="O404" s="23">
        <f>L404+M404+N404</f>
        <v>18285</v>
      </c>
      <c r="P404" s="82"/>
      <c r="Q404" s="80">
        <f>O404+P404</f>
        <v>18285</v>
      </c>
    </row>
    <row r="405" spans="1:17" ht="12.75">
      <c r="A405" s="100" t="s">
        <v>112</v>
      </c>
      <c r="B405" s="99"/>
      <c r="C405" s="152"/>
      <c r="D405" s="115">
        <f>2789.01</f>
        <v>2789.01</v>
      </c>
      <c r="E405" s="115"/>
      <c r="F405" s="196">
        <f>C405+D405+E405</f>
        <v>2789.01</v>
      </c>
      <c r="G405" s="88"/>
      <c r="H405" s="7"/>
      <c r="I405" s="74">
        <f>F405+G405+H405</f>
        <v>2789.01</v>
      </c>
      <c r="J405" s="28"/>
      <c r="K405" s="7"/>
      <c r="L405" s="74">
        <f>I405+J405+K405</f>
        <v>2789.01</v>
      </c>
      <c r="M405" s="22"/>
      <c r="N405" s="7"/>
      <c r="O405" s="23">
        <f>L405+M405+N405</f>
        <v>2789.01</v>
      </c>
      <c r="P405" s="82"/>
      <c r="Q405" s="80">
        <f>O405+P405</f>
        <v>2789.01</v>
      </c>
    </row>
    <row r="406" spans="1:17" ht="12.75">
      <c r="A406" s="38" t="s">
        <v>58</v>
      </c>
      <c r="B406" s="102"/>
      <c r="C406" s="180">
        <v>39833.6</v>
      </c>
      <c r="D406" s="123"/>
      <c r="E406" s="123"/>
      <c r="F406" s="200">
        <f>C406+D406+E406</f>
        <v>39833.6</v>
      </c>
      <c r="G406" s="219"/>
      <c r="H406" s="10"/>
      <c r="I406" s="73">
        <f>F406+G406+H406</f>
        <v>39833.6</v>
      </c>
      <c r="J406" s="234"/>
      <c r="K406" s="10"/>
      <c r="L406" s="73">
        <f>I406+J406+K406</f>
        <v>39833.6</v>
      </c>
      <c r="M406" s="26"/>
      <c r="N406" s="10"/>
      <c r="O406" s="27">
        <f>L406+M406+N406</f>
        <v>39833.6</v>
      </c>
      <c r="P406" s="85"/>
      <c r="Q406" s="86">
        <f>O406+P406</f>
        <v>39833.6</v>
      </c>
    </row>
    <row r="407" spans="1:17" ht="12.75">
      <c r="A407" s="32" t="s">
        <v>181</v>
      </c>
      <c r="B407" s="103"/>
      <c r="C407" s="159">
        <f aca="true" t="shared" si="107" ref="C407:Q407">C408+C422</f>
        <v>131473.7</v>
      </c>
      <c r="D407" s="114">
        <f t="shared" si="107"/>
        <v>68429.66</v>
      </c>
      <c r="E407" s="114">
        <f t="shared" si="107"/>
        <v>49680.649999999994</v>
      </c>
      <c r="F407" s="174">
        <f t="shared" si="107"/>
        <v>249584.01</v>
      </c>
      <c r="G407" s="160">
        <f t="shared" si="107"/>
        <v>0</v>
      </c>
      <c r="H407" s="114">
        <f t="shared" si="107"/>
        <v>0</v>
      </c>
      <c r="I407" s="142">
        <f t="shared" si="107"/>
        <v>0</v>
      </c>
      <c r="J407" s="159">
        <f t="shared" si="107"/>
        <v>0</v>
      </c>
      <c r="K407" s="114">
        <f t="shared" si="107"/>
        <v>0</v>
      </c>
      <c r="L407" s="142">
        <f t="shared" si="107"/>
        <v>0</v>
      </c>
      <c r="M407" s="113">
        <f t="shared" si="107"/>
        <v>0</v>
      </c>
      <c r="N407" s="113">
        <f t="shared" si="107"/>
        <v>0</v>
      </c>
      <c r="O407" s="113">
        <f t="shared" si="107"/>
        <v>0</v>
      </c>
      <c r="P407" s="113">
        <f t="shared" si="107"/>
        <v>0</v>
      </c>
      <c r="Q407" s="247">
        <f t="shared" si="107"/>
        <v>0</v>
      </c>
    </row>
    <row r="408" spans="1:17" ht="12.75">
      <c r="A408" s="41" t="s">
        <v>56</v>
      </c>
      <c r="B408" s="103"/>
      <c r="C408" s="179">
        <f>SUM(C410:C421)</f>
        <v>90373.7</v>
      </c>
      <c r="D408" s="122">
        <f>SUM(D410:D421)</f>
        <v>21438.870000000003</v>
      </c>
      <c r="E408" s="122">
        <f>SUM(E409:E421)</f>
        <v>14661.3</v>
      </c>
      <c r="F408" s="199">
        <f>SUM(F410:F421)</f>
        <v>126473.87000000001</v>
      </c>
      <c r="G408" s="217">
        <f aca="true" t="shared" si="108" ref="G408:Q408">SUM(G409:G421)</f>
        <v>0</v>
      </c>
      <c r="H408" s="122">
        <f t="shared" si="108"/>
        <v>0</v>
      </c>
      <c r="I408" s="170">
        <f t="shared" si="108"/>
        <v>0</v>
      </c>
      <c r="J408" s="179">
        <f t="shared" si="108"/>
        <v>0</v>
      </c>
      <c r="K408" s="122">
        <f t="shared" si="108"/>
        <v>0</v>
      </c>
      <c r="L408" s="170">
        <f t="shared" si="108"/>
        <v>0</v>
      </c>
      <c r="M408" s="121">
        <f t="shared" si="108"/>
        <v>0</v>
      </c>
      <c r="N408" s="121">
        <f t="shared" si="108"/>
        <v>0</v>
      </c>
      <c r="O408" s="121">
        <f t="shared" si="108"/>
        <v>0</v>
      </c>
      <c r="P408" s="121">
        <f t="shared" si="108"/>
        <v>0</v>
      </c>
      <c r="Q408" s="252">
        <f t="shared" si="108"/>
        <v>0</v>
      </c>
    </row>
    <row r="409" spans="1:17" ht="12.75">
      <c r="A409" s="37" t="s">
        <v>27</v>
      </c>
      <c r="B409" s="99"/>
      <c r="C409" s="152"/>
      <c r="D409" s="115"/>
      <c r="E409" s="115"/>
      <c r="F409" s="196"/>
      <c r="G409" s="88"/>
      <c r="H409" s="7"/>
      <c r="I409" s="74"/>
      <c r="J409" s="28"/>
      <c r="K409" s="7"/>
      <c r="L409" s="74"/>
      <c r="M409" s="22"/>
      <c r="N409" s="7"/>
      <c r="O409" s="23"/>
      <c r="P409" s="82"/>
      <c r="Q409" s="80"/>
    </row>
    <row r="410" spans="1:17" ht="12.75">
      <c r="A410" s="35" t="s">
        <v>286</v>
      </c>
      <c r="B410" s="99">
        <v>1202</v>
      </c>
      <c r="C410" s="152">
        <v>14900</v>
      </c>
      <c r="D410" s="115">
        <f>1009.56</f>
        <v>1009.56</v>
      </c>
      <c r="E410" s="115"/>
      <c r="F410" s="196">
        <f aca="true" t="shared" si="109" ref="F410:F421">C410+D410+E410</f>
        <v>15909.56</v>
      </c>
      <c r="G410" s="88"/>
      <c r="H410" s="7"/>
      <c r="I410" s="74"/>
      <c r="J410" s="28"/>
      <c r="K410" s="7"/>
      <c r="L410" s="74"/>
      <c r="M410" s="22"/>
      <c r="N410" s="7"/>
      <c r="O410" s="23"/>
      <c r="P410" s="82"/>
      <c r="Q410" s="80"/>
    </row>
    <row r="411" spans="1:17" ht="12.75">
      <c r="A411" s="35" t="s">
        <v>207</v>
      </c>
      <c r="B411" s="99">
        <v>1208</v>
      </c>
      <c r="C411" s="152">
        <v>3500</v>
      </c>
      <c r="D411" s="115">
        <f>1000</f>
        <v>1000</v>
      </c>
      <c r="E411" s="115"/>
      <c r="F411" s="196">
        <f t="shared" si="109"/>
        <v>4500</v>
      </c>
      <c r="G411" s="88"/>
      <c r="H411" s="7"/>
      <c r="I411" s="74"/>
      <c r="J411" s="28"/>
      <c r="K411" s="7"/>
      <c r="L411" s="74"/>
      <c r="M411" s="22"/>
      <c r="N411" s="7"/>
      <c r="O411" s="23"/>
      <c r="P411" s="82"/>
      <c r="Q411" s="80"/>
    </row>
    <row r="412" spans="1:17" ht="12.75">
      <c r="A412" s="35" t="s">
        <v>208</v>
      </c>
      <c r="B412" s="99">
        <v>1207</v>
      </c>
      <c r="C412" s="152">
        <v>9000</v>
      </c>
      <c r="D412" s="115">
        <f>102.64+1000</f>
        <v>1102.64</v>
      </c>
      <c r="E412" s="115"/>
      <c r="F412" s="196">
        <f t="shared" si="109"/>
        <v>10102.64</v>
      </c>
      <c r="G412" s="88"/>
      <c r="H412" s="7"/>
      <c r="I412" s="74"/>
      <c r="J412" s="28"/>
      <c r="K412" s="7"/>
      <c r="L412" s="74"/>
      <c r="M412" s="22"/>
      <c r="N412" s="7"/>
      <c r="O412" s="23"/>
      <c r="P412" s="82"/>
      <c r="Q412" s="80"/>
    </row>
    <row r="413" spans="1:17" ht="12.75">
      <c r="A413" s="39" t="s">
        <v>320</v>
      </c>
      <c r="B413" s="99">
        <v>1209</v>
      </c>
      <c r="C413" s="152">
        <v>2860</v>
      </c>
      <c r="D413" s="115">
        <f>10.68</f>
        <v>10.68</v>
      </c>
      <c r="E413" s="115"/>
      <c r="F413" s="196">
        <f t="shared" si="109"/>
        <v>2870.68</v>
      </c>
      <c r="G413" s="88"/>
      <c r="H413" s="7"/>
      <c r="I413" s="74"/>
      <c r="J413" s="28"/>
      <c r="K413" s="7"/>
      <c r="L413" s="74"/>
      <c r="M413" s="22"/>
      <c r="N413" s="7"/>
      <c r="O413" s="23"/>
      <c r="P413" s="82"/>
      <c r="Q413" s="80"/>
    </row>
    <row r="414" spans="1:17" ht="12.75">
      <c r="A414" s="35" t="s">
        <v>209</v>
      </c>
      <c r="B414" s="99">
        <v>1211</v>
      </c>
      <c r="C414" s="152">
        <v>3600</v>
      </c>
      <c r="D414" s="126">
        <f>222.32</f>
        <v>222.32</v>
      </c>
      <c r="E414" s="126"/>
      <c r="F414" s="196">
        <f t="shared" si="109"/>
        <v>3822.32</v>
      </c>
      <c r="G414" s="88"/>
      <c r="H414" s="7"/>
      <c r="I414" s="74"/>
      <c r="J414" s="28"/>
      <c r="K414" s="7"/>
      <c r="L414" s="74"/>
      <c r="M414" s="22"/>
      <c r="N414" s="7"/>
      <c r="O414" s="23"/>
      <c r="P414" s="82"/>
      <c r="Q414" s="80"/>
    </row>
    <row r="415" spans="1:17" ht="12.75">
      <c r="A415" s="35" t="s">
        <v>269</v>
      </c>
      <c r="B415" s="99">
        <v>1214</v>
      </c>
      <c r="C415" s="152">
        <v>2285</v>
      </c>
      <c r="D415" s="126">
        <f>9.87+200</f>
        <v>209.87</v>
      </c>
      <c r="E415" s="115"/>
      <c r="F415" s="196">
        <f t="shared" si="109"/>
        <v>2494.87</v>
      </c>
      <c r="G415" s="88"/>
      <c r="H415" s="7"/>
      <c r="I415" s="74"/>
      <c r="J415" s="28"/>
      <c r="K415" s="7"/>
      <c r="L415" s="74"/>
      <c r="M415" s="22"/>
      <c r="N415" s="7"/>
      <c r="O415" s="23"/>
      <c r="P415" s="82"/>
      <c r="Q415" s="80"/>
    </row>
    <row r="416" spans="1:17" ht="12.75">
      <c r="A416" s="35" t="s">
        <v>270</v>
      </c>
      <c r="B416" s="99">
        <v>1213</v>
      </c>
      <c r="C416" s="152">
        <v>1500</v>
      </c>
      <c r="D416" s="126">
        <f>119.54</f>
        <v>119.54</v>
      </c>
      <c r="E416" s="115"/>
      <c r="F416" s="196">
        <f t="shared" si="109"/>
        <v>1619.54</v>
      </c>
      <c r="G416" s="88"/>
      <c r="H416" s="7"/>
      <c r="I416" s="74"/>
      <c r="J416" s="28"/>
      <c r="K416" s="7"/>
      <c r="L416" s="74"/>
      <c r="M416" s="22"/>
      <c r="N416" s="7"/>
      <c r="O416" s="23"/>
      <c r="P416" s="82"/>
      <c r="Q416" s="80"/>
    </row>
    <row r="417" spans="1:17" ht="12.75">
      <c r="A417" s="35" t="s">
        <v>319</v>
      </c>
      <c r="B417" s="99">
        <v>1216</v>
      </c>
      <c r="C417" s="152">
        <v>17000</v>
      </c>
      <c r="D417" s="115">
        <f>1256.46+1000</f>
        <v>2256.46</v>
      </c>
      <c r="E417" s="115"/>
      <c r="F417" s="196">
        <f t="shared" si="109"/>
        <v>19256.46</v>
      </c>
      <c r="G417" s="88"/>
      <c r="H417" s="7"/>
      <c r="I417" s="74"/>
      <c r="J417" s="28"/>
      <c r="K417" s="7"/>
      <c r="L417" s="74"/>
      <c r="M417" s="22"/>
      <c r="N417" s="7"/>
      <c r="O417" s="23"/>
      <c r="P417" s="82"/>
      <c r="Q417" s="80"/>
    </row>
    <row r="418" spans="1:17" ht="12.75">
      <c r="A418" s="35" t="s">
        <v>210</v>
      </c>
      <c r="B418" s="99">
        <v>1239</v>
      </c>
      <c r="C418" s="152">
        <v>4300</v>
      </c>
      <c r="D418" s="115">
        <f>497.51+1500+2000+300</f>
        <v>4297.51</v>
      </c>
      <c r="E418" s="115"/>
      <c r="F418" s="196">
        <f t="shared" si="109"/>
        <v>8597.51</v>
      </c>
      <c r="G418" s="88"/>
      <c r="H418" s="7"/>
      <c r="I418" s="74"/>
      <c r="J418" s="28"/>
      <c r="K418" s="7"/>
      <c r="L418" s="74"/>
      <c r="M418" s="22"/>
      <c r="N418" s="7"/>
      <c r="O418" s="23"/>
      <c r="P418" s="82"/>
      <c r="Q418" s="80"/>
    </row>
    <row r="419" spans="1:17" ht="12.75">
      <c r="A419" s="35" t="s">
        <v>234</v>
      </c>
      <c r="B419" s="99">
        <v>1300</v>
      </c>
      <c r="C419" s="152">
        <v>16925.7</v>
      </c>
      <c r="D419" s="115">
        <f>650+4820+11759-9758</f>
        <v>7471</v>
      </c>
      <c r="E419" s="115">
        <f>14661.3</f>
        <v>14661.3</v>
      </c>
      <c r="F419" s="196">
        <f t="shared" si="109"/>
        <v>39058</v>
      </c>
      <c r="G419" s="88"/>
      <c r="H419" s="7"/>
      <c r="I419" s="74"/>
      <c r="J419" s="28"/>
      <c r="K419" s="7"/>
      <c r="L419" s="74"/>
      <c r="M419" s="22"/>
      <c r="N419" s="7"/>
      <c r="O419" s="23"/>
      <c r="P419" s="82"/>
      <c r="Q419" s="80"/>
    </row>
    <row r="420" spans="1:17" ht="12.75">
      <c r="A420" s="35" t="s">
        <v>211</v>
      </c>
      <c r="B420" s="99">
        <v>1110</v>
      </c>
      <c r="C420" s="152">
        <v>14500</v>
      </c>
      <c r="D420" s="115">
        <f>3550.38</f>
        <v>3550.38</v>
      </c>
      <c r="E420" s="115"/>
      <c r="F420" s="196">
        <f t="shared" si="109"/>
        <v>18050.38</v>
      </c>
      <c r="G420" s="88"/>
      <c r="H420" s="7"/>
      <c r="I420" s="74"/>
      <c r="J420" s="28"/>
      <c r="K420" s="7"/>
      <c r="L420" s="74"/>
      <c r="M420" s="22"/>
      <c r="N420" s="7"/>
      <c r="O420" s="23"/>
      <c r="P420" s="82"/>
      <c r="Q420" s="80"/>
    </row>
    <row r="421" spans="1:17" ht="12.75">
      <c r="A421" s="38" t="s">
        <v>284</v>
      </c>
      <c r="B421" s="102"/>
      <c r="C421" s="180">
        <v>3</v>
      </c>
      <c r="D421" s="123">
        <f>188.91</f>
        <v>188.91</v>
      </c>
      <c r="E421" s="123"/>
      <c r="F421" s="200">
        <f t="shared" si="109"/>
        <v>191.91</v>
      </c>
      <c r="G421" s="88"/>
      <c r="H421" s="7"/>
      <c r="I421" s="74"/>
      <c r="J421" s="28"/>
      <c r="K421" s="7"/>
      <c r="L421" s="74"/>
      <c r="M421" s="22"/>
      <c r="N421" s="7"/>
      <c r="O421" s="23"/>
      <c r="P421" s="82"/>
      <c r="Q421" s="80"/>
    </row>
    <row r="422" spans="1:17" ht="12.75">
      <c r="A422" s="41" t="s">
        <v>61</v>
      </c>
      <c r="B422" s="103"/>
      <c r="C422" s="179">
        <f>SUM(C424:C429)</f>
        <v>41100</v>
      </c>
      <c r="D422" s="122">
        <f aca="true" t="shared" si="110" ref="D422:Q422">SUM(D424:D429)</f>
        <v>46990.78999999999</v>
      </c>
      <c r="E422" s="122">
        <f t="shared" si="110"/>
        <v>35019.35</v>
      </c>
      <c r="F422" s="199">
        <f t="shared" si="110"/>
        <v>123110.13999999998</v>
      </c>
      <c r="G422" s="217">
        <f t="shared" si="110"/>
        <v>0</v>
      </c>
      <c r="H422" s="122">
        <f t="shared" si="110"/>
        <v>0</v>
      </c>
      <c r="I422" s="170">
        <f t="shared" si="110"/>
        <v>0</v>
      </c>
      <c r="J422" s="179">
        <f t="shared" si="110"/>
        <v>0</v>
      </c>
      <c r="K422" s="122">
        <f t="shared" si="110"/>
        <v>0</v>
      </c>
      <c r="L422" s="170">
        <f t="shared" si="110"/>
        <v>0</v>
      </c>
      <c r="M422" s="121">
        <f t="shared" si="110"/>
        <v>0</v>
      </c>
      <c r="N422" s="121">
        <f t="shared" si="110"/>
        <v>0</v>
      </c>
      <c r="O422" s="121">
        <f t="shared" si="110"/>
        <v>0</v>
      </c>
      <c r="P422" s="121">
        <f t="shared" si="110"/>
        <v>0</v>
      </c>
      <c r="Q422" s="252">
        <f t="shared" si="110"/>
        <v>0</v>
      </c>
    </row>
    <row r="423" spans="1:17" ht="12.75">
      <c r="A423" s="37" t="s">
        <v>27</v>
      </c>
      <c r="B423" s="99"/>
      <c r="C423" s="152"/>
      <c r="D423" s="115"/>
      <c r="E423" s="115"/>
      <c r="F423" s="196"/>
      <c r="G423" s="88"/>
      <c r="H423" s="7"/>
      <c r="I423" s="74"/>
      <c r="J423" s="28"/>
      <c r="K423" s="7"/>
      <c r="L423" s="74"/>
      <c r="M423" s="22"/>
      <c r="N423" s="7"/>
      <c r="O423" s="23"/>
      <c r="P423" s="82"/>
      <c r="Q423" s="80"/>
    </row>
    <row r="424" spans="1:17" ht="12.75">
      <c r="A424" s="39" t="s">
        <v>225</v>
      </c>
      <c r="B424" s="99">
        <v>1239</v>
      </c>
      <c r="C424" s="152">
        <v>3000</v>
      </c>
      <c r="D424" s="115">
        <f>3888.84+18000+10000+5500</f>
        <v>37388.84</v>
      </c>
      <c r="E424" s="115"/>
      <c r="F424" s="196">
        <f aca="true" t="shared" si="111" ref="F424:F429">C424+D424+E424</f>
        <v>40388.84</v>
      </c>
      <c r="G424" s="88"/>
      <c r="H424" s="7"/>
      <c r="I424" s="74"/>
      <c r="J424" s="28"/>
      <c r="K424" s="7"/>
      <c r="L424" s="74"/>
      <c r="M424" s="22"/>
      <c r="N424" s="7"/>
      <c r="O424" s="23"/>
      <c r="P424" s="82"/>
      <c r="Q424" s="80"/>
    </row>
    <row r="425" spans="1:17" ht="12.75" hidden="1">
      <c r="A425" s="39" t="s">
        <v>123</v>
      </c>
      <c r="B425" s="99">
        <v>1214</v>
      </c>
      <c r="C425" s="152"/>
      <c r="D425" s="115"/>
      <c r="E425" s="115"/>
      <c r="F425" s="196">
        <f t="shared" si="111"/>
        <v>0</v>
      </c>
      <c r="G425" s="88"/>
      <c r="H425" s="7"/>
      <c r="I425" s="74"/>
      <c r="J425" s="28"/>
      <c r="K425" s="7"/>
      <c r="L425" s="74"/>
      <c r="M425" s="22"/>
      <c r="N425" s="7"/>
      <c r="O425" s="23"/>
      <c r="P425" s="82"/>
      <c r="Q425" s="80"/>
    </row>
    <row r="426" spans="1:17" ht="12.75">
      <c r="A426" s="39" t="s">
        <v>285</v>
      </c>
      <c r="B426" s="99">
        <v>1209</v>
      </c>
      <c r="C426" s="152">
        <v>600</v>
      </c>
      <c r="D426" s="115">
        <f>4.45</f>
        <v>4.45</v>
      </c>
      <c r="E426" s="115"/>
      <c r="F426" s="196">
        <f t="shared" si="111"/>
        <v>604.45</v>
      </c>
      <c r="G426" s="88"/>
      <c r="H426" s="7"/>
      <c r="I426" s="74"/>
      <c r="J426" s="28"/>
      <c r="K426" s="7"/>
      <c r="L426" s="74"/>
      <c r="M426" s="22"/>
      <c r="N426" s="7"/>
      <c r="O426" s="23"/>
      <c r="P426" s="82"/>
      <c r="Q426" s="80"/>
    </row>
    <row r="427" spans="1:17" ht="12.75">
      <c r="A427" s="35" t="s">
        <v>177</v>
      </c>
      <c r="B427" s="99">
        <v>1202</v>
      </c>
      <c r="C427" s="152"/>
      <c r="D427" s="115">
        <f>1000</f>
        <v>1000</v>
      </c>
      <c r="E427" s="115"/>
      <c r="F427" s="196">
        <f t="shared" si="111"/>
        <v>1000</v>
      </c>
      <c r="G427" s="88"/>
      <c r="H427" s="7"/>
      <c r="I427" s="74"/>
      <c r="J427" s="28"/>
      <c r="K427" s="7"/>
      <c r="L427" s="74"/>
      <c r="M427" s="22"/>
      <c r="N427" s="7"/>
      <c r="O427" s="23"/>
      <c r="P427" s="82"/>
      <c r="Q427" s="80"/>
    </row>
    <row r="428" spans="1:17" ht="12.75">
      <c r="A428" s="39" t="s">
        <v>239</v>
      </c>
      <c r="B428" s="99">
        <v>1300</v>
      </c>
      <c r="C428" s="152">
        <v>7500</v>
      </c>
      <c r="D428" s="115">
        <f>1700+1200</f>
        <v>2900</v>
      </c>
      <c r="E428" s="115">
        <f>23019.35+12000</f>
        <v>35019.35</v>
      </c>
      <c r="F428" s="196">
        <f t="shared" si="111"/>
        <v>45419.35</v>
      </c>
      <c r="G428" s="88"/>
      <c r="H428" s="7"/>
      <c r="I428" s="74"/>
      <c r="J428" s="28"/>
      <c r="K428" s="7"/>
      <c r="L428" s="74"/>
      <c r="M428" s="22"/>
      <c r="N428" s="7"/>
      <c r="O428" s="23"/>
      <c r="P428" s="82"/>
      <c r="Q428" s="80"/>
    </row>
    <row r="429" spans="1:17" ht="12.75">
      <c r="A429" s="38" t="s">
        <v>92</v>
      </c>
      <c r="B429" s="102">
        <v>1110</v>
      </c>
      <c r="C429" s="184">
        <v>30000</v>
      </c>
      <c r="D429" s="123">
        <f>1739.5+3958</f>
        <v>5697.5</v>
      </c>
      <c r="E429" s="123"/>
      <c r="F429" s="200">
        <f t="shared" si="111"/>
        <v>35697.5</v>
      </c>
      <c r="G429" s="88"/>
      <c r="H429" s="7"/>
      <c r="I429" s="74"/>
      <c r="J429" s="28"/>
      <c r="K429" s="7"/>
      <c r="L429" s="74"/>
      <c r="M429" s="22"/>
      <c r="N429" s="7"/>
      <c r="O429" s="23"/>
      <c r="P429" s="82"/>
      <c r="Q429" s="80"/>
    </row>
    <row r="430" spans="1:17" ht="12.75">
      <c r="A430" s="32" t="s">
        <v>155</v>
      </c>
      <c r="B430" s="103"/>
      <c r="C430" s="159">
        <f aca="true" t="shared" si="112" ref="C430:Q430">C431</f>
        <v>1</v>
      </c>
      <c r="D430" s="114">
        <f t="shared" si="112"/>
        <v>5292.85</v>
      </c>
      <c r="E430" s="114">
        <f t="shared" si="112"/>
        <v>0</v>
      </c>
      <c r="F430" s="174">
        <f t="shared" si="112"/>
        <v>5293.85</v>
      </c>
      <c r="G430" s="160">
        <f t="shared" si="112"/>
        <v>0</v>
      </c>
      <c r="H430" s="114">
        <f t="shared" si="112"/>
        <v>0</v>
      </c>
      <c r="I430" s="142">
        <f t="shared" si="112"/>
        <v>5293.85</v>
      </c>
      <c r="J430" s="159">
        <f t="shared" si="112"/>
        <v>0</v>
      </c>
      <c r="K430" s="114">
        <f t="shared" si="112"/>
        <v>0</v>
      </c>
      <c r="L430" s="142">
        <f t="shared" si="112"/>
        <v>5293.85</v>
      </c>
      <c r="M430" s="113">
        <f t="shared" si="112"/>
        <v>0</v>
      </c>
      <c r="N430" s="113">
        <f t="shared" si="112"/>
        <v>0</v>
      </c>
      <c r="O430" s="113">
        <f t="shared" si="112"/>
        <v>5293.85</v>
      </c>
      <c r="P430" s="113">
        <f t="shared" si="112"/>
        <v>0</v>
      </c>
      <c r="Q430" s="247">
        <f t="shared" si="112"/>
        <v>5293.85</v>
      </c>
    </row>
    <row r="431" spans="1:17" ht="12.75">
      <c r="A431" s="41" t="s">
        <v>56</v>
      </c>
      <c r="B431" s="103"/>
      <c r="C431" s="179">
        <f>C433</f>
        <v>1</v>
      </c>
      <c r="D431" s="122">
        <f aca="true" t="shared" si="113" ref="D431:Q431">D433</f>
        <v>5292.85</v>
      </c>
      <c r="E431" s="122">
        <f t="shared" si="113"/>
        <v>0</v>
      </c>
      <c r="F431" s="199">
        <f t="shared" si="113"/>
        <v>5293.85</v>
      </c>
      <c r="G431" s="217">
        <f t="shared" si="113"/>
        <v>0</v>
      </c>
      <c r="H431" s="122">
        <f t="shared" si="113"/>
        <v>0</v>
      </c>
      <c r="I431" s="170">
        <f t="shared" si="113"/>
        <v>5293.85</v>
      </c>
      <c r="J431" s="179">
        <f t="shared" si="113"/>
        <v>0</v>
      </c>
      <c r="K431" s="122">
        <f t="shared" si="113"/>
        <v>0</v>
      </c>
      <c r="L431" s="170">
        <f t="shared" si="113"/>
        <v>5293.85</v>
      </c>
      <c r="M431" s="121">
        <f t="shared" si="113"/>
        <v>0</v>
      </c>
      <c r="N431" s="121">
        <f t="shared" si="113"/>
        <v>0</v>
      </c>
      <c r="O431" s="121">
        <f t="shared" si="113"/>
        <v>5293.85</v>
      </c>
      <c r="P431" s="121">
        <f t="shared" si="113"/>
        <v>0</v>
      </c>
      <c r="Q431" s="252">
        <f t="shared" si="113"/>
        <v>5293.85</v>
      </c>
    </row>
    <row r="432" spans="1:17" ht="12.75">
      <c r="A432" s="37" t="s">
        <v>27</v>
      </c>
      <c r="B432" s="99"/>
      <c r="C432" s="152"/>
      <c r="D432" s="115"/>
      <c r="E432" s="115"/>
      <c r="F432" s="196"/>
      <c r="G432" s="88"/>
      <c r="H432" s="7"/>
      <c r="I432" s="74"/>
      <c r="J432" s="28"/>
      <c r="K432" s="7"/>
      <c r="L432" s="74"/>
      <c r="M432" s="22"/>
      <c r="N432" s="7"/>
      <c r="O432" s="23"/>
      <c r="P432" s="82"/>
      <c r="Q432" s="80"/>
    </row>
    <row r="433" spans="1:17" ht="12.75">
      <c r="A433" s="38" t="s">
        <v>58</v>
      </c>
      <c r="B433" s="102"/>
      <c r="C433" s="180">
        <v>1</v>
      </c>
      <c r="D433" s="123">
        <f>5292.85</f>
        <v>5292.85</v>
      </c>
      <c r="E433" s="123"/>
      <c r="F433" s="147">
        <f>C433+D433+E433</f>
        <v>5293.85</v>
      </c>
      <c r="G433" s="219"/>
      <c r="H433" s="10"/>
      <c r="I433" s="73">
        <f>F433+G433+H433</f>
        <v>5293.85</v>
      </c>
      <c r="J433" s="234"/>
      <c r="K433" s="10"/>
      <c r="L433" s="73">
        <f>I433+J433+K433</f>
        <v>5293.85</v>
      </c>
      <c r="M433" s="26"/>
      <c r="N433" s="10"/>
      <c r="O433" s="27">
        <f>L433+M433+N433</f>
        <v>5293.85</v>
      </c>
      <c r="P433" s="85"/>
      <c r="Q433" s="86">
        <f>O433+P433</f>
        <v>5293.85</v>
      </c>
    </row>
    <row r="434" spans="1:17" ht="12.75">
      <c r="A434" s="32" t="s">
        <v>113</v>
      </c>
      <c r="B434" s="103"/>
      <c r="C434" s="159">
        <f>C436+C437</f>
        <v>505373</v>
      </c>
      <c r="D434" s="114">
        <f aca="true" t="shared" si="114" ref="D434:Q434">D436+D437</f>
        <v>653931.21</v>
      </c>
      <c r="E434" s="114">
        <f t="shared" si="114"/>
        <v>0</v>
      </c>
      <c r="F434" s="174">
        <f t="shared" si="114"/>
        <v>1159304.21</v>
      </c>
      <c r="G434" s="160" t="e">
        <f t="shared" si="114"/>
        <v>#REF!</v>
      </c>
      <c r="H434" s="114" t="e">
        <f t="shared" si="114"/>
        <v>#REF!</v>
      </c>
      <c r="I434" s="142" t="e">
        <f t="shared" si="114"/>
        <v>#REF!</v>
      </c>
      <c r="J434" s="159" t="e">
        <f t="shared" si="114"/>
        <v>#REF!</v>
      </c>
      <c r="K434" s="114" t="e">
        <f t="shared" si="114"/>
        <v>#REF!</v>
      </c>
      <c r="L434" s="142" t="e">
        <f t="shared" si="114"/>
        <v>#REF!</v>
      </c>
      <c r="M434" s="113" t="e">
        <f t="shared" si="114"/>
        <v>#REF!</v>
      </c>
      <c r="N434" s="113" t="e">
        <f t="shared" si="114"/>
        <v>#REF!</v>
      </c>
      <c r="O434" s="113" t="e">
        <f t="shared" si="114"/>
        <v>#REF!</v>
      </c>
      <c r="P434" s="113" t="e">
        <f t="shared" si="114"/>
        <v>#REF!</v>
      </c>
      <c r="Q434" s="247" t="e">
        <f t="shared" si="114"/>
        <v>#REF!</v>
      </c>
    </row>
    <row r="435" spans="1:17" ht="12.75">
      <c r="A435" s="34" t="s">
        <v>27</v>
      </c>
      <c r="B435" s="99"/>
      <c r="C435" s="159"/>
      <c r="D435" s="114"/>
      <c r="E435" s="114"/>
      <c r="F435" s="174"/>
      <c r="G435" s="160"/>
      <c r="H435" s="114"/>
      <c r="I435" s="142"/>
      <c r="J435" s="159"/>
      <c r="K435" s="114"/>
      <c r="L435" s="142"/>
      <c r="M435" s="113"/>
      <c r="N435" s="113"/>
      <c r="O435" s="113"/>
      <c r="P435" s="113"/>
      <c r="Q435" s="247"/>
    </row>
    <row r="436" spans="1:17" ht="12.75">
      <c r="A436" s="32" t="s">
        <v>56</v>
      </c>
      <c r="B436" s="103"/>
      <c r="C436" s="145">
        <f aca="true" t="shared" si="115" ref="C436:Q436">C443+C445+C457+C459+C464+C475+C460+C450+C477+C452+C481</f>
        <v>69402</v>
      </c>
      <c r="D436" s="118">
        <f t="shared" si="115"/>
        <v>98668.07</v>
      </c>
      <c r="E436" s="118">
        <f t="shared" si="115"/>
        <v>0</v>
      </c>
      <c r="F436" s="242">
        <f t="shared" si="115"/>
        <v>168070.07000000004</v>
      </c>
      <c r="G436" s="146">
        <f t="shared" si="115"/>
        <v>0</v>
      </c>
      <c r="H436" s="118">
        <f t="shared" si="115"/>
        <v>0</v>
      </c>
      <c r="I436" s="168">
        <f t="shared" si="115"/>
        <v>163327.72000000003</v>
      </c>
      <c r="J436" s="145">
        <f t="shared" si="115"/>
        <v>0</v>
      </c>
      <c r="K436" s="118">
        <f t="shared" si="115"/>
        <v>0</v>
      </c>
      <c r="L436" s="168">
        <f t="shared" si="115"/>
        <v>163327.72000000003</v>
      </c>
      <c r="M436" s="117">
        <f t="shared" si="115"/>
        <v>0</v>
      </c>
      <c r="N436" s="117">
        <f t="shared" si="115"/>
        <v>0</v>
      </c>
      <c r="O436" s="117">
        <f t="shared" si="115"/>
        <v>163327.72000000003</v>
      </c>
      <c r="P436" s="117">
        <f t="shared" si="115"/>
        <v>0</v>
      </c>
      <c r="Q436" s="250">
        <f t="shared" si="115"/>
        <v>163327.72000000003</v>
      </c>
    </row>
    <row r="437" spans="1:17" ht="12.75">
      <c r="A437" s="32" t="s">
        <v>61</v>
      </c>
      <c r="B437" s="103"/>
      <c r="C437" s="145">
        <f>+C440+C441+C442+C446+C447+C449+C451+C453+C455+C456+C458+C461+C463+C465+C466+C468+C469+C471+C472+C474+C476+C478+C480</f>
        <v>435971</v>
      </c>
      <c r="D437" s="118">
        <f>+D440+D441+D442+D446+D447+D449+D451+D453+D455+D456+D458+D461+D463+D465+D466+D468+D469+D471+D472+D474+D476+D478+D480</f>
        <v>555263.14</v>
      </c>
      <c r="E437" s="118">
        <f>+E440+E441+E442+E446+E447+E449+E451+E453+E455+E456+E458+E461+E463+E465+E466+E468+E469+E471+E472+E474+E476+E478+E480</f>
        <v>0</v>
      </c>
      <c r="F437" s="242">
        <f>+F440+F441+F442+F446+F447+F449+F451+F453+F455+F456+F458+F461+F463+F465+F466+F468+F469+F471+F472+F474+F476+F478+F480</f>
        <v>991234.1399999999</v>
      </c>
      <c r="G437" s="146" t="e">
        <f>#REF!+#REF!+#REF!+#REF!+#REF!+G440+G441+G442+G446+G447+G449+G451+G453+G455+G456+G458+G461+G463+G465+G466+G474+G476+G478+G480</f>
        <v>#REF!</v>
      </c>
      <c r="H437" s="118" t="e">
        <f>#REF!+#REF!+#REF!+#REF!+#REF!+H440+H441+H442+H446+H447+H449+H451+H453+H455+H456+H458+H461+H463+H465+H466+H474+H476+H478+H480</f>
        <v>#REF!</v>
      </c>
      <c r="I437" s="168" t="e">
        <f>#REF!+#REF!+#REF!+#REF!+#REF!+I440+I441+I442+I446+I447+I449+I451+I453+I455+I456+I458+I461+I463+I465+I466+I474+I476+I478+I480</f>
        <v>#REF!</v>
      </c>
      <c r="J437" s="145" t="e">
        <f>#REF!+#REF!+#REF!+#REF!+#REF!+J440+J441+J442+J446+J447+J449+J451+J453+J455+J456+J458+J461+J463+J465+J466+J474+J476+J478+J480</f>
        <v>#REF!</v>
      </c>
      <c r="K437" s="118" t="e">
        <f>#REF!+#REF!+#REF!+#REF!+#REF!+K440+K441+K442+K446+K447+K449+K451+K453+K455+K456+K458+K461+K463+K465+K466+K474+K476+K478+K480</f>
        <v>#REF!</v>
      </c>
      <c r="L437" s="168" t="e">
        <f>#REF!+#REF!+#REF!+#REF!+#REF!+L440+L441+L442+L446+L447+L449+L451+L453+L455+L456+L458+L461+L463+L465+L466+L474+L476+L478+L480</f>
        <v>#REF!</v>
      </c>
      <c r="M437" s="117" t="e">
        <f>#REF!+#REF!+#REF!+#REF!+#REF!+M440+M441+M442+M446+M447+M449+M451+M453+M455+M456+M458+M461+M463+M465+M466+M474+M476+M478+M480</f>
        <v>#REF!</v>
      </c>
      <c r="N437" s="117" t="e">
        <f>#REF!+#REF!+#REF!+#REF!+#REF!+N440+N441+N442+N446+N447+N449+N451+N453+N455+N456+N458+N461+N463+N465+N466+N474+N476+N478+N480</f>
        <v>#REF!</v>
      </c>
      <c r="O437" s="117" t="e">
        <f>#REF!+#REF!+#REF!+#REF!+#REF!+O440+O441+O442+O446+O447+O449+O451+O453+O455+O456+O458+O461+O463+O465+O466+O474+O476+O478+O480</f>
        <v>#REF!</v>
      </c>
      <c r="P437" s="117" t="e">
        <f>#REF!+#REF!+#REF!+#REF!+#REF!+P440+P441+P442+P446+P447+P449+P451+P453+P455+P456+P458+P461+P463+P465+P466+P474+P476+P478+P480</f>
        <v>#REF!</v>
      </c>
      <c r="Q437" s="250" t="e">
        <f>#REF!+#REF!+#REF!+#REF!+#REF!+Q440+Q441+Q442+Q446+Q447+Q449+Q451+Q453+Q455+Q456+Q458+Q461+Q463+Q465+Q466+Q474+Q476+Q478+Q480</f>
        <v>#REF!</v>
      </c>
    </row>
    <row r="438" spans="1:17" ht="12.75">
      <c r="A438" s="33" t="s">
        <v>114</v>
      </c>
      <c r="B438" s="99"/>
      <c r="C438" s="159"/>
      <c r="D438" s="114"/>
      <c r="E438" s="114"/>
      <c r="F438" s="174"/>
      <c r="G438" s="143"/>
      <c r="H438" s="6"/>
      <c r="I438" s="70"/>
      <c r="J438" s="231"/>
      <c r="K438" s="6"/>
      <c r="L438" s="70"/>
      <c r="M438" s="20"/>
      <c r="N438" s="6"/>
      <c r="O438" s="21"/>
      <c r="P438" s="82"/>
      <c r="Q438" s="80"/>
    </row>
    <row r="439" spans="1:17" ht="12.75">
      <c r="A439" s="34" t="s">
        <v>118</v>
      </c>
      <c r="B439" s="99">
        <v>10</v>
      </c>
      <c r="C439" s="152">
        <f>SUM(C440:C443)</f>
        <v>150000</v>
      </c>
      <c r="D439" s="115">
        <f aca="true" t="shared" si="116" ref="D439:Q439">SUM(D440:D443)</f>
        <v>97894.71</v>
      </c>
      <c r="E439" s="115">
        <f t="shared" si="116"/>
        <v>0</v>
      </c>
      <c r="F439" s="196">
        <f t="shared" si="116"/>
        <v>247894.71000000002</v>
      </c>
      <c r="G439" s="153">
        <f t="shared" si="116"/>
        <v>0</v>
      </c>
      <c r="H439" s="115">
        <f t="shared" si="116"/>
        <v>0</v>
      </c>
      <c r="I439" s="167">
        <f t="shared" si="116"/>
        <v>247894.71000000002</v>
      </c>
      <c r="J439" s="152">
        <f t="shared" si="116"/>
        <v>0</v>
      </c>
      <c r="K439" s="115">
        <f t="shared" si="116"/>
        <v>0</v>
      </c>
      <c r="L439" s="167">
        <f t="shared" si="116"/>
        <v>247894.71000000002</v>
      </c>
      <c r="M439" s="116">
        <f t="shared" si="116"/>
        <v>0</v>
      </c>
      <c r="N439" s="116">
        <f t="shared" si="116"/>
        <v>0</v>
      </c>
      <c r="O439" s="116">
        <f t="shared" si="116"/>
        <v>247894.71000000002</v>
      </c>
      <c r="P439" s="116">
        <f t="shared" si="116"/>
        <v>0</v>
      </c>
      <c r="Q439" s="248">
        <f t="shared" si="116"/>
        <v>247894.71000000002</v>
      </c>
    </row>
    <row r="440" spans="1:17" ht="12.75">
      <c r="A440" s="34" t="s">
        <v>119</v>
      </c>
      <c r="B440" s="99"/>
      <c r="C440" s="152"/>
      <c r="D440" s="115"/>
      <c r="E440" s="115"/>
      <c r="F440" s="196">
        <f aca="true" t="shared" si="117" ref="F440:F484">C440+D440+E440</f>
        <v>0</v>
      </c>
      <c r="G440" s="88"/>
      <c r="H440" s="7"/>
      <c r="I440" s="74">
        <f>F440+G440+H440</f>
        <v>0</v>
      </c>
      <c r="J440" s="28"/>
      <c r="K440" s="7"/>
      <c r="L440" s="74">
        <f>I440+J440+K440</f>
        <v>0</v>
      </c>
      <c r="M440" s="22"/>
      <c r="N440" s="7"/>
      <c r="O440" s="23">
        <f>L440+M440+N440</f>
        <v>0</v>
      </c>
      <c r="P440" s="82"/>
      <c r="Q440" s="80">
        <f>O440+P440</f>
        <v>0</v>
      </c>
    </row>
    <row r="441" spans="1:17" ht="12.75">
      <c r="A441" s="34" t="s">
        <v>120</v>
      </c>
      <c r="B441" s="99"/>
      <c r="C441" s="152">
        <v>130000</v>
      </c>
      <c r="D441" s="126">
        <f>22082.45+9500</f>
        <v>31582.45</v>
      </c>
      <c r="E441" s="126"/>
      <c r="F441" s="196">
        <f t="shared" si="117"/>
        <v>161582.45</v>
      </c>
      <c r="G441" s="88"/>
      <c r="H441" s="7"/>
      <c r="I441" s="74">
        <f>F441+G441+H441</f>
        <v>161582.45</v>
      </c>
      <c r="J441" s="28"/>
      <c r="K441" s="7"/>
      <c r="L441" s="74">
        <f>I441+J441+K441</f>
        <v>161582.45</v>
      </c>
      <c r="M441" s="22"/>
      <c r="N441" s="7"/>
      <c r="O441" s="23">
        <f>L441+M441+N441</f>
        <v>161582.45</v>
      </c>
      <c r="P441" s="82"/>
      <c r="Q441" s="80">
        <f>O441+P441</f>
        <v>161582.45</v>
      </c>
    </row>
    <row r="442" spans="1:17" ht="12.75">
      <c r="A442" s="34" t="s">
        <v>117</v>
      </c>
      <c r="B442" s="99"/>
      <c r="C442" s="152"/>
      <c r="D442" s="115">
        <f>1164.85</f>
        <v>1164.85</v>
      </c>
      <c r="E442" s="115"/>
      <c r="F442" s="196">
        <f t="shared" si="117"/>
        <v>1164.85</v>
      </c>
      <c r="G442" s="88"/>
      <c r="H442" s="7"/>
      <c r="I442" s="74">
        <f>F442+G442+H442</f>
        <v>1164.85</v>
      </c>
      <c r="J442" s="28"/>
      <c r="K442" s="7"/>
      <c r="L442" s="74">
        <f>I442+J442+K442</f>
        <v>1164.85</v>
      </c>
      <c r="M442" s="22"/>
      <c r="N442" s="7"/>
      <c r="O442" s="23">
        <f>L442+M442+N442</f>
        <v>1164.85</v>
      </c>
      <c r="P442" s="82"/>
      <c r="Q442" s="80">
        <f>O442+P442</f>
        <v>1164.85</v>
      </c>
    </row>
    <row r="443" spans="1:17" ht="12.75">
      <c r="A443" s="35" t="s">
        <v>146</v>
      </c>
      <c r="B443" s="99"/>
      <c r="C443" s="152">
        <v>20000</v>
      </c>
      <c r="D443" s="149">
        <f>16647.41+48500</f>
        <v>65147.41</v>
      </c>
      <c r="E443" s="115"/>
      <c r="F443" s="196">
        <f t="shared" si="117"/>
        <v>85147.41</v>
      </c>
      <c r="G443" s="88"/>
      <c r="H443" s="7"/>
      <c r="I443" s="74">
        <f>F443+G443+H443</f>
        <v>85147.41</v>
      </c>
      <c r="J443" s="28"/>
      <c r="K443" s="7"/>
      <c r="L443" s="74">
        <f>I443+J443+K443</f>
        <v>85147.41</v>
      </c>
      <c r="M443" s="22"/>
      <c r="N443" s="7"/>
      <c r="O443" s="23">
        <f>L443+M443+N443</f>
        <v>85147.41</v>
      </c>
      <c r="P443" s="82"/>
      <c r="Q443" s="80">
        <f>O443+P443</f>
        <v>85147.41</v>
      </c>
    </row>
    <row r="444" spans="1:17" ht="12.75">
      <c r="A444" s="34" t="s">
        <v>121</v>
      </c>
      <c r="B444" s="99">
        <v>12</v>
      </c>
      <c r="C444" s="152">
        <f aca="true" t="shared" si="118" ref="C444:Q444">C445+C446+C447</f>
        <v>28000</v>
      </c>
      <c r="D444" s="115">
        <f t="shared" si="118"/>
        <v>83682.65</v>
      </c>
      <c r="E444" s="115">
        <f t="shared" si="118"/>
        <v>0</v>
      </c>
      <c r="F444" s="196">
        <f t="shared" si="118"/>
        <v>111682.65</v>
      </c>
      <c r="G444" s="153">
        <f t="shared" si="118"/>
        <v>0</v>
      </c>
      <c r="H444" s="115">
        <f t="shared" si="118"/>
        <v>0</v>
      </c>
      <c r="I444" s="167">
        <f t="shared" si="118"/>
        <v>111682.65</v>
      </c>
      <c r="J444" s="152">
        <f t="shared" si="118"/>
        <v>0</v>
      </c>
      <c r="K444" s="115">
        <f t="shared" si="118"/>
        <v>0</v>
      </c>
      <c r="L444" s="167">
        <f t="shared" si="118"/>
        <v>111682.65</v>
      </c>
      <c r="M444" s="116">
        <f t="shared" si="118"/>
        <v>0</v>
      </c>
      <c r="N444" s="116">
        <f t="shared" si="118"/>
        <v>0</v>
      </c>
      <c r="O444" s="116">
        <f t="shared" si="118"/>
        <v>111682.65</v>
      </c>
      <c r="P444" s="116">
        <f t="shared" si="118"/>
        <v>0</v>
      </c>
      <c r="Q444" s="248">
        <f t="shared" si="118"/>
        <v>111682.65</v>
      </c>
    </row>
    <row r="445" spans="1:17" ht="12.75">
      <c r="A445" s="34" t="s">
        <v>122</v>
      </c>
      <c r="B445" s="99"/>
      <c r="C445" s="152">
        <v>2400</v>
      </c>
      <c r="D445" s="115">
        <f>1119.14</f>
        <v>1119.14</v>
      </c>
      <c r="E445" s="115"/>
      <c r="F445" s="196">
        <f t="shared" si="117"/>
        <v>3519.1400000000003</v>
      </c>
      <c r="G445" s="88"/>
      <c r="H445" s="7"/>
      <c r="I445" s="74">
        <f>F445+G445+H445</f>
        <v>3519.1400000000003</v>
      </c>
      <c r="J445" s="28"/>
      <c r="K445" s="7"/>
      <c r="L445" s="74">
        <f>I445+J445+K445</f>
        <v>3519.1400000000003</v>
      </c>
      <c r="M445" s="22"/>
      <c r="N445" s="7"/>
      <c r="O445" s="23">
        <f>L445+M445+N445</f>
        <v>3519.1400000000003</v>
      </c>
      <c r="P445" s="82"/>
      <c r="Q445" s="80">
        <f>O445+P445</f>
        <v>3519.1400000000003</v>
      </c>
    </row>
    <row r="446" spans="1:17" ht="12.75">
      <c r="A446" s="34" t="s">
        <v>120</v>
      </c>
      <c r="B446" s="99"/>
      <c r="C446" s="152">
        <v>25600</v>
      </c>
      <c r="D446" s="115">
        <f>78963.51+3600</f>
        <v>82563.51</v>
      </c>
      <c r="E446" s="115"/>
      <c r="F446" s="196">
        <f t="shared" si="117"/>
        <v>108163.51</v>
      </c>
      <c r="G446" s="88"/>
      <c r="H446" s="7"/>
      <c r="I446" s="74">
        <f>F446+G446+H446</f>
        <v>108163.51</v>
      </c>
      <c r="J446" s="28"/>
      <c r="K446" s="7"/>
      <c r="L446" s="74">
        <f>I446+J446+K446</f>
        <v>108163.51</v>
      </c>
      <c r="M446" s="22"/>
      <c r="N446" s="7"/>
      <c r="O446" s="23">
        <f>L446+M446+N446</f>
        <v>108163.51</v>
      </c>
      <c r="P446" s="82"/>
      <c r="Q446" s="80">
        <f>O446+P446</f>
        <v>108163.51</v>
      </c>
    </row>
    <row r="447" spans="1:17" ht="12.75" customHeight="1" hidden="1">
      <c r="A447" s="34" t="s">
        <v>117</v>
      </c>
      <c r="B447" s="99"/>
      <c r="C447" s="152"/>
      <c r="D447" s="115"/>
      <c r="E447" s="115"/>
      <c r="F447" s="196">
        <f t="shared" si="117"/>
        <v>0</v>
      </c>
      <c r="G447" s="88"/>
      <c r="H447" s="7"/>
      <c r="I447" s="74">
        <f>F447+G447+H447</f>
        <v>0</v>
      </c>
      <c r="J447" s="28"/>
      <c r="K447" s="7"/>
      <c r="L447" s="74">
        <f>I447+J447+K447</f>
        <v>0</v>
      </c>
      <c r="M447" s="22"/>
      <c r="N447" s="7"/>
      <c r="O447" s="23">
        <f>L447+M447+N447</f>
        <v>0</v>
      </c>
      <c r="P447" s="82"/>
      <c r="Q447" s="80">
        <f>O447+P447</f>
        <v>0</v>
      </c>
    </row>
    <row r="448" spans="1:17" ht="12.75">
      <c r="A448" s="34" t="s">
        <v>123</v>
      </c>
      <c r="B448" s="99">
        <v>14</v>
      </c>
      <c r="C448" s="152">
        <f>SUM(C449:C453)</f>
        <v>107000</v>
      </c>
      <c r="D448" s="115">
        <f aca="true" t="shared" si="119" ref="D448:Q448">SUM(D449:D453)</f>
        <v>32581.260000000002</v>
      </c>
      <c r="E448" s="115">
        <f t="shared" si="119"/>
        <v>0</v>
      </c>
      <c r="F448" s="196">
        <f t="shared" si="119"/>
        <v>139581.26</v>
      </c>
      <c r="G448" s="153">
        <f t="shared" si="119"/>
        <v>0</v>
      </c>
      <c r="H448" s="115">
        <f t="shared" si="119"/>
        <v>0</v>
      </c>
      <c r="I448" s="167">
        <f t="shared" si="119"/>
        <v>139581.26</v>
      </c>
      <c r="J448" s="152">
        <f t="shared" si="119"/>
        <v>0</v>
      </c>
      <c r="K448" s="115">
        <f t="shared" si="119"/>
        <v>0</v>
      </c>
      <c r="L448" s="167">
        <f t="shared" si="119"/>
        <v>139581.26</v>
      </c>
      <c r="M448" s="116">
        <f t="shared" si="119"/>
        <v>0</v>
      </c>
      <c r="N448" s="116">
        <f t="shared" si="119"/>
        <v>0</v>
      </c>
      <c r="O448" s="116">
        <f t="shared" si="119"/>
        <v>139581.26</v>
      </c>
      <c r="P448" s="116">
        <f t="shared" si="119"/>
        <v>0</v>
      </c>
      <c r="Q448" s="248">
        <f t="shared" si="119"/>
        <v>139581.26</v>
      </c>
    </row>
    <row r="449" spans="1:17" ht="12.75">
      <c r="A449" s="34" t="s">
        <v>124</v>
      </c>
      <c r="B449" s="99"/>
      <c r="C449" s="152">
        <v>63000</v>
      </c>
      <c r="D449" s="126">
        <f>23088+900+3099.26</f>
        <v>27087.260000000002</v>
      </c>
      <c r="E449" s="126"/>
      <c r="F449" s="196">
        <f t="shared" si="117"/>
        <v>90087.26000000001</v>
      </c>
      <c r="G449" s="88"/>
      <c r="H449" s="7"/>
      <c r="I449" s="74">
        <f>F449+G449+H449</f>
        <v>90087.26000000001</v>
      </c>
      <c r="J449" s="28"/>
      <c r="K449" s="7"/>
      <c r="L449" s="74">
        <f>I449+J449+K449</f>
        <v>90087.26000000001</v>
      </c>
      <c r="M449" s="22"/>
      <c r="N449" s="7"/>
      <c r="O449" s="23">
        <f>L449+M449+N449</f>
        <v>90087.26000000001</v>
      </c>
      <c r="P449" s="82"/>
      <c r="Q449" s="80">
        <f aca="true" t="shared" si="120" ref="Q449:Q495">O449+P449</f>
        <v>90087.26000000001</v>
      </c>
    </row>
    <row r="450" spans="1:17" ht="12.75">
      <c r="A450" s="34" t="s">
        <v>125</v>
      </c>
      <c r="B450" s="99"/>
      <c r="C450" s="152">
        <v>30200</v>
      </c>
      <c r="D450" s="115">
        <f>2423+1600-91</f>
        <v>3932</v>
      </c>
      <c r="E450" s="115"/>
      <c r="F450" s="196">
        <f t="shared" si="117"/>
        <v>34132</v>
      </c>
      <c r="G450" s="88"/>
      <c r="H450" s="7"/>
      <c r="I450" s="74">
        <f>F450+G450+H450</f>
        <v>34132</v>
      </c>
      <c r="J450" s="28"/>
      <c r="K450" s="7"/>
      <c r="L450" s="74">
        <f>I450+J450+K450</f>
        <v>34132</v>
      </c>
      <c r="M450" s="22"/>
      <c r="N450" s="7"/>
      <c r="O450" s="23">
        <f>L450+M450+N450</f>
        <v>34132</v>
      </c>
      <c r="P450" s="82"/>
      <c r="Q450" s="80">
        <f t="shared" si="120"/>
        <v>34132</v>
      </c>
    </row>
    <row r="451" spans="1:17" ht="13.5" customHeight="1">
      <c r="A451" s="34" t="s">
        <v>126</v>
      </c>
      <c r="B451" s="99"/>
      <c r="C451" s="152">
        <v>7300</v>
      </c>
      <c r="D451" s="115">
        <f>3362</f>
        <v>3362</v>
      </c>
      <c r="E451" s="115"/>
      <c r="F451" s="196">
        <f t="shared" si="117"/>
        <v>10662</v>
      </c>
      <c r="G451" s="88"/>
      <c r="H451" s="7"/>
      <c r="I451" s="74">
        <f>F451+G451+H451</f>
        <v>10662</v>
      </c>
      <c r="J451" s="28"/>
      <c r="K451" s="7"/>
      <c r="L451" s="74">
        <f>I451+J451+K451</f>
        <v>10662</v>
      </c>
      <c r="M451" s="22"/>
      <c r="N451" s="7"/>
      <c r="O451" s="23">
        <f>L451+M451+N451</f>
        <v>10662</v>
      </c>
      <c r="P451" s="82"/>
      <c r="Q451" s="80">
        <f t="shared" si="120"/>
        <v>10662</v>
      </c>
    </row>
    <row r="452" spans="1:17" ht="13.5" customHeight="1">
      <c r="A452" s="35" t="s">
        <v>146</v>
      </c>
      <c r="B452" s="99"/>
      <c r="C452" s="152">
        <v>4000</v>
      </c>
      <c r="D452" s="115">
        <f>700</f>
        <v>700</v>
      </c>
      <c r="E452" s="115"/>
      <c r="F452" s="196">
        <f t="shared" si="117"/>
        <v>4700</v>
      </c>
      <c r="G452" s="88"/>
      <c r="H452" s="7"/>
      <c r="I452" s="74">
        <f>F452+G452+H452</f>
        <v>4700</v>
      </c>
      <c r="J452" s="28"/>
      <c r="K452" s="7"/>
      <c r="L452" s="74">
        <f>I452+J452+K452</f>
        <v>4700</v>
      </c>
      <c r="M452" s="22"/>
      <c r="N452" s="7"/>
      <c r="O452" s="23">
        <f>L452+M452+N452</f>
        <v>4700</v>
      </c>
      <c r="P452" s="82"/>
      <c r="Q452" s="80">
        <f t="shared" si="120"/>
        <v>4700</v>
      </c>
    </row>
    <row r="453" spans="1:17" ht="12.75">
      <c r="A453" s="34" t="s">
        <v>127</v>
      </c>
      <c r="B453" s="99"/>
      <c r="C453" s="152">
        <v>2500</v>
      </c>
      <c r="D453" s="115">
        <f>-2500</f>
        <v>-2500</v>
      </c>
      <c r="E453" s="115"/>
      <c r="F453" s="196">
        <f t="shared" si="117"/>
        <v>0</v>
      </c>
      <c r="G453" s="88"/>
      <c r="H453" s="7"/>
      <c r="I453" s="74">
        <f>F453+G453+H453</f>
        <v>0</v>
      </c>
      <c r="J453" s="28"/>
      <c r="K453" s="7"/>
      <c r="L453" s="74">
        <f>I453+J453+K453</f>
        <v>0</v>
      </c>
      <c r="M453" s="22"/>
      <c r="N453" s="7"/>
      <c r="O453" s="23">
        <f>L453+M453+N453</f>
        <v>0</v>
      </c>
      <c r="P453" s="82"/>
      <c r="Q453" s="80">
        <f t="shared" si="120"/>
        <v>0</v>
      </c>
    </row>
    <row r="454" spans="1:17" ht="12.75">
      <c r="A454" s="34" t="s">
        <v>128</v>
      </c>
      <c r="B454" s="99">
        <v>15</v>
      </c>
      <c r="C454" s="152">
        <f>SUM(C455:C461)</f>
        <v>120000</v>
      </c>
      <c r="D454" s="115">
        <f aca="true" t="shared" si="121" ref="D454:Q454">SUM(D455:D461)</f>
        <v>331557.48</v>
      </c>
      <c r="E454" s="115">
        <f t="shared" si="121"/>
        <v>0</v>
      </c>
      <c r="F454" s="196">
        <f t="shared" si="121"/>
        <v>451557.48</v>
      </c>
      <c r="G454" s="153">
        <f t="shared" si="121"/>
        <v>0</v>
      </c>
      <c r="H454" s="115">
        <f t="shared" si="121"/>
        <v>0</v>
      </c>
      <c r="I454" s="167">
        <f t="shared" si="121"/>
        <v>451557.48</v>
      </c>
      <c r="J454" s="152">
        <f t="shared" si="121"/>
        <v>0</v>
      </c>
      <c r="K454" s="115">
        <f t="shared" si="121"/>
        <v>0</v>
      </c>
      <c r="L454" s="167">
        <f t="shared" si="121"/>
        <v>451557.48</v>
      </c>
      <c r="M454" s="116">
        <f t="shared" si="121"/>
        <v>0</v>
      </c>
      <c r="N454" s="116">
        <f t="shared" si="121"/>
        <v>0</v>
      </c>
      <c r="O454" s="116">
        <f t="shared" si="121"/>
        <v>451557.48</v>
      </c>
      <c r="P454" s="116">
        <f t="shared" si="121"/>
        <v>0</v>
      </c>
      <c r="Q454" s="248">
        <f t="shared" si="121"/>
        <v>451557.48</v>
      </c>
    </row>
    <row r="455" spans="1:17" ht="12.75">
      <c r="A455" s="34" t="s">
        <v>129</v>
      </c>
      <c r="B455" s="99"/>
      <c r="C455" s="152">
        <v>88465</v>
      </c>
      <c r="D455" s="115">
        <f>289449.46</f>
        <v>289449.46</v>
      </c>
      <c r="E455" s="115"/>
      <c r="F455" s="196">
        <f t="shared" si="117"/>
        <v>377914.46</v>
      </c>
      <c r="G455" s="88"/>
      <c r="H455" s="7"/>
      <c r="I455" s="74">
        <f aca="true" t="shared" si="122" ref="I455:I461">F455+G455+H455</f>
        <v>377914.46</v>
      </c>
      <c r="J455" s="28"/>
      <c r="K455" s="7"/>
      <c r="L455" s="74">
        <f aca="true" t="shared" si="123" ref="L455:L461">I455+J455+K455</f>
        <v>377914.46</v>
      </c>
      <c r="M455" s="22"/>
      <c r="N455" s="7"/>
      <c r="O455" s="23">
        <f aca="true" t="shared" si="124" ref="O455:O461">L455+M455+N455</f>
        <v>377914.46</v>
      </c>
      <c r="P455" s="82"/>
      <c r="Q455" s="80">
        <f t="shared" si="120"/>
        <v>377914.46</v>
      </c>
    </row>
    <row r="456" spans="1:17" ht="12.75" hidden="1">
      <c r="A456" s="34" t="s">
        <v>130</v>
      </c>
      <c r="B456" s="99"/>
      <c r="C456" s="152"/>
      <c r="D456" s="115"/>
      <c r="E456" s="115"/>
      <c r="F456" s="196">
        <f t="shared" si="117"/>
        <v>0</v>
      </c>
      <c r="G456" s="88"/>
      <c r="H456" s="7"/>
      <c r="I456" s="74">
        <f t="shared" si="122"/>
        <v>0</v>
      </c>
      <c r="J456" s="28"/>
      <c r="K456" s="7"/>
      <c r="L456" s="74">
        <f t="shared" si="123"/>
        <v>0</v>
      </c>
      <c r="M456" s="22"/>
      <c r="N456" s="7"/>
      <c r="O456" s="23">
        <f t="shared" si="124"/>
        <v>0</v>
      </c>
      <c r="P456" s="82"/>
      <c r="Q456" s="80">
        <f t="shared" si="120"/>
        <v>0</v>
      </c>
    </row>
    <row r="457" spans="1:17" ht="12.75" hidden="1">
      <c r="A457" s="34" t="s">
        <v>131</v>
      </c>
      <c r="B457" s="99"/>
      <c r="C457" s="152"/>
      <c r="D457" s="126"/>
      <c r="E457" s="126"/>
      <c r="F457" s="196">
        <f t="shared" si="117"/>
        <v>0</v>
      </c>
      <c r="G457" s="88"/>
      <c r="H457" s="7"/>
      <c r="I457" s="74">
        <f t="shared" si="122"/>
        <v>0</v>
      </c>
      <c r="J457" s="28"/>
      <c r="K457" s="7"/>
      <c r="L457" s="74">
        <f t="shared" si="123"/>
        <v>0</v>
      </c>
      <c r="M457" s="22"/>
      <c r="N457" s="7"/>
      <c r="O457" s="23">
        <f t="shared" si="124"/>
        <v>0</v>
      </c>
      <c r="P457" s="82"/>
      <c r="Q457" s="80">
        <f t="shared" si="120"/>
        <v>0</v>
      </c>
    </row>
    <row r="458" spans="1:17" ht="12.75">
      <c r="A458" s="34" t="s">
        <v>132</v>
      </c>
      <c r="B458" s="99"/>
      <c r="C458" s="152">
        <v>17400</v>
      </c>
      <c r="D458" s="115">
        <f>20901.1</f>
        <v>20901.1</v>
      </c>
      <c r="E458" s="115"/>
      <c r="F458" s="196">
        <f t="shared" si="117"/>
        <v>38301.1</v>
      </c>
      <c r="G458" s="88"/>
      <c r="H458" s="7"/>
      <c r="I458" s="74">
        <f t="shared" si="122"/>
        <v>38301.1</v>
      </c>
      <c r="J458" s="28"/>
      <c r="K458" s="7"/>
      <c r="L458" s="74">
        <f t="shared" si="123"/>
        <v>38301.1</v>
      </c>
      <c r="M458" s="22"/>
      <c r="N458" s="7"/>
      <c r="O458" s="23">
        <f t="shared" si="124"/>
        <v>38301.1</v>
      </c>
      <c r="P458" s="82"/>
      <c r="Q458" s="80">
        <f t="shared" si="120"/>
        <v>38301.1</v>
      </c>
    </row>
    <row r="459" spans="1:17" ht="12.75">
      <c r="A459" s="34" t="s">
        <v>133</v>
      </c>
      <c r="B459" s="99"/>
      <c r="C459" s="152">
        <v>2600</v>
      </c>
      <c r="D459" s="115">
        <f>5094.91+300</f>
        <v>5394.91</v>
      </c>
      <c r="E459" s="115"/>
      <c r="F459" s="196">
        <f t="shared" si="117"/>
        <v>7994.91</v>
      </c>
      <c r="G459" s="88"/>
      <c r="H459" s="7"/>
      <c r="I459" s="74">
        <f t="shared" si="122"/>
        <v>7994.91</v>
      </c>
      <c r="J459" s="232"/>
      <c r="K459" s="7"/>
      <c r="L459" s="74">
        <f t="shared" si="123"/>
        <v>7994.91</v>
      </c>
      <c r="M459" s="22"/>
      <c r="N459" s="7"/>
      <c r="O459" s="23">
        <f t="shared" si="124"/>
        <v>7994.91</v>
      </c>
      <c r="P459" s="82"/>
      <c r="Q459" s="80">
        <f t="shared" si="120"/>
        <v>7994.91</v>
      </c>
    </row>
    <row r="460" spans="1:17" ht="12.75">
      <c r="A460" s="34" t="s">
        <v>134</v>
      </c>
      <c r="B460" s="99"/>
      <c r="C460" s="152">
        <v>6700</v>
      </c>
      <c r="D460" s="115">
        <f>10991.14</f>
        <v>10991.14</v>
      </c>
      <c r="E460" s="115"/>
      <c r="F460" s="196">
        <f t="shared" si="117"/>
        <v>17691.14</v>
      </c>
      <c r="G460" s="88"/>
      <c r="H460" s="7"/>
      <c r="I460" s="74">
        <f t="shared" si="122"/>
        <v>17691.14</v>
      </c>
      <c r="J460" s="28"/>
      <c r="K460" s="7"/>
      <c r="L460" s="74">
        <f t="shared" si="123"/>
        <v>17691.14</v>
      </c>
      <c r="M460" s="22"/>
      <c r="N460" s="7"/>
      <c r="O460" s="23">
        <f t="shared" si="124"/>
        <v>17691.14</v>
      </c>
      <c r="P460" s="82"/>
      <c r="Q460" s="80">
        <f t="shared" si="120"/>
        <v>17691.14</v>
      </c>
    </row>
    <row r="461" spans="1:17" ht="12.75">
      <c r="A461" s="34" t="s">
        <v>127</v>
      </c>
      <c r="B461" s="99"/>
      <c r="C461" s="152">
        <v>4835</v>
      </c>
      <c r="D461" s="115">
        <f>4820.87</f>
        <v>4820.87</v>
      </c>
      <c r="E461" s="115"/>
      <c r="F461" s="196">
        <f t="shared" si="117"/>
        <v>9655.869999999999</v>
      </c>
      <c r="G461" s="88"/>
      <c r="H461" s="7"/>
      <c r="I461" s="74">
        <f t="shared" si="122"/>
        <v>9655.869999999999</v>
      </c>
      <c r="J461" s="28"/>
      <c r="K461" s="7"/>
      <c r="L461" s="74">
        <f t="shared" si="123"/>
        <v>9655.869999999999</v>
      </c>
      <c r="M461" s="22"/>
      <c r="N461" s="7"/>
      <c r="O461" s="23">
        <f t="shared" si="124"/>
        <v>9655.869999999999</v>
      </c>
      <c r="P461" s="82"/>
      <c r="Q461" s="80">
        <f t="shared" si="120"/>
        <v>9655.869999999999</v>
      </c>
    </row>
    <row r="462" spans="1:17" ht="12.75">
      <c r="A462" s="34" t="s">
        <v>135</v>
      </c>
      <c r="B462" s="99">
        <v>16</v>
      </c>
      <c r="C462" s="152">
        <f>SUM(C463:C466)</f>
        <v>18000</v>
      </c>
      <c r="D462" s="115">
        <f aca="true" t="shared" si="125" ref="D462:Q462">SUM(D463:D466)</f>
        <v>22645.31</v>
      </c>
      <c r="E462" s="115">
        <f t="shared" si="125"/>
        <v>0</v>
      </c>
      <c r="F462" s="196">
        <f t="shared" si="125"/>
        <v>40645.31</v>
      </c>
      <c r="G462" s="153">
        <f t="shared" si="125"/>
        <v>0</v>
      </c>
      <c r="H462" s="115">
        <f t="shared" si="125"/>
        <v>0</v>
      </c>
      <c r="I462" s="167">
        <f t="shared" si="125"/>
        <v>40645.31</v>
      </c>
      <c r="J462" s="152">
        <f t="shared" si="125"/>
        <v>0</v>
      </c>
      <c r="K462" s="115">
        <f t="shared" si="125"/>
        <v>0</v>
      </c>
      <c r="L462" s="167">
        <f t="shared" si="125"/>
        <v>40645.31</v>
      </c>
      <c r="M462" s="116">
        <f t="shared" si="125"/>
        <v>0</v>
      </c>
      <c r="N462" s="116">
        <f t="shared" si="125"/>
        <v>0</v>
      </c>
      <c r="O462" s="116">
        <f t="shared" si="125"/>
        <v>40645.31</v>
      </c>
      <c r="P462" s="116">
        <f t="shared" si="125"/>
        <v>0</v>
      </c>
      <c r="Q462" s="248">
        <f t="shared" si="125"/>
        <v>40645.31</v>
      </c>
    </row>
    <row r="463" spans="1:17" ht="12.75">
      <c r="A463" s="34" t="s">
        <v>124</v>
      </c>
      <c r="B463" s="99"/>
      <c r="C463" s="152">
        <v>2650</v>
      </c>
      <c r="D463" s="115">
        <f>468.35-300</f>
        <v>168.35000000000002</v>
      </c>
      <c r="E463" s="115"/>
      <c r="F463" s="196">
        <f t="shared" si="117"/>
        <v>2818.35</v>
      </c>
      <c r="G463" s="88"/>
      <c r="H463" s="7"/>
      <c r="I463" s="74">
        <f>F463+G463+H463</f>
        <v>2818.35</v>
      </c>
      <c r="J463" s="28"/>
      <c r="K463" s="7"/>
      <c r="L463" s="74">
        <f>I463+J463+K463</f>
        <v>2818.35</v>
      </c>
      <c r="M463" s="22"/>
      <c r="N463" s="7"/>
      <c r="O463" s="23">
        <f>L463+M463+N463</f>
        <v>2818.35</v>
      </c>
      <c r="P463" s="82"/>
      <c r="Q463" s="80">
        <f t="shared" si="120"/>
        <v>2818.35</v>
      </c>
    </row>
    <row r="464" spans="1:17" ht="12.75">
      <c r="A464" s="34" t="s">
        <v>125</v>
      </c>
      <c r="B464" s="99"/>
      <c r="C464" s="152">
        <v>300</v>
      </c>
      <c r="D464" s="115">
        <f>439.92</f>
        <v>439.92</v>
      </c>
      <c r="E464" s="115"/>
      <c r="F464" s="196">
        <f t="shared" si="117"/>
        <v>739.9200000000001</v>
      </c>
      <c r="G464" s="88"/>
      <c r="H464" s="7"/>
      <c r="I464" s="74">
        <f>F464+G464+H464</f>
        <v>739.9200000000001</v>
      </c>
      <c r="J464" s="28"/>
      <c r="K464" s="7"/>
      <c r="L464" s="74">
        <f>I464+J464+K464</f>
        <v>739.9200000000001</v>
      </c>
      <c r="M464" s="22"/>
      <c r="N464" s="7"/>
      <c r="O464" s="23">
        <f>L464+M464+N464</f>
        <v>739.9200000000001</v>
      </c>
      <c r="P464" s="82"/>
      <c r="Q464" s="80">
        <f t="shared" si="120"/>
        <v>739.9200000000001</v>
      </c>
    </row>
    <row r="465" spans="1:17" ht="12.75">
      <c r="A465" s="34" t="s">
        <v>126</v>
      </c>
      <c r="B465" s="99"/>
      <c r="C465" s="152">
        <v>15000</v>
      </c>
      <c r="D465" s="115">
        <f>21384+300</f>
        <v>21684</v>
      </c>
      <c r="E465" s="115"/>
      <c r="F465" s="196">
        <f t="shared" si="117"/>
        <v>36684</v>
      </c>
      <c r="G465" s="88"/>
      <c r="H465" s="7"/>
      <c r="I465" s="74">
        <f>F465+G465+H465</f>
        <v>36684</v>
      </c>
      <c r="J465" s="28"/>
      <c r="K465" s="7"/>
      <c r="L465" s="74">
        <f>I465+J465+K465</f>
        <v>36684</v>
      </c>
      <c r="M465" s="22"/>
      <c r="N465" s="7"/>
      <c r="O465" s="23">
        <f>L465+M465+N465</f>
        <v>36684</v>
      </c>
      <c r="P465" s="82"/>
      <c r="Q465" s="80">
        <f t="shared" si="120"/>
        <v>36684</v>
      </c>
    </row>
    <row r="466" spans="1:17" ht="12.75">
      <c r="A466" s="34" t="s">
        <v>127</v>
      </c>
      <c r="B466" s="99"/>
      <c r="C466" s="152">
        <v>50</v>
      </c>
      <c r="D466" s="115">
        <f>353.04</f>
        <v>353.04</v>
      </c>
      <c r="E466" s="115"/>
      <c r="F466" s="196">
        <f t="shared" si="117"/>
        <v>403.04</v>
      </c>
      <c r="G466" s="88"/>
      <c r="H466" s="7"/>
      <c r="I466" s="74">
        <f>F466+G466+H466</f>
        <v>403.04</v>
      </c>
      <c r="J466" s="28"/>
      <c r="K466" s="7"/>
      <c r="L466" s="74">
        <f>I466+J466+K466</f>
        <v>403.04</v>
      </c>
      <c r="M466" s="22"/>
      <c r="N466" s="7"/>
      <c r="O466" s="23">
        <f>L466+M466+N466</f>
        <v>403.04</v>
      </c>
      <c r="P466" s="82"/>
      <c r="Q466" s="80">
        <f t="shared" si="120"/>
        <v>403.04</v>
      </c>
    </row>
    <row r="467" spans="1:17" ht="12.75" hidden="1">
      <c r="A467" s="34" t="s">
        <v>115</v>
      </c>
      <c r="B467" s="99">
        <v>18</v>
      </c>
      <c r="C467" s="152">
        <f>C468+C469</f>
        <v>0</v>
      </c>
      <c r="D467" s="115">
        <f>D468+D469</f>
        <v>0</v>
      </c>
      <c r="E467" s="115">
        <f>E468+E469</f>
        <v>0</v>
      </c>
      <c r="F467" s="196">
        <f>F468+F469</f>
        <v>0</v>
      </c>
      <c r="G467" s="88"/>
      <c r="H467" s="7"/>
      <c r="I467" s="88"/>
      <c r="J467" s="28"/>
      <c r="K467" s="7"/>
      <c r="L467" s="88"/>
      <c r="M467" s="22"/>
      <c r="N467" s="141"/>
      <c r="O467" s="88"/>
      <c r="P467" s="82"/>
      <c r="Q467" s="80"/>
    </row>
    <row r="468" spans="1:17" ht="12.75" hidden="1">
      <c r="A468" s="34" t="s">
        <v>116</v>
      </c>
      <c r="B468" s="99"/>
      <c r="C468" s="152"/>
      <c r="D468" s="115">
        <f>1000-1000</f>
        <v>0</v>
      </c>
      <c r="E468" s="115"/>
      <c r="F468" s="196">
        <f>C468+D468+E468</f>
        <v>0</v>
      </c>
      <c r="G468" s="88"/>
      <c r="H468" s="7"/>
      <c r="I468" s="88"/>
      <c r="J468" s="28"/>
      <c r="K468" s="7"/>
      <c r="L468" s="88"/>
      <c r="M468" s="22"/>
      <c r="N468" s="141"/>
      <c r="O468" s="88"/>
      <c r="P468" s="82"/>
      <c r="Q468" s="80"/>
    </row>
    <row r="469" spans="1:17" ht="12.75" hidden="1">
      <c r="A469" s="34" t="s">
        <v>117</v>
      </c>
      <c r="B469" s="99"/>
      <c r="C469" s="152"/>
      <c r="D469" s="115"/>
      <c r="E469" s="115"/>
      <c r="F469" s="196">
        <f>C469+D469+E469</f>
        <v>0</v>
      </c>
      <c r="G469" s="88"/>
      <c r="H469" s="7"/>
      <c r="I469" s="88"/>
      <c r="J469" s="28"/>
      <c r="K469" s="7"/>
      <c r="L469" s="88"/>
      <c r="M469" s="22"/>
      <c r="N469" s="141"/>
      <c r="O469" s="88"/>
      <c r="P469" s="82"/>
      <c r="Q469" s="80"/>
    </row>
    <row r="470" spans="1:17" ht="12.75">
      <c r="A470" s="100" t="s">
        <v>287</v>
      </c>
      <c r="B470" s="99">
        <v>19</v>
      </c>
      <c r="C470" s="152">
        <f>C471+C472</f>
        <v>32371</v>
      </c>
      <c r="D470" s="115">
        <f>D471+D472</f>
        <v>16917.16</v>
      </c>
      <c r="E470" s="115">
        <f>E471+E472</f>
        <v>0</v>
      </c>
      <c r="F470" s="196">
        <f>F471+F472</f>
        <v>49288.16</v>
      </c>
      <c r="G470" s="88"/>
      <c r="H470" s="7"/>
      <c r="I470" s="88"/>
      <c r="J470" s="28"/>
      <c r="K470" s="7"/>
      <c r="L470" s="88"/>
      <c r="M470" s="22"/>
      <c r="N470" s="141"/>
      <c r="O470" s="88"/>
      <c r="P470" s="82"/>
      <c r="Q470" s="80"/>
    </row>
    <row r="471" spans="1:17" ht="12.75">
      <c r="A471" s="34" t="s">
        <v>116</v>
      </c>
      <c r="B471" s="99"/>
      <c r="C471" s="152">
        <v>32371</v>
      </c>
      <c r="D471" s="115">
        <f>13229.22+160+3100</f>
        <v>16489.22</v>
      </c>
      <c r="E471" s="115"/>
      <c r="F471" s="196">
        <f>C471+D471+E471</f>
        <v>48860.22</v>
      </c>
      <c r="G471" s="88"/>
      <c r="H471" s="7"/>
      <c r="I471" s="88"/>
      <c r="J471" s="28"/>
      <c r="K471" s="7"/>
      <c r="L471" s="88"/>
      <c r="M471" s="22"/>
      <c r="N471" s="141"/>
      <c r="O471" s="88"/>
      <c r="P471" s="82"/>
      <c r="Q471" s="80"/>
    </row>
    <row r="472" spans="1:17" ht="12.75">
      <c r="A472" s="34" t="s">
        <v>117</v>
      </c>
      <c r="B472" s="99"/>
      <c r="C472" s="152"/>
      <c r="D472" s="115">
        <f>427.94</f>
        <v>427.94</v>
      </c>
      <c r="E472" s="115"/>
      <c r="F472" s="196">
        <f>C472+D472+E472</f>
        <v>427.94</v>
      </c>
      <c r="G472" s="88"/>
      <c r="H472" s="7"/>
      <c r="I472" s="88"/>
      <c r="J472" s="28"/>
      <c r="K472" s="7"/>
      <c r="L472" s="88"/>
      <c r="M472" s="22"/>
      <c r="N472" s="141"/>
      <c r="O472" s="88"/>
      <c r="P472" s="82"/>
      <c r="Q472" s="80"/>
    </row>
    <row r="473" spans="1:17" ht="12.75">
      <c r="A473" s="34" t="s">
        <v>136</v>
      </c>
      <c r="B473" s="99">
        <v>28</v>
      </c>
      <c r="C473" s="152">
        <f>SUM(C474:C478)</f>
        <v>50000</v>
      </c>
      <c r="D473" s="115">
        <f aca="true" t="shared" si="126" ref="D473:Q473">SUM(D474:D478)</f>
        <v>63812.28999999999</v>
      </c>
      <c r="E473" s="115">
        <f t="shared" si="126"/>
        <v>0</v>
      </c>
      <c r="F473" s="196">
        <f t="shared" si="126"/>
        <v>113812.29</v>
      </c>
      <c r="G473" s="153">
        <f t="shared" si="126"/>
        <v>0</v>
      </c>
      <c r="H473" s="115">
        <f t="shared" si="126"/>
        <v>0</v>
      </c>
      <c r="I473" s="167">
        <f t="shared" si="126"/>
        <v>113812.29</v>
      </c>
      <c r="J473" s="152">
        <f t="shared" si="126"/>
        <v>0</v>
      </c>
      <c r="K473" s="115">
        <f t="shared" si="126"/>
        <v>0</v>
      </c>
      <c r="L473" s="167">
        <f t="shared" si="126"/>
        <v>113812.29</v>
      </c>
      <c r="M473" s="116">
        <f t="shared" si="126"/>
        <v>0</v>
      </c>
      <c r="N473" s="116">
        <f t="shared" si="126"/>
        <v>0</v>
      </c>
      <c r="O473" s="116">
        <f t="shared" si="126"/>
        <v>113812.29</v>
      </c>
      <c r="P473" s="116">
        <f t="shared" si="126"/>
        <v>0</v>
      </c>
      <c r="Q473" s="248">
        <f t="shared" si="126"/>
        <v>113812.29</v>
      </c>
    </row>
    <row r="474" spans="1:17" ht="12.75">
      <c r="A474" s="34" t="s">
        <v>124</v>
      </c>
      <c r="B474" s="99"/>
      <c r="C474" s="152">
        <v>12740</v>
      </c>
      <c r="D474" s="115">
        <f>4138.82+650</f>
        <v>4788.82</v>
      </c>
      <c r="E474" s="115"/>
      <c r="F474" s="196">
        <f t="shared" si="117"/>
        <v>17528.82</v>
      </c>
      <c r="G474" s="88"/>
      <c r="H474" s="7"/>
      <c r="I474" s="74">
        <f>F474+G474+H474</f>
        <v>17528.82</v>
      </c>
      <c r="J474" s="28"/>
      <c r="K474" s="7"/>
      <c r="L474" s="74">
        <f>I474+J474+K474</f>
        <v>17528.82</v>
      </c>
      <c r="M474" s="22"/>
      <c r="N474" s="7"/>
      <c r="O474" s="23">
        <f>L474+M474+N474</f>
        <v>17528.82</v>
      </c>
      <c r="P474" s="82"/>
      <c r="Q474" s="80">
        <f t="shared" si="120"/>
        <v>17528.82</v>
      </c>
    </row>
    <row r="475" spans="1:17" ht="12.75">
      <c r="A475" s="34" t="s">
        <v>125</v>
      </c>
      <c r="B475" s="99"/>
      <c r="C475" s="152">
        <v>3200</v>
      </c>
      <c r="D475" s="115">
        <f>-300</f>
        <v>-300</v>
      </c>
      <c r="E475" s="115"/>
      <c r="F475" s="196">
        <f t="shared" si="117"/>
        <v>2900</v>
      </c>
      <c r="G475" s="88"/>
      <c r="H475" s="7"/>
      <c r="I475" s="74">
        <f>F475+G475+H475</f>
        <v>2900</v>
      </c>
      <c r="J475" s="28"/>
      <c r="K475" s="7"/>
      <c r="L475" s="74">
        <f>I475+J475+K475</f>
        <v>2900</v>
      </c>
      <c r="M475" s="22"/>
      <c r="N475" s="7"/>
      <c r="O475" s="23">
        <f>L475+M475+N475</f>
        <v>2900</v>
      </c>
      <c r="P475" s="82"/>
      <c r="Q475" s="80">
        <f t="shared" si="120"/>
        <v>2900</v>
      </c>
    </row>
    <row r="476" spans="1:17" ht="12.75">
      <c r="A476" s="34" t="s">
        <v>137</v>
      </c>
      <c r="B476" s="99"/>
      <c r="C476" s="152">
        <v>28600</v>
      </c>
      <c r="D476" s="115">
        <f>58822.27-3350</f>
        <v>55472.27</v>
      </c>
      <c r="E476" s="115"/>
      <c r="F476" s="196">
        <f t="shared" si="117"/>
        <v>84072.26999999999</v>
      </c>
      <c r="G476" s="88"/>
      <c r="H476" s="7"/>
      <c r="I476" s="74">
        <f>F476+G476+H476</f>
        <v>84072.26999999999</v>
      </c>
      <c r="J476" s="28"/>
      <c r="K476" s="7"/>
      <c r="L476" s="74">
        <f>I476+J476+K476</f>
        <v>84072.26999999999</v>
      </c>
      <c r="M476" s="22"/>
      <c r="N476" s="7"/>
      <c r="O476" s="23">
        <f>L476+M476+N476</f>
        <v>84072.26999999999</v>
      </c>
      <c r="P476" s="82"/>
      <c r="Q476" s="80">
        <f t="shared" si="120"/>
        <v>84072.26999999999</v>
      </c>
    </row>
    <row r="477" spans="1:17" ht="12.75">
      <c r="A477" s="34" t="s">
        <v>134</v>
      </c>
      <c r="B477" s="99"/>
      <c r="C477" s="152"/>
      <c r="D477" s="115">
        <f>3503.2+3000</f>
        <v>6503.2</v>
      </c>
      <c r="E477" s="115"/>
      <c r="F477" s="196">
        <f t="shared" si="117"/>
        <v>6503.2</v>
      </c>
      <c r="G477" s="88"/>
      <c r="H477" s="7"/>
      <c r="I477" s="74">
        <f>F477+G477+H477</f>
        <v>6503.2</v>
      </c>
      <c r="J477" s="28"/>
      <c r="K477" s="7"/>
      <c r="L477" s="74">
        <f>I477+J477+K477</f>
        <v>6503.2</v>
      </c>
      <c r="M477" s="22"/>
      <c r="N477" s="7"/>
      <c r="O477" s="23">
        <f>L477+M477+N477</f>
        <v>6503.2</v>
      </c>
      <c r="P477" s="82"/>
      <c r="Q477" s="80">
        <f t="shared" si="120"/>
        <v>6503.2</v>
      </c>
    </row>
    <row r="478" spans="1:17" ht="12.75">
      <c r="A478" s="34" t="s">
        <v>127</v>
      </c>
      <c r="B478" s="99"/>
      <c r="C478" s="152">
        <v>5460</v>
      </c>
      <c r="D478" s="126">
        <f>948-3600</f>
        <v>-2652</v>
      </c>
      <c r="E478" s="115"/>
      <c r="F478" s="196">
        <f t="shared" si="117"/>
        <v>2808</v>
      </c>
      <c r="G478" s="88"/>
      <c r="H478" s="7"/>
      <c r="I478" s="74">
        <f>F478+G478+H478</f>
        <v>2808</v>
      </c>
      <c r="J478" s="28"/>
      <c r="K478" s="7"/>
      <c r="L478" s="74">
        <f>I478+J478+K478</f>
        <v>2808</v>
      </c>
      <c r="M478" s="22"/>
      <c r="N478" s="7"/>
      <c r="O478" s="23">
        <f>L478+M478+N478</f>
        <v>2808</v>
      </c>
      <c r="P478" s="82"/>
      <c r="Q478" s="80">
        <f t="shared" si="120"/>
        <v>2808</v>
      </c>
    </row>
    <row r="479" spans="1:17" ht="12.75">
      <c r="A479" s="35" t="s">
        <v>138</v>
      </c>
      <c r="B479" s="99"/>
      <c r="C479" s="152">
        <f>C480+C481</f>
        <v>2</v>
      </c>
      <c r="D479" s="115">
        <f aca="true" t="shared" si="127" ref="D479:Q479">D480+D481</f>
        <v>4840.35</v>
      </c>
      <c r="E479" s="115">
        <f t="shared" si="127"/>
        <v>0</v>
      </c>
      <c r="F479" s="196">
        <f t="shared" si="127"/>
        <v>4842.35</v>
      </c>
      <c r="G479" s="153">
        <f t="shared" si="127"/>
        <v>0</v>
      </c>
      <c r="H479" s="115">
        <f t="shared" si="127"/>
        <v>0</v>
      </c>
      <c r="I479" s="153">
        <f t="shared" si="127"/>
        <v>0</v>
      </c>
      <c r="J479" s="152">
        <f t="shared" si="127"/>
        <v>0</v>
      </c>
      <c r="K479" s="115">
        <f t="shared" si="127"/>
        <v>0</v>
      </c>
      <c r="L479" s="153">
        <f t="shared" si="127"/>
        <v>0</v>
      </c>
      <c r="M479" s="152">
        <f t="shared" si="127"/>
        <v>0</v>
      </c>
      <c r="N479" s="152">
        <f t="shared" si="127"/>
        <v>0</v>
      </c>
      <c r="O479" s="152">
        <f t="shared" si="127"/>
        <v>0</v>
      </c>
      <c r="P479" s="152">
        <f t="shared" si="127"/>
        <v>0</v>
      </c>
      <c r="Q479" s="248">
        <f t="shared" si="127"/>
        <v>0</v>
      </c>
    </row>
    <row r="480" spans="1:17" ht="12.75">
      <c r="A480" s="35" t="s">
        <v>264</v>
      </c>
      <c r="B480" s="99"/>
      <c r="C480" s="152"/>
      <c r="D480" s="115">
        <f>100</f>
        <v>100</v>
      </c>
      <c r="E480" s="115"/>
      <c r="F480" s="196">
        <f t="shared" si="117"/>
        <v>100</v>
      </c>
      <c r="G480" s="88"/>
      <c r="H480" s="7"/>
      <c r="I480" s="74"/>
      <c r="J480" s="28"/>
      <c r="K480" s="7"/>
      <c r="L480" s="74"/>
      <c r="M480" s="22"/>
      <c r="N480" s="7"/>
      <c r="O480" s="23"/>
      <c r="P480" s="82"/>
      <c r="Q480" s="80"/>
    </row>
    <row r="481" spans="1:17" ht="12.75">
      <c r="A481" s="38" t="s">
        <v>334</v>
      </c>
      <c r="B481" s="102"/>
      <c r="C481" s="180">
        <v>2</v>
      </c>
      <c r="D481" s="123">
        <f>4740.35</f>
        <v>4740.35</v>
      </c>
      <c r="E481" s="123"/>
      <c r="F481" s="200">
        <f t="shared" si="117"/>
        <v>4742.35</v>
      </c>
      <c r="G481" s="88"/>
      <c r="H481" s="7"/>
      <c r="I481" s="74"/>
      <c r="J481" s="28"/>
      <c r="K481" s="7"/>
      <c r="L481" s="74"/>
      <c r="M481" s="22"/>
      <c r="N481" s="7"/>
      <c r="O481" s="23"/>
      <c r="P481" s="82"/>
      <c r="Q481" s="80"/>
    </row>
    <row r="482" spans="1:17" ht="13.5" thickBot="1">
      <c r="A482" s="49" t="s">
        <v>139</v>
      </c>
      <c r="B482" s="103"/>
      <c r="C482" s="145">
        <v>7650.62</v>
      </c>
      <c r="D482" s="115">
        <f>325.01+61.36</f>
        <v>386.37</v>
      </c>
      <c r="E482" s="118"/>
      <c r="F482" s="197">
        <f t="shared" si="117"/>
        <v>8036.99</v>
      </c>
      <c r="G482" s="215"/>
      <c r="H482" s="8"/>
      <c r="I482" s="29">
        <f>SUM(F482:H482)</f>
        <v>8036.99</v>
      </c>
      <c r="J482" s="233"/>
      <c r="K482" s="8"/>
      <c r="L482" s="238">
        <f>SUM(I482:K482)</f>
        <v>8036.99</v>
      </c>
      <c r="M482" s="24"/>
      <c r="N482" s="8"/>
      <c r="O482" s="25">
        <f>SUM(L482:N482)</f>
        <v>8036.99</v>
      </c>
      <c r="P482" s="83"/>
      <c r="Q482" s="29">
        <f>O482+P482</f>
        <v>8036.99</v>
      </c>
    </row>
    <row r="483" spans="1:17" ht="14.25" thickBot="1">
      <c r="A483" s="50" t="s">
        <v>140</v>
      </c>
      <c r="B483" s="106"/>
      <c r="C483" s="156">
        <f aca="true" t="shared" si="128" ref="C483:Q483">+C90+C110+C121+C139+C151+C174+C220+C239+C255+C274+C345+C371+C393+C400+C430+C434+C482+C407+C296</f>
        <v>4848154.899999999</v>
      </c>
      <c r="D483" s="133">
        <f t="shared" si="128"/>
        <v>10928241</v>
      </c>
      <c r="E483" s="157">
        <f t="shared" si="128"/>
        <v>49680.649999999994</v>
      </c>
      <c r="F483" s="130">
        <f t="shared" si="128"/>
        <v>15826076.550000003</v>
      </c>
      <c r="G483" s="156" t="e">
        <f t="shared" si="128"/>
        <v>#REF!</v>
      </c>
      <c r="H483" s="156" t="e">
        <f t="shared" si="128"/>
        <v>#REF!</v>
      </c>
      <c r="I483" s="156" t="e">
        <f t="shared" si="128"/>
        <v>#REF!</v>
      </c>
      <c r="J483" s="156" t="e">
        <f t="shared" si="128"/>
        <v>#REF!</v>
      </c>
      <c r="K483" s="156" t="e">
        <f t="shared" si="128"/>
        <v>#REF!</v>
      </c>
      <c r="L483" s="156" t="e">
        <f t="shared" si="128"/>
        <v>#REF!</v>
      </c>
      <c r="M483" s="156" t="e">
        <f t="shared" si="128"/>
        <v>#REF!</v>
      </c>
      <c r="N483" s="156" t="e">
        <f t="shared" si="128"/>
        <v>#REF!</v>
      </c>
      <c r="O483" s="156" t="e">
        <f t="shared" si="128"/>
        <v>#REF!</v>
      </c>
      <c r="P483" s="156" t="e">
        <f t="shared" si="128"/>
        <v>#REF!</v>
      </c>
      <c r="Q483" s="255" t="e">
        <f t="shared" si="128"/>
        <v>#REF!</v>
      </c>
    </row>
    <row r="484" spans="1:17" ht="13.5" thickBot="1">
      <c r="A484" s="51" t="s">
        <v>141</v>
      </c>
      <c r="B484" s="106"/>
      <c r="C484" s="185">
        <v>-7650.62</v>
      </c>
      <c r="D484" s="243">
        <f>-325.01-61.36</f>
        <v>-386.37</v>
      </c>
      <c r="E484" s="221"/>
      <c r="F484" s="244">
        <f t="shared" si="117"/>
        <v>-8036.99</v>
      </c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256"/>
    </row>
    <row r="485" spans="1:17" ht="15.75" thickBot="1">
      <c r="A485" s="52" t="s">
        <v>142</v>
      </c>
      <c r="B485" s="106"/>
      <c r="C485" s="186">
        <f aca="true" t="shared" si="129" ref="C485:Q485">C483+C484</f>
        <v>4840504.279999999</v>
      </c>
      <c r="D485" s="120">
        <f t="shared" si="129"/>
        <v>10927854.63</v>
      </c>
      <c r="E485" s="222">
        <f t="shared" si="129"/>
        <v>49680.649999999994</v>
      </c>
      <c r="F485" s="127">
        <f t="shared" si="129"/>
        <v>15818039.560000002</v>
      </c>
      <c r="G485" s="186" t="e">
        <f t="shared" si="129"/>
        <v>#REF!</v>
      </c>
      <c r="H485" s="186" t="e">
        <f t="shared" si="129"/>
        <v>#REF!</v>
      </c>
      <c r="I485" s="186" t="e">
        <f t="shared" si="129"/>
        <v>#REF!</v>
      </c>
      <c r="J485" s="186" t="e">
        <f t="shared" si="129"/>
        <v>#REF!</v>
      </c>
      <c r="K485" s="186" t="e">
        <f t="shared" si="129"/>
        <v>#REF!</v>
      </c>
      <c r="L485" s="186" t="e">
        <f t="shared" si="129"/>
        <v>#REF!</v>
      </c>
      <c r="M485" s="186" t="e">
        <f t="shared" si="129"/>
        <v>#REF!</v>
      </c>
      <c r="N485" s="186" t="e">
        <f t="shared" si="129"/>
        <v>#REF!</v>
      </c>
      <c r="O485" s="186" t="e">
        <f t="shared" si="129"/>
        <v>#REF!</v>
      </c>
      <c r="P485" s="186" t="e">
        <f t="shared" si="129"/>
        <v>#REF!</v>
      </c>
      <c r="Q485" s="257" t="e">
        <f t="shared" si="129"/>
        <v>#REF!</v>
      </c>
    </row>
    <row r="486" spans="1:17" ht="15">
      <c r="A486" s="53" t="s">
        <v>27</v>
      </c>
      <c r="B486" s="107"/>
      <c r="C486" s="187"/>
      <c r="D486" s="134"/>
      <c r="E486" s="223"/>
      <c r="F486" s="128"/>
      <c r="G486" s="187"/>
      <c r="H486" s="187"/>
      <c r="I486" s="187"/>
      <c r="J486" s="187"/>
      <c r="K486" s="187"/>
      <c r="L486" s="187"/>
      <c r="M486" s="187"/>
      <c r="N486" s="187"/>
      <c r="O486" s="187"/>
      <c r="P486" s="187"/>
      <c r="Q486" s="258"/>
    </row>
    <row r="487" spans="1:17" ht="15">
      <c r="A487" s="54" t="s">
        <v>251</v>
      </c>
      <c r="B487" s="108"/>
      <c r="C487" s="188">
        <f aca="true" t="shared" si="130" ref="C487:Q487">+C91+C111+C122+C140+C152+C175+C221+C240+C256+C275+C346+C372+C394+C401+C431+C436+C482+C484+C408+C297</f>
        <v>3531673.2799999993</v>
      </c>
      <c r="D487" s="135">
        <f t="shared" si="130"/>
        <v>8621357.889999999</v>
      </c>
      <c r="E487" s="224">
        <f t="shared" si="130"/>
        <v>15053.869999999999</v>
      </c>
      <c r="F487" s="131">
        <f t="shared" si="130"/>
        <v>12168085.040000001</v>
      </c>
      <c r="G487" s="188">
        <f t="shared" si="130"/>
        <v>0</v>
      </c>
      <c r="H487" s="188">
        <f t="shared" si="130"/>
        <v>0</v>
      </c>
      <c r="I487" s="188">
        <f t="shared" si="130"/>
        <v>10593543.240000002</v>
      </c>
      <c r="J487" s="188">
        <f t="shared" si="130"/>
        <v>0</v>
      </c>
      <c r="K487" s="188">
        <f t="shared" si="130"/>
        <v>0</v>
      </c>
      <c r="L487" s="188">
        <f t="shared" si="130"/>
        <v>10593543.240000002</v>
      </c>
      <c r="M487" s="188">
        <f t="shared" si="130"/>
        <v>0</v>
      </c>
      <c r="N487" s="188">
        <f t="shared" si="130"/>
        <v>0</v>
      </c>
      <c r="O487" s="188">
        <f t="shared" si="130"/>
        <v>10593543.240000002</v>
      </c>
      <c r="P487" s="188">
        <f t="shared" si="130"/>
        <v>0</v>
      </c>
      <c r="Q487" s="259">
        <f t="shared" si="130"/>
        <v>10593543.240000002</v>
      </c>
    </row>
    <row r="488" spans="1:17" ht="15.75" thickBot="1">
      <c r="A488" s="40" t="s">
        <v>252</v>
      </c>
      <c r="B488" s="109"/>
      <c r="C488" s="189">
        <f aca="true" t="shared" si="131" ref="C488:Q488">+C100+C118+C134+C145+C166+C211+C232+C249+C267+C292+C366+C384+C397+C437+C422+C319</f>
        <v>1308831</v>
      </c>
      <c r="D488" s="136">
        <f t="shared" si="131"/>
        <v>2306496.74</v>
      </c>
      <c r="E488" s="225">
        <f t="shared" si="131"/>
        <v>34626.78</v>
      </c>
      <c r="F488" s="132">
        <f t="shared" si="131"/>
        <v>3649954.52</v>
      </c>
      <c r="G488" s="189" t="e">
        <f t="shared" si="131"/>
        <v>#REF!</v>
      </c>
      <c r="H488" s="189" t="e">
        <f t="shared" si="131"/>
        <v>#REF!</v>
      </c>
      <c r="I488" s="189" t="e">
        <f t="shared" si="131"/>
        <v>#REF!</v>
      </c>
      <c r="J488" s="189" t="e">
        <f t="shared" si="131"/>
        <v>#REF!</v>
      </c>
      <c r="K488" s="189" t="e">
        <f t="shared" si="131"/>
        <v>#REF!</v>
      </c>
      <c r="L488" s="189" t="e">
        <f t="shared" si="131"/>
        <v>#REF!</v>
      </c>
      <c r="M488" s="189" t="e">
        <f t="shared" si="131"/>
        <v>#REF!</v>
      </c>
      <c r="N488" s="189" t="e">
        <f t="shared" si="131"/>
        <v>#REF!</v>
      </c>
      <c r="O488" s="189" t="e">
        <f t="shared" si="131"/>
        <v>#REF!</v>
      </c>
      <c r="P488" s="189" t="e">
        <f t="shared" si="131"/>
        <v>#REF!</v>
      </c>
      <c r="Q488" s="260" t="e">
        <f t="shared" si="131"/>
        <v>#REF!</v>
      </c>
    </row>
    <row r="489" spans="1:17" ht="15.75" thickBot="1">
      <c r="A489" s="54" t="s">
        <v>245</v>
      </c>
      <c r="B489" s="108"/>
      <c r="C489" s="156">
        <f aca="true" t="shared" si="132" ref="C489:Q489">C88-C485</f>
        <v>-337499.99999999907</v>
      </c>
      <c r="D489" s="133">
        <f t="shared" si="132"/>
        <v>-2421728.9000000004</v>
      </c>
      <c r="E489" s="133">
        <f t="shared" si="132"/>
        <v>0</v>
      </c>
      <c r="F489" s="204">
        <f t="shared" si="132"/>
        <v>-2759228.9000000004</v>
      </c>
      <c r="G489" s="157" t="e">
        <f t="shared" si="132"/>
        <v>#REF!</v>
      </c>
      <c r="H489" s="133" t="e">
        <f t="shared" si="132"/>
        <v>#REF!</v>
      </c>
      <c r="I489" s="157" t="e">
        <f t="shared" si="132"/>
        <v>#REF!</v>
      </c>
      <c r="J489" s="156" t="e">
        <f t="shared" si="132"/>
        <v>#REF!</v>
      </c>
      <c r="K489" s="133" t="e">
        <f t="shared" si="132"/>
        <v>#REF!</v>
      </c>
      <c r="L489" s="157" t="e">
        <f t="shared" si="132"/>
        <v>#REF!</v>
      </c>
      <c r="M489" s="156" t="e">
        <f t="shared" si="132"/>
        <v>#REF!</v>
      </c>
      <c r="N489" s="156" t="e">
        <f t="shared" si="132"/>
        <v>#REF!</v>
      </c>
      <c r="O489" s="156" t="e">
        <f t="shared" si="132"/>
        <v>#REF!</v>
      </c>
      <c r="P489" s="156" t="e">
        <f t="shared" si="132"/>
        <v>#REF!</v>
      </c>
      <c r="Q489" s="255" t="e">
        <f t="shared" si="132"/>
        <v>#REF!</v>
      </c>
    </row>
    <row r="490" spans="1:17" ht="15">
      <c r="A490" s="53" t="s">
        <v>253</v>
      </c>
      <c r="B490" s="107"/>
      <c r="C490" s="190">
        <f>SUM(C492:C495)</f>
        <v>337500</v>
      </c>
      <c r="D490" s="137">
        <f aca="true" t="shared" si="133" ref="D490:Q490">SUM(D492:D495)</f>
        <v>2421728.9</v>
      </c>
      <c r="E490" s="137">
        <f t="shared" si="133"/>
        <v>0</v>
      </c>
      <c r="F490" s="205">
        <f t="shared" si="133"/>
        <v>2759228.9</v>
      </c>
      <c r="G490" s="226">
        <f t="shared" si="133"/>
        <v>0</v>
      </c>
      <c r="H490" s="137">
        <f t="shared" si="133"/>
        <v>0</v>
      </c>
      <c r="I490" s="173">
        <f t="shared" si="133"/>
        <v>2759228.9</v>
      </c>
      <c r="J490" s="190">
        <f t="shared" si="133"/>
        <v>0</v>
      </c>
      <c r="K490" s="137">
        <f t="shared" si="133"/>
        <v>0</v>
      </c>
      <c r="L490" s="173">
        <f t="shared" si="133"/>
        <v>2759228.9</v>
      </c>
      <c r="M490" s="144">
        <f t="shared" si="133"/>
        <v>0</v>
      </c>
      <c r="N490" s="144">
        <f t="shared" si="133"/>
        <v>0</v>
      </c>
      <c r="O490" s="144">
        <f t="shared" si="133"/>
        <v>2759228.9</v>
      </c>
      <c r="P490" s="144">
        <f t="shared" si="133"/>
        <v>0</v>
      </c>
      <c r="Q490" s="261">
        <f t="shared" si="133"/>
        <v>2759228.9</v>
      </c>
    </row>
    <row r="491" spans="1:17" ht="12.75" customHeight="1">
      <c r="A491" s="55" t="s">
        <v>27</v>
      </c>
      <c r="B491" s="110"/>
      <c r="C491" s="191"/>
      <c r="D491" s="138"/>
      <c r="E491" s="138"/>
      <c r="F491" s="206"/>
      <c r="G491" s="227"/>
      <c r="H491" s="12"/>
      <c r="I491" s="210"/>
      <c r="J491" s="235"/>
      <c r="K491" s="12"/>
      <c r="L491" s="210"/>
      <c r="M491" s="15"/>
      <c r="N491" s="12"/>
      <c r="O491" s="63"/>
      <c r="P491" s="82"/>
      <c r="Q491" s="80"/>
    </row>
    <row r="492" spans="1:17" ht="13.5">
      <c r="A492" s="55" t="s">
        <v>143</v>
      </c>
      <c r="B492" s="110"/>
      <c r="C492" s="192">
        <v>400000</v>
      </c>
      <c r="D492" s="164"/>
      <c r="E492" s="164"/>
      <c r="F492" s="207">
        <f>SUM(C492:E492)</f>
        <v>400000</v>
      </c>
      <c r="G492" s="228"/>
      <c r="H492" s="13"/>
      <c r="I492" s="210">
        <f>SUM(F492:H492)</f>
        <v>400000</v>
      </c>
      <c r="J492" s="236"/>
      <c r="K492" s="13"/>
      <c r="L492" s="210">
        <f>SUM(I492:K492)</f>
        <v>400000</v>
      </c>
      <c r="M492" s="16"/>
      <c r="N492" s="13"/>
      <c r="O492" s="63">
        <f>SUM(L492:N492)</f>
        <v>400000</v>
      </c>
      <c r="P492" s="82"/>
      <c r="Q492" s="80">
        <f t="shared" si="120"/>
        <v>400000</v>
      </c>
    </row>
    <row r="493" spans="1:17" ht="13.5">
      <c r="A493" s="56" t="s">
        <v>151</v>
      </c>
      <c r="B493" s="110"/>
      <c r="C493" s="192">
        <v>-62500</v>
      </c>
      <c r="D493" s="164">
        <v>-85301.94</v>
      </c>
      <c r="E493" s="164"/>
      <c r="F493" s="207">
        <f>SUM(C493:E493)</f>
        <v>-147801.94</v>
      </c>
      <c r="G493" s="228"/>
      <c r="H493" s="13"/>
      <c r="I493" s="210">
        <f>SUM(F493:H493)</f>
        <v>-147801.94</v>
      </c>
      <c r="J493" s="236"/>
      <c r="K493" s="13"/>
      <c r="L493" s="210">
        <f>SUM(I493:K493)</f>
        <v>-147801.94</v>
      </c>
      <c r="M493" s="16"/>
      <c r="N493" s="13"/>
      <c r="O493" s="63">
        <f>SUM(L493:N493)</f>
        <v>-147801.94</v>
      </c>
      <c r="P493" s="82"/>
      <c r="Q493" s="80">
        <f t="shared" si="120"/>
        <v>-147801.94</v>
      </c>
    </row>
    <row r="494" spans="1:17" ht="14.25" thickBot="1">
      <c r="A494" s="68" t="s">
        <v>144</v>
      </c>
      <c r="B494" s="111"/>
      <c r="C494" s="193"/>
      <c r="D494" s="165">
        <f>1117496.24+80+2350+4820+1200+53138.43+589362.95+6000+26820.5+14658.97+17233+6722.35+2350+46171.6+2652.44+8600+3629.31+25140.91+46003.3+5292.85+85301.94+317+22470.21+428.39+927+1613+97959.59+4051.42+706.31+1000+268571.85+3025.7+2888.74+17660.78+4172.21+25+12883.26+2608.09+26.5+671</f>
        <v>2507030.84</v>
      </c>
      <c r="E494" s="165"/>
      <c r="F494" s="208">
        <f>SUM(C494:E494)</f>
        <v>2507030.84</v>
      </c>
      <c r="G494" s="229"/>
      <c r="H494" s="14"/>
      <c r="I494" s="211">
        <f>SUM(F494:H494)</f>
        <v>2507030.84</v>
      </c>
      <c r="J494" s="237"/>
      <c r="K494" s="14"/>
      <c r="L494" s="211">
        <f>SUM(I494:K494)</f>
        <v>2507030.84</v>
      </c>
      <c r="M494" s="67"/>
      <c r="N494" s="14"/>
      <c r="O494" s="65">
        <f>SUM(L494:N494)</f>
        <v>2507030.84</v>
      </c>
      <c r="P494" s="84"/>
      <c r="Q494" s="81">
        <f t="shared" si="120"/>
        <v>2507030.84</v>
      </c>
    </row>
    <row r="495" spans="1:17" ht="14.25" hidden="1" thickBot="1">
      <c r="A495" s="68" t="s">
        <v>163</v>
      </c>
      <c r="B495" s="111"/>
      <c r="C495" s="194"/>
      <c r="D495" s="165" t="s">
        <v>221</v>
      </c>
      <c r="E495" s="165"/>
      <c r="F495" s="208">
        <f>SUM(C495:E495)</f>
        <v>0</v>
      </c>
      <c r="G495" s="229"/>
      <c r="H495" s="14"/>
      <c r="I495" s="211">
        <f>SUM(F495:H495)</f>
        <v>0</v>
      </c>
      <c r="J495" s="237">
        <v>0</v>
      </c>
      <c r="K495" s="14">
        <v>0</v>
      </c>
      <c r="L495" s="211">
        <f>SUM(I495:K495)</f>
        <v>0</v>
      </c>
      <c r="M495" s="67"/>
      <c r="N495" s="14"/>
      <c r="O495" s="65">
        <f>SUM(L495:N495)</f>
        <v>0</v>
      </c>
      <c r="P495" s="84"/>
      <c r="Q495" s="81">
        <f t="shared" si="120"/>
        <v>0</v>
      </c>
    </row>
    <row r="496" spans="2:17" ht="12.75">
      <c r="B496" s="112"/>
      <c r="C496" s="129">
        <f aca="true" t="shared" si="134" ref="C496:Q496">C88+C490-C485</f>
        <v>0</v>
      </c>
      <c r="D496" s="129">
        <f t="shared" si="134"/>
        <v>0</v>
      </c>
      <c r="E496" s="129">
        <f t="shared" si="134"/>
        <v>0</v>
      </c>
      <c r="F496" s="129">
        <f t="shared" si="134"/>
        <v>0</v>
      </c>
      <c r="G496" s="66" t="e">
        <f t="shared" si="134"/>
        <v>#REF!</v>
      </c>
      <c r="H496" s="66" t="e">
        <f t="shared" si="134"/>
        <v>#REF!</v>
      </c>
      <c r="I496" s="66" t="e">
        <f t="shared" si="134"/>
        <v>#REF!</v>
      </c>
      <c r="J496" s="66" t="e">
        <f t="shared" si="134"/>
        <v>#REF!</v>
      </c>
      <c r="K496" s="66" t="e">
        <f t="shared" si="134"/>
        <v>#REF!</v>
      </c>
      <c r="L496" s="66" t="e">
        <f t="shared" si="134"/>
        <v>#REF!</v>
      </c>
      <c r="M496" s="66" t="e">
        <f t="shared" si="134"/>
        <v>#REF!</v>
      </c>
      <c r="N496" s="66" t="e">
        <f t="shared" si="134"/>
        <v>#REF!</v>
      </c>
      <c r="O496" s="66" t="e">
        <f t="shared" si="134"/>
        <v>#REF!</v>
      </c>
      <c r="P496" s="66" t="e">
        <f t="shared" si="134"/>
        <v>#REF!</v>
      </c>
      <c r="Q496" s="66" t="e">
        <f t="shared" si="134"/>
        <v>#REF!</v>
      </c>
    </row>
    <row r="497" spans="2:16" ht="12.75">
      <c r="B497" s="112"/>
      <c r="P497" s="66"/>
    </row>
    <row r="498" spans="2:16" ht="12.75">
      <c r="B498" s="112"/>
      <c r="D498" s="155"/>
      <c r="P498" s="66"/>
    </row>
    <row r="499" spans="2:16" ht="12.75">
      <c r="B499" s="112"/>
      <c r="P499" s="66"/>
    </row>
    <row r="500" spans="2:16" ht="12.75">
      <c r="B500" s="112"/>
      <c r="P500" s="66"/>
    </row>
    <row r="501" spans="2:16" ht="12.75">
      <c r="B501" s="112"/>
      <c r="P501" s="66"/>
    </row>
    <row r="502" spans="2:16" ht="12.75">
      <c r="B502" s="112"/>
      <c r="P502" s="66"/>
    </row>
    <row r="503" spans="2:16" ht="12.75">
      <c r="B503" s="112"/>
      <c r="P503" s="66"/>
    </row>
    <row r="504" spans="2:16" ht="12.75">
      <c r="B504" s="112"/>
      <c r="P504" s="66"/>
    </row>
    <row r="505" spans="2:16" ht="12.75">
      <c r="B505" s="112"/>
      <c r="P505" s="66"/>
    </row>
    <row r="506" spans="2:16" ht="12.75">
      <c r="B506" s="112"/>
      <c r="P506" s="66"/>
    </row>
    <row r="507" spans="2:16" ht="12.75">
      <c r="B507" s="112"/>
      <c r="P507" s="66"/>
    </row>
    <row r="508" spans="2:16" ht="12.75">
      <c r="B508" s="112"/>
      <c r="P508" s="66"/>
    </row>
    <row r="509" spans="2:16" ht="12.75">
      <c r="B509" s="112"/>
      <c r="P509" s="66"/>
    </row>
    <row r="510" spans="2:16" ht="12.75">
      <c r="B510" s="112"/>
      <c r="P510" s="66"/>
    </row>
    <row r="511" spans="2:16" ht="12.75">
      <c r="B511" s="112"/>
      <c r="P511" s="66"/>
    </row>
    <row r="512" spans="2:16" ht="12.75">
      <c r="B512" s="112"/>
      <c r="P512" s="66"/>
    </row>
    <row r="513" spans="2:16" ht="12.75">
      <c r="B513" s="112"/>
      <c r="P513" s="66"/>
    </row>
    <row r="514" spans="2:16" ht="12.75">
      <c r="B514" s="112"/>
      <c r="P514" s="66"/>
    </row>
    <row r="515" spans="2:16" ht="12.75">
      <c r="B515" s="112"/>
      <c r="P515" s="66"/>
    </row>
    <row r="516" ht="12.75">
      <c r="P516" s="66"/>
    </row>
    <row r="517" ht="12.75">
      <c r="P517" s="66"/>
    </row>
    <row r="518" ht="12.75">
      <c r="P518" s="66"/>
    </row>
    <row r="519" ht="12.75">
      <c r="P519" s="66"/>
    </row>
    <row r="520" ht="12.75">
      <c r="P520" s="66"/>
    </row>
    <row r="521" ht="12.75">
      <c r="P521" s="66"/>
    </row>
    <row r="522" ht="12.75">
      <c r="P522" s="66"/>
    </row>
    <row r="523" ht="12.75">
      <c r="P523" s="66"/>
    </row>
    <row r="524" ht="12.75">
      <c r="P524" s="66"/>
    </row>
    <row r="525" ht="12.75">
      <c r="P525" s="66"/>
    </row>
    <row r="526" ht="12.75">
      <c r="P526" s="66"/>
    </row>
    <row r="527" ht="12.75">
      <c r="P527" s="66"/>
    </row>
    <row r="528" ht="12.75">
      <c r="P528" s="66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83" r:id="rId1"/>
  <headerFooter alignWithMargins="0">
    <oddFooter>&amp;CStránka &amp;P</oddFooter>
  </headerFooter>
  <rowBreaks count="4" manualBreakCount="4">
    <brk id="108" max="5" man="1"/>
    <brk id="219" max="5" man="1"/>
    <brk id="316" max="5" man="1"/>
    <brk id="4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2019-03-26T09:35:32Z</cp:lastPrinted>
  <dcterms:created xsi:type="dcterms:W3CDTF">2009-01-05T12:05:07Z</dcterms:created>
  <dcterms:modified xsi:type="dcterms:W3CDTF">2019-03-28T12:53:48Z</dcterms:modified>
  <cp:category/>
  <cp:version/>
  <cp:contentType/>
  <cp:contentStatus/>
</cp:coreProperties>
</file>