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78\AppData\Local\Microsoft\Windows\Temporary Internet Files\Content.Outlook\1FPO6CKH\"/>
    </mc:Choice>
  </mc:AlternateContent>
  <bookViews>
    <workbookView xWindow="120" yWindow="15" windowWidth="17400" windowHeight="12015"/>
  </bookViews>
  <sheets>
    <sheet name="2017" sheetId="17" r:id="rId1"/>
  </sheets>
  <definedNames>
    <definedName name="_xlnm.Print_Titles" localSheetId="0">'2017'!$4:$4</definedName>
    <definedName name="_xlnm.Print_Area" localSheetId="0">'2017'!$A$1:$E$304</definedName>
  </definedNames>
  <calcPr calcId="152511"/>
</workbook>
</file>

<file path=xl/calcChain.xml><?xml version="1.0" encoding="utf-8"?>
<calcChain xmlns="http://schemas.openxmlformats.org/spreadsheetml/2006/main">
  <c r="E27" i="17" l="1"/>
  <c r="E189" i="17" l="1"/>
  <c r="E232" i="17" l="1"/>
  <c r="D232" i="17"/>
  <c r="E220" i="17"/>
  <c r="D220" i="17"/>
  <c r="E211" i="17" l="1"/>
  <c r="E206" i="17"/>
  <c r="E8" i="17" l="1"/>
  <c r="E208" i="17" l="1"/>
  <c r="E191" i="17" l="1"/>
  <c r="E133" i="17"/>
  <c r="E87" i="17"/>
  <c r="E52" i="17"/>
  <c r="E169" i="17" l="1"/>
  <c r="E18" i="17" l="1"/>
  <c r="E112" i="17"/>
  <c r="E111" i="17"/>
  <c r="E109" i="17" s="1"/>
  <c r="E108" i="17" s="1"/>
  <c r="E196" i="17"/>
  <c r="E187" i="17"/>
  <c r="E180" i="17"/>
  <c r="E179" i="17" s="1"/>
  <c r="E173" i="17"/>
  <c r="E167" i="17"/>
  <c r="E157" i="17"/>
  <c r="E156" i="17" s="1"/>
  <c r="E147" i="17"/>
  <c r="E139" i="17"/>
  <c r="E129" i="17"/>
  <c r="E128" i="17" s="1"/>
  <c r="E118" i="17"/>
  <c r="E117" i="17" s="1"/>
  <c r="E99" i="17"/>
  <c r="E98" i="17" s="1"/>
  <c r="E93" i="17"/>
  <c r="E91" i="17" s="1"/>
  <c r="E95" i="17"/>
  <c r="E78" i="17"/>
  <c r="E77" i="17" s="1"/>
  <c r="E70" i="17"/>
  <c r="E69" i="17" s="1"/>
  <c r="E64" i="17"/>
  <c r="E62" i="17"/>
  <c r="E60" i="17" s="1"/>
  <c r="E56" i="17"/>
  <c r="E47" i="17"/>
  <c r="E46" i="17" s="1"/>
  <c r="E42" i="17"/>
  <c r="E38" i="17"/>
  <c r="E33" i="17" s="1"/>
  <c r="E138" i="17" l="1"/>
  <c r="E59" i="17"/>
  <c r="E90" i="17"/>
  <c r="E166" i="17"/>
  <c r="E32" i="17"/>
  <c r="E195" i="17"/>
  <c r="E251" i="17"/>
  <c r="E248" i="17"/>
  <c r="E256" i="17"/>
  <c r="E260" i="17"/>
  <c r="E264" i="17"/>
  <c r="E283" i="17"/>
  <c r="E278" i="17"/>
  <c r="E270" i="17"/>
  <c r="E6" i="17" l="1"/>
  <c r="E17" i="17" l="1"/>
  <c r="E299" i="17" l="1"/>
  <c r="E245" i="17"/>
  <c r="E246" i="17" s="1"/>
  <c r="E243" i="17" s="1"/>
  <c r="E216" i="17"/>
  <c r="E213" i="17"/>
  <c r="E212" i="17" s="1"/>
  <c r="E192" i="17"/>
  <c r="E186" i="17" s="1"/>
  <c r="E25" i="17"/>
  <c r="E10" i="17"/>
  <c r="E30" i="17" l="1"/>
  <c r="E296" i="17"/>
  <c r="E295" i="17"/>
  <c r="D283" i="17"/>
  <c r="D278" i="17"/>
  <c r="D270" i="17"/>
  <c r="D264" i="17"/>
  <c r="D260" i="17"/>
  <c r="E297" i="17" l="1"/>
  <c r="E298" i="17" s="1"/>
  <c r="D17" i="17"/>
  <c r="D33" i="17"/>
  <c r="D42" i="17"/>
  <c r="D47" i="17"/>
  <c r="D56" i="17"/>
  <c r="D60" i="17"/>
  <c r="D64" i="17"/>
  <c r="D299" i="17"/>
  <c r="D245" i="17"/>
  <c r="D213" i="17"/>
  <c r="D212" i="17" s="1"/>
  <c r="D208" i="17"/>
  <c r="D196" i="17"/>
  <c r="D192" i="17"/>
  <c r="D187" i="17"/>
  <c r="D180" i="17"/>
  <c r="D179" i="17" s="1"/>
  <c r="D173" i="17"/>
  <c r="D167" i="17"/>
  <c r="D157" i="17"/>
  <c r="D156" i="17" s="1"/>
  <c r="D147" i="17"/>
  <c r="D139" i="17"/>
  <c r="D129" i="17"/>
  <c r="D128" i="17" s="1"/>
  <c r="D118" i="17"/>
  <c r="D117" i="17" s="1"/>
  <c r="D109" i="17"/>
  <c r="D108" i="17" s="1"/>
  <c r="D99" i="17"/>
  <c r="D98" i="17" s="1"/>
  <c r="D95" i="17"/>
  <c r="D91" i="17"/>
  <c r="D78" i="17"/>
  <c r="D77" i="17" s="1"/>
  <c r="D70" i="17"/>
  <c r="D69" i="17" s="1"/>
  <c r="D25" i="17"/>
  <c r="C245" i="17"/>
  <c r="C278" i="17"/>
  <c r="C270" i="17"/>
  <c r="C234" i="17"/>
  <c r="C191" i="17"/>
  <c r="C131" i="17"/>
  <c r="C21" i="17"/>
  <c r="D186" i="17" l="1"/>
  <c r="D166" i="17"/>
  <c r="D46" i="17"/>
  <c r="D32" i="17"/>
  <c r="C246" i="17"/>
  <c r="C243" i="17" s="1"/>
  <c r="D90" i="17"/>
  <c r="D10" i="17"/>
  <c r="D30" i="17" s="1"/>
  <c r="D138" i="17"/>
  <c r="D246" i="17"/>
  <c r="D296" i="17" s="1"/>
  <c r="D216" i="17"/>
  <c r="D195" i="17"/>
  <c r="D59" i="17"/>
  <c r="D295" i="17"/>
  <c r="C202" i="17"/>
  <c r="C196" i="17" s="1"/>
  <c r="C169" i="17"/>
  <c r="C189" i="17"/>
  <c r="C172" i="17"/>
  <c r="C120" i="17"/>
  <c r="C118" i="17" s="1"/>
  <c r="C117" i="17" s="1"/>
  <c r="C299" i="17"/>
  <c r="B299" i="17"/>
  <c r="B278" i="17"/>
  <c r="B270" i="17"/>
  <c r="B264" i="17"/>
  <c r="B245" i="17"/>
  <c r="B234" i="17"/>
  <c r="B232" i="17" s="1"/>
  <c r="C232" i="17"/>
  <c r="C220" i="17"/>
  <c r="B220" i="17"/>
  <c r="C213" i="17"/>
  <c r="C212" i="17" s="1"/>
  <c r="B213" i="17"/>
  <c r="B212" i="17" s="1"/>
  <c r="C208" i="17"/>
  <c r="B208" i="17"/>
  <c r="B205" i="17"/>
  <c r="B196" i="17" s="1"/>
  <c r="C192" i="17"/>
  <c r="B192" i="17"/>
  <c r="B191" i="17"/>
  <c r="B187" i="17" s="1"/>
  <c r="C180" i="17"/>
  <c r="C179" i="17" s="1"/>
  <c r="B180" i="17"/>
  <c r="B179" i="17" s="1"/>
  <c r="C173" i="17"/>
  <c r="B173" i="17"/>
  <c r="B169" i="17"/>
  <c r="B167" i="17" s="1"/>
  <c r="C159" i="17"/>
  <c r="C157" i="17" s="1"/>
  <c r="C156" i="17" s="1"/>
  <c r="B159" i="17"/>
  <c r="B157" i="17" s="1"/>
  <c r="B156" i="17" s="1"/>
  <c r="C147" i="17"/>
  <c r="B147" i="17"/>
  <c r="C139" i="17"/>
  <c r="B139" i="17"/>
  <c r="B133" i="17"/>
  <c r="B131" i="17"/>
  <c r="C129" i="17"/>
  <c r="C128" i="17" s="1"/>
  <c r="B120" i="17"/>
  <c r="B118" i="17" s="1"/>
  <c r="B117" i="17" s="1"/>
  <c r="C112" i="17"/>
  <c r="C111" i="17"/>
  <c r="B111" i="17"/>
  <c r="B109" i="17" s="1"/>
  <c r="B108" i="17" s="1"/>
  <c r="C99" i="17"/>
  <c r="C98" i="17" s="1"/>
  <c r="B99" i="17"/>
  <c r="B98" i="17" s="1"/>
  <c r="C95" i="17"/>
  <c r="B95" i="17"/>
  <c r="C91" i="17"/>
  <c r="B91" i="17"/>
  <c r="C86" i="17"/>
  <c r="C78" i="17" s="1"/>
  <c r="C77" i="17" s="1"/>
  <c r="B86" i="17"/>
  <c r="B85" i="17"/>
  <c r="B83" i="17"/>
  <c r="C73" i="17"/>
  <c r="C70" i="17" s="1"/>
  <c r="B70" i="17"/>
  <c r="B69" i="17" s="1"/>
  <c r="C64" i="17"/>
  <c r="B64" i="17"/>
  <c r="C62" i="17"/>
  <c r="C60" i="17" s="1"/>
  <c r="B62" i="17"/>
  <c r="B60" i="17" s="1"/>
  <c r="C56" i="17"/>
  <c r="B56" i="17"/>
  <c r="C53" i="17"/>
  <c r="B53" i="17"/>
  <c r="C52" i="17"/>
  <c r="B52" i="17"/>
  <c r="C42" i="17"/>
  <c r="B42" i="17"/>
  <c r="C38" i="17"/>
  <c r="C33" i="17" s="1"/>
  <c r="B38" i="17"/>
  <c r="B33" i="17" s="1"/>
  <c r="C27" i="17"/>
  <c r="C25" i="17" s="1"/>
  <c r="B27" i="17"/>
  <c r="B25" i="17" s="1"/>
  <c r="B19" i="17"/>
  <c r="B17" i="17" s="1"/>
  <c r="C17" i="17"/>
  <c r="C10" i="17" s="1"/>
  <c r="B16" i="17"/>
  <c r="B6" i="17"/>
  <c r="D243" i="17" l="1"/>
  <c r="D297" i="17" s="1"/>
  <c r="D298" i="17" s="1"/>
  <c r="B246" i="17"/>
  <c r="B296" i="17" s="1"/>
  <c r="C296" i="17"/>
  <c r="C167" i="17"/>
  <c r="C166" i="17" s="1"/>
  <c r="B10" i="17"/>
  <c r="B30" i="17" s="1"/>
  <c r="B32" i="17"/>
  <c r="C109" i="17"/>
  <c r="C108" i="17" s="1"/>
  <c r="B138" i="17"/>
  <c r="B195" i="17"/>
  <c r="B47" i="17"/>
  <c r="B46" i="17" s="1"/>
  <c r="C30" i="17"/>
  <c r="B78" i="17"/>
  <c r="B77" i="17" s="1"/>
  <c r="B186" i="17"/>
  <c r="B243" i="17"/>
  <c r="C32" i="17"/>
  <c r="C138" i="17"/>
  <c r="B216" i="17"/>
  <c r="C47" i="17"/>
  <c r="C46" i="17" s="1"/>
  <c r="B59" i="17"/>
  <c r="C90" i="17"/>
  <c r="B129" i="17"/>
  <c r="B128" i="17" s="1"/>
  <c r="C59" i="17"/>
  <c r="C195" i="17"/>
  <c r="B166" i="17"/>
  <c r="C216" i="17"/>
  <c r="C187" i="17"/>
  <c r="C186" i="17" s="1"/>
  <c r="C69" i="17"/>
  <c r="B90" i="17"/>
  <c r="B295" i="17" l="1"/>
  <c r="C295" i="17"/>
  <c r="C297" i="17"/>
  <c r="B297" i="17"/>
</calcChain>
</file>

<file path=xl/sharedStrings.xml><?xml version="1.0" encoding="utf-8"?>
<sst xmlns="http://schemas.openxmlformats.org/spreadsheetml/2006/main" count="310" uniqueCount="186">
  <si>
    <t>UKAZATEL</t>
  </si>
  <si>
    <t xml:space="preserve">PŘÍJMY    </t>
  </si>
  <si>
    <t>tř. 1 - Daňové příjmy</t>
  </si>
  <si>
    <t>tř. 2 - Nedaňové příjmy</t>
  </si>
  <si>
    <t xml:space="preserve">v tom: </t>
  </si>
  <si>
    <t>přijaté úroky</t>
  </si>
  <si>
    <t xml:space="preserve">platby za odebr. mn.podzemní vody </t>
  </si>
  <si>
    <t>odvody PO</t>
  </si>
  <si>
    <t xml:space="preserve">    v tom odvětví: školství</t>
  </si>
  <si>
    <t xml:space="preserve">                        zdravotnictví</t>
  </si>
  <si>
    <t xml:space="preserve">                        kultury</t>
  </si>
  <si>
    <t xml:space="preserve">                        soc.věcí</t>
  </si>
  <si>
    <t>v tom:</t>
  </si>
  <si>
    <t xml:space="preserve">  neinv.d.ze SR v rámci souhrn.dot.vztahu</t>
  </si>
  <si>
    <t>PŘÍJMY CELKEM</t>
  </si>
  <si>
    <t>VÝDAJE</t>
  </si>
  <si>
    <t>kap. 18 - zastupitelstvo kraje</t>
  </si>
  <si>
    <t>běžné výdaje</t>
  </si>
  <si>
    <t>odměny vč. refundací</t>
  </si>
  <si>
    <t>pohoštění a dary</t>
  </si>
  <si>
    <t>ostatní běžné výdaje</t>
  </si>
  <si>
    <t>ostatní příspěvky a dary</t>
  </si>
  <si>
    <t>kapitálové výdaje</t>
  </si>
  <si>
    <t>kap. 19 - činnost krajského úřadu</t>
  </si>
  <si>
    <t>pohoštění</t>
  </si>
  <si>
    <t>pronájem služeb a prostor v RC NP</t>
  </si>
  <si>
    <t>krizové plánování</t>
  </si>
  <si>
    <t>pronájem a nákl.na detaš.pracoviště</t>
  </si>
  <si>
    <t xml:space="preserve">vodohosp.akce dle vodního zákona </t>
  </si>
  <si>
    <t>ostatní kapitálové výdaje</t>
  </si>
  <si>
    <t>kap. 09 - volnočasové aktivity</t>
  </si>
  <si>
    <t>kap. 10 - doprava</t>
  </si>
  <si>
    <t>dopravní územní obslužnost:</t>
  </si>
  <si>
    <t xml:space="preserve">    autobusová doprava</t>
  </si>
  <si>
    <t xml:space="preserve">    drážní doprava</t>
  </si>
  <si>
    <t>příspěvky PO na provoz</t>
  </si>
  <si>
    <t>kap. 12 - správa majetku kraje</t>
  </si>
  <si>
    <t>dotace pro Reg. radu regionu soudržnosti SV</t>
  </si>
  <si>
    <t>kap. 14 - školství</t>
  </si>
  <si>
    <t xml:space="preserve">běžné výdaje                     </t>
  </si>
  <si>
    <t xml:space="preserve">ostatní běžné výdaje </t>
  </si>
  <si>
    <t>kap. 15 - zdravotnictví</t>
  </si>
  <si>
    <t>kap. 16 - kultura</t>
  </si>
  <si>
    <t xml:space="preserve">běžné výdaje             </t>
  </si>
  <si>
    <t>kap. 28 - sociální věci</t>
  </si>
  <si>
    <t xml:space="preserve">běžné výdaje                                    </t>
  </si>
  <si>
    <t>příspěvek PO na provoz</t>
  </si>
  <si>
    <t xml:space="preserve">kap. 40 - územní plánování </t>
  </si>
  <si>
    <t>kap. 41 - rez.a ost.výd.netýk.se odv.</t>
  </si>
  <si>
    <t xml:space="preserve">               - cestovní ruch</t>
  </si>
  <si>
    <t xml:space="preserve">               - školství</t>
  </si>
  <si>
    <t xml:space="preserve">               - kultura</t>
  </si>
  <si>
    <t xml:space="preserve">               - regionální rozvoj</t>
  </si>
  <si>
    <t xml:space="preserve">              v tom: běžné výdaje</t>
  </si>
  <si>
    <t xml:space="preserve">                        kapitálové výdaje</t>
  </si>
  <si>
    <t xml:space="preserve">                           - evrop.integrace</t>
  </si>
  <si>
    <t xml:space="preserve">                           - doprava</t>
  </si>
  <si>
    <t xml:space="preserve">                           - školství</t>
  </si>
  <si>
    <t>v tom pro odvětví:</t>
  </si>
  <si>
    <t xml:space="preserve">zastupitelstvo kraje </t>
  </si>
  <si>
    <t xml:space="preserve"> v tom: kapitálové výdaje odvětví</t>
  </si>
  <si>
    <t xml:space="preserve">           nerozděleno</t>
  </si>
  <si>
    <t xml:space="preserve">činnost krajského úřadu </t>
  </si>
  <si>
    <t>doprava</t>
  </si>
  <si>
    <t xml:space="preserve">            kapitálové výdaje odvětví</t>
  </si>
  <si>
    <t xml:space="preserve">správa majetku kraje </t>
  </si>
  <si>
    <t xml:space="preserve"> v tom: běžné výdaje odvětví</t>
  </si>
  <si>
    <t>školství</t>
  </si>
  <si>
    <t xml:space="preserve"> v tom: PO - investiční transfery</t>
  </si>
  <si>
    <t xml:space="preserve">           kapitálové výdaje odvětví</t>
  </si>
  <si>
    <t>zdravotnictví</t>
  </si>
  <si>
    <t xml:space="preserve">           investiční transfery a.s.</t>
  </si>
  <si>
    <t xml:space="preserve">           běžné výdaje odvětví</t>
  </si>
  <si>
    <t>kultura</t>
  </si>
  <si>
    <t xml:space="preserve">                - neinvestiční transfery</t>
  </si>
  <si>
    <t xml:space="preserve">          kapitálové výdaje odvětví</t>
  </si>
  <si>
    <t>sociální věci</t>
  </si>
  <si>
    <t>tř. 5 - Běžné výdaje</t>
  </si>
  <si>
    <t>tř. 6 - Kapitálové výdaje</t>
  </si>
  <si>
    <t>VÝDAJE CELKEM</t>
  </si>
  <si>
    <t>tř. 8 - Financování</t>
  </si>
  <si>
    <t xml:space="preserve">běžné výdaje </t>
  </si>
  <si>
    <t>neinvestiční transfery obcím</t>
  </si>
  <si>
    <t xml:space="preserve">běžné výdaje    </t>
  </si>
  <si>
    <t>investiční transfery obcím</t>
  </si>
  <si>
    <t xml:space="preserve">běžné výdaje  </t>
  </si>
  <si>
    <r>
      <t xml:space="preserve">soustředěné pojištění majetku kraje </t>
    </r>
    <r>
      <rPr>
        <sz val="10"/>
        <color indexed="10"/>
        <rFont val="Arial CE"/>
        <charset val="238"/>
      </rPr>
      <t xml:space="preserve"> </t>
    </r>
  </si>
  <si>
    <t>investiční transfery PO</t>
  </si>
  <si>
    <t xml:space="preserve">běžné výdaje                                      </t>
  </si>
  <si>
    <t xml:space="preserve">                           - cestovní ruch</t>
  </si>
  <si>
    <t xml:space="preserve">                           - kultura</t>
  </si>
  <si>
    <t xml:space="preserve">                           - regionální rozvoj</t>
  </si>
  <si>
    <t xml:space="preserve">           neinvestiční transfery a.s.</t>
  </si>
  <si>
    <t>poplatky</t>
  </si>
  <si>
    <t xml:space="preserve">           PO - investiční transfery</t>
  </si>
  <si>
    <t xml:space="preserve">                        dopravy</t>
  </si>
  <si>
    <t>investiční půjčené prostředky obcím</t>
  </si>
  <si>
    <t xml:space="preserve">                           - životní prostředí</t>
  </si>
  <si>
    <t xml:space="preserve">                           - správa majetku kraje</t>
  </si>
  <si>
    <t xml:space="preserve">                           - zdravotnictví</t>
  </si>
  <si>
    <t xml:space="preserve">                           - sociální věci</t>
  </si>
  <si>
    <t xml:space="preserve">řešení havarijních situací </t>
  </si>
  <si>
    <t xml:space="preserve">investiční půjčené prostředky </t>
  </si>
  <si>
    <t>kap. 49 - Regionální inovační fond</t>
  </si>
  <si>
    <t>investiční dotace Policii ČR</t>
  </si>
  <si>
    <t>dotace na sociální služby</t>
  </si>
  <si>
    <t>neinvestiční transfer s.r.o. OREDO</t>
  </si>
  <si>
    <t>neinvestiční transfery a.s.</t>
  </si>
  <si>
    <t>životní prostředí a zemědělství</t>
  </si>
  <si>
    <t>v tom: investiční transfery a.s.</t>
  </si>
  <si>
    <t>v tom: program obnovy venkova</t>
  </si>
  <si>
    <t xml:space="preserve">                           - činnost KÚ</t>
  </si>
  <si>
    <t>kap. 50 - FRR KHK</t>
  </si>
  <si>
    <t>neinv.dot.městu Trutnov na čin.muzea</t>
  </si>
  <si>
    <t>dotace pro RRRS SV</t>
  </si>
  <si>
    <t>povinné pojistné placené zam.</t>
  </si>
  <si>
    <t>platy zam. a ost.pl.za prov.práci</t>
  </si>
  <si>
    <t>neinv.dar Kr.ředitelství policie ČR</t>
  </si>
  <si>
    <t>př.z pronáj.majetku - odv.zdravotnictví</t>
  </si>
  <si>
    <t>ostatní běžné výdaje - EPC</t>
  </si>
  <si>
    <t xml:space="preserve">                         - příspěvek PO na provoz</t>
  </si>
  <si>
    <t xml:space="preserve">                         - investiční dotace PO</t>
  </si>
  <si>
    <t>v tom: Centrum EP-centrum sdílených sl.:</t>
  </si>
  <si>
    <t xml:space="preserve">            rezerva - inv.</t>
  </si>
  <si>
    <t>z toho:</t>
  </si>
  <si>
    <t>tř. 3 - Kapitálové příjmy</t>
  </si>
  <si>
    <t xml:space="preserve">               - POV</t>
  </si>
  <si>
    <t xml:space="preserve">               - životní prostředí a zem.</t>
  </si>
  <si>
    <t>kap. 13 - evropská integrace a globální granty</t>
  </si>
  <si>
    <t>kap. 21 - investice a evrop.projekty</t>
  </si>
  <si>
    <t xml:space="preserve">    cyklobusy</t>
  </si>
  <si>
    <t>EPC</t>
  </si>
  <si>
    <t>kapitál.výdaje - doprava</t>
  </si>
  <si>
    <t>průmyslová zóna Vrchlabí</t>
  </si>
  <si>
    <t>rezerva na investice</t>
  </si>
  <si>
    <t>zapojení výsledku hospodaření</t>
  </si>
  <si>
    <t xml:space="preserve">ostatní běžné výdaje      </t>
  </si>
  <si>
    <t xml:space="preserve">              v tom: běžné výdaje </t>
  </si>
  <si>
    <t>rezerva - a.s.</t>
  </si>
  <si>
    <t xml:space="preserve">     v tom:</t>
  </si>
  <si>
    <t xml:space="preserve">                          kapitálové výdaje</t>
  </si>
  <si>
    <t>kofinancování a předfinancování - kap. 21</t>
  </si>
  <si>
    <t>přijaté úvěry (ON Náchod)</t>
  </si>
  <si>
    <t xml:space="preserve">               - vrcholový sport</t>
  </si>
  <si>
    <t xml:space="preserve">               - sport a tělovýchova</t>
  </si>
  <si>
    <t xml:space="preserve">               - volný čas</t>
  </si>
  <si>
    <t>rezerva</t>
  </si>
  <si>
    <t>energetika</t>
  </si>
  <si>
    <t>dotace obcím</t>
  </si>
  <si>
    <t>kap. 48 - Dotační fond KHK</t>
  </si>
  <si>
    <t>kap. 02 - životní prostředí a zem.</t>
  </si>
  <si>
    <t>nerozd.na odv. - zdroj - příjmy z prodeje</t>
  </si>
  <si>
    <t>tř. 4 - Přijaté dotace</t>
  </si>
  <si>
    <t xml:space="preserve">  neinv.přijaté dotace od obcí</t>
  </si>
  <si>
    <t xml:space="preserve">  investiční přijaté dotace od krajů</t>
  </si>
  <si>
    <t>splátky půjčených prostředků</t>
  </si>
  <si>
    <t>příspěvek PO na provoz - CIRI</t>
  </si>
  <si>
    <t>rezerva - blokováno pro projekty dopravy</t>
  </si>
  <si>
    <t>kap. 39 - regionální rozvoj a CR</t>
  </si>
  <si>
    <t>příjmy z pronáj.majetku - odv.doprava</t>
  </si>
  <si>
    <t xml:space="preserve">Rozpočet na 
rok 2014 </t>
  </si>
  <si>
    <t xml:space="preserve">                        investice a evrop.projekty</t>
  </si>
  <si>
    <t>HZS KHK - Požární stanice a ZZS Vrchlabí</t>
  </si>
  <si>
    <t>HZS KHK - Rek.stadionu pro pož.sport v HK</t>
  </si>
  <si>
    <t>Příloha č. 1</t>
  </si>
  <si>
    <t xml:space="preserve">Rozpočet na rok 2015 </t>
  </si>
  <si>
    <t xml:space="preserve">Rozpočet na rok 2016 </t>
  </si>
  <si>
    <t>rezerva - PO</t>
  </si>
  <si>
    <t>průmyslová zóna Kvasiny III.</t>
  </si>
  <si>
    <t>mimořádné účelové příspěvky na provoz PO</t>
  </si>
  <si>
    <t xml:space="preserve">               - individuální dotace</t>
  </si>
  <si>
    <t xml:space="preserve">  v tom: kapitálové výdaje odvětví</t>
  </si>
  <si>
    <t>sdílené daně</t>
  </si>
  <si>
    <t>správní poplatky</t>
  </si>
  <si>
    <t>Moder. a dostavba ON Náchod (2016úvěr 280,6+50)</t>
  </si>
  <si>
    <t>Saldo příjmů a výdajů</t>
  </si>
  <si>
    <t xml:space="preserve">kofinancování a předfinancování </t>
  </si>
  <si>
    <t xml:space="preserve">ostatní běžné výdaje   </t>
  </si>
  <si>
    <t>příspěvek PO na provoz-CIRI-sdíl.služby</t>
  </si>
  <si>
    <t>neinvestiční transfery a.s .- ZOO DKNL</t>
  </si>
  <si>
    <t xml:space="preserve">                           - CIRI</t>
  </si>
  <si>
    <t xml:space="preserve">Rozpočet na rok 2017 </t>
  </si>
  <si>
    <t>splátky úvěrů</t>
  </si>
  <si>
    <t>(tis. Kč)</t>
  </si>
  <si>
    <t>schváleno 12. 9. 2016,  usn. č. ZK/31/2129/2016, 
v souladu s usnesením byla zapracována změna souhrnného dotačního vztahu o + 5 048,4 tis. Kč do neinvestičních dotací ze SR v příjmech a do rezervy kraje ve výdajích</t>
  </si>
  <si>
    <t xml:space="preserve">Bilance příjmů a výdajů rozpočtu Královéhradeckého kraje  
na rok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</si>
</sst>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\ _K_č"/>
    <numFmt numFmtId="165" formatCode="_-* #,##0.0\ _K_č_-;\-* #,##0.0\ _K_č_-;_-* &quot;-&quot;??\ _K_č_-;_-@_-"/>
  </numFmts>
  <fonts count="19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sz val="10"/>
      <color indexed="10"/>
      <name val="Arial CE"/>
      <charset val="238"/>
    </font>
    <font>
      <sz val="8"/>
      <color rgb="FFFF0000"/>
      <name val="Arial CE"/>
      <charset val="238"/>
    </font>
    <font>
      <sz val="9"/>
      <name val="Arial CE"/>
      <family val="2"/>
      <charset val="238"/>
    </font>
    <font>
      <sz val="7"/>
      <color rgb="FFFF0000"/>
      <name val="Arial CE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10"/>
      <color rgb="FFFF0000"/>
      <name val="Arial CE"/>
      <charset val="238"/>
    </font>
    <font>
      <sz val="9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3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0">
    <xf numFmtId="3" fontId="0" fillId="0" borderId="0" xfId="0"/>
    <xf numFmtId="3" fontId="3" fillId="0" borderId="2" xfId="0" applyFont="1" applyFill="1" applyBorder="1" applyAlignment="1">
      <alignment horizontal="center" vertical="center"/>
    </xf>
    <xf numFmtId="3" fontId="3" fillId="0" borderId="3" xfId="0" applyFont="1" applyFill="1" applyBorder="1" applyAlignment="1">
      <alignment horizontal="left" vertical="center"/>
    </xf>
    <xf numFmtId="3" fontId="5" fillId="0" borderId="3" xfId="0" applyFont="1" applyFill="1" applyBorder="1"/>
    <xf numFmtId="3" fontId="6" fillId="0" borderId="3" xfId="0" applyFont="1" applyFill="1" applyBorder="1"/>
    <xf numFmtId="3" fontId="3" fillId="0" borderId="3" xfId="0" applyFont="1" applyFill="1" applyBorder="1"/>
    <xf numFmtId="3" fontId="8" fillId="0" borderId="3" xfId="0" applyFont="1" applyFill="1" applyBorder="1"/>
    <xf numFmtId="3" fontId="6" fillId="0" borderId="6" xfId="0" applyFont="1" applyFill="1" applyBorder="1"/>
    <xf numFmtId="3" fontId="11" fillId="0" borderId="3" xfId="0" applyFont="1" applyFill="1" applyBorder="1"/>
    <xf numFmtId="3" fontId="11" fillId="0" borderId="6" xfId="0" applyFont="1" applyFill="1" applyBorder="1"/>
    <xf numFmtId="3" fontId="13" fillId="0" borderId="3" xfId="0" applyFont="1" applyFill="1" applyBorder="1"/>
    <xf numFmtId="3" fontId="3" fillId="0" borderId="5" xfId="0" applyFont="1" applyFill="1" applyBorder="1" applyAlignment="1">
      <alignment vertical="center"/>
    </xf>
    <xf numFmtId="3" fontId="3" fillId="0" borderId="3" xfId="0" applyFont="1" applyFill="1" applyBorder="1" applyAlignment="1">
      <alignment vertical="center"/>
    </xf>
    <xf numFmtId="3" fontId="6" fillId="0" borderId="3" xfId="0" applyFont="1" applyFill="1" applyBorder="1" applyAlignment="1">
      <alignment vertical="center"/>
    </xf>
    <xf numFmtId="3" fontId="6" fillId="0" borderId="7" xfId="0" applyFont="1" applyFill="1" applyBorder="1" applyAlignment="1">
      <alignment vertical="center"/>
    </xf>
    <xf numFmtId="3" fontId="6" fillId="0" borderId="0" xfId="0" applyFont="1" applyFill="1" applyBorder="1" applyAlignment="1">
      <alignment vertical="center"/>
    </xf>
    <xf numFmtId="3" fontId="2" fillId="0" borderId="0" xfId="0" applyFont="1" applyFill="1" applyBorder="1" applyAlignment="1">
      <alignment vertical="center"/>
    </xf>
    <xf numFmtId="3" fontId="1" fillId="0" borderId="0" xfId="0" applyFont="1"/>
    <xf numFmtId="3" fontId="6" fillId="0" borderId="7" xfId="0" applyFont="1" applyFill="1" applyBorder="1"/>
    <xf numFmtId="3" fontId="16" fillId="0" borderId="3" xfId="0" applyFont="1" applyFill="1" applyBorder="1"/>
    <xf numFmtId="3" fontId="7" fillId="2" borderId="4" xfId="0" applyFont="1" applyFill="1" applyBorder="1" applyAlignment="1">
      <alignment vertical="center"/>
    </xf>
    <xf numFmtId="3" fontId="3" fillId="4" borderId="3" xfId="0" applyFont="1" applyFill="1" applyBorder="1"/>
    <xf numFmtId="3" fontId="7" fillId="3" borderId="3" xfId="0" applyFont="1" applyFill="1" applyBorder="1" applyAlignment="1">
      <alignment vertical="center"/>
    </xf>
    <xf numFmtId="3" fontId="3" fillId="4" borderId="3" xfId="0" applyFont="1" applyFill="1" applyBorder="1" applyAlignment="1">
      <alignment wrapText="1"/>
    </xf>
    <xf numFmtId="3" fontId="8" fillId="0" borderId="6" xfId="0" applyFont="1" applyFill="1" applyBorder="1"/>
    <xf numFmtId="164" fontId="15" fillId="0" borderId="3" xfId="0" applyNumberFormat="1" applyFont="1" applyBorder="1"/>
    <xf numFmtId="3" fontId="14" fillId="0" borderId="3" xfId="0" applyFont="1" applyFill="1" applyBorder="1"/>
    <xf numFmtId="164" fontId="4" fillId="5" borderId="2" xfId="2" applyNumberFormat="1" applyFont="1" applyFill="1" applyBorder="1" applyAlignment="1">
      <alignment horizontal="center" vertical="center" wrapText="1"/>
    </xf>
    <xf numFmtId="3" fontId="11" fillId="0" borderId="3" xfId="0" applyFont="1" applyFill="1" applyBorder="1" applyAlignment="1">
      <alignment wrapText="1"/>
    </xf>
    <xf numFmtId="3" fontId="13" fillId="0" borderId="3" xfId="0" applyFont="1" applyFill="1" applyBorder="1" applyAlignment="1">
      <alignment wrapText="1"/>
    </xf>
    <xf numFmtId="164" fontId="4" fillId="6" borderId="2" xfId="2" applyNumberFormat="1" applyFont="1" applyFill="1" applyBorder="1" applyAlignment="1">
      <alignment horizontal="center" vertical="center" wrapText="1"/>
    </xf>
    <xf numFmtId="3" fontId="18" fillId="4" borderId="3" xfId="0" applyFont="1" applyFill="1" applyBorder="1"/>
    <xf numFmtId="165" fontId="3" fillId="0" borderId="3" xfId="1" applyNumberFormat="1" applyFont="1" applyFill="1" applyBorder="1"/>
    <xf numFmtId="165" fontId="1" fillId="0" borderId="3" xfId="1" applyNumberFormat="1" applyFont="1" applyFill="1" applyBorder="1"/>
    <xf numFmtId="165" fontId="3" fillId="2" borderId="4" xfId="1" applyNumberFormat="1" applyFont="1" applyFill="1" applyBorder="1" applyAlignment="1">
      <alignment vertical="center"/>
    </xf>
    <xf numFmtId="165" fontId="0" fillId="0" borderId="3" xfId="1" applyNumberFormat="1" applyFont="1" applyBorder="1"/>
    <xf numFmtId="165" fontId="3" fillId="4" borderId="3" xfId="1" applyNumberFormat="1" applyFont="1" applyFill="1" applyBorder="1"/>
    <xf numFmtId="165" fontId="8" fillId="0" borderId="3" xfId="1" applyNumberFormat="1" applyFont="1" applyFill="1" applyBorder="1"/>
    <xf numFmtId="165" fontId="8" fillId="0" borderId="6" xfId="1" applyNumberFormat="1" applyFont="1" applyFill="1" applyBorder="1"/>
    <xf numFmtId="165" fontId="1" fillId="0" borderId="6" xfId="1" applyNumberFormat="1" applyFont="1" applyFill="1" applyBorder="1"/>
    <xf numFmtId="165" fontId="14" fillId="0" borderId="6" xfId="1" applyNumberFormat="1" applyFont="1" applyFill="1" applyBorder="1"/>
    <xf numFmtId="165" fontId="0" fillId="0" borderId="3" xfId="1" applyNumberFormat="1" applyFont="1" applyFill="1" applyBorder="1"/>
    <xf numFmtId="165" fontId="6" fillId="0" borderId="3" xfId="1" applyNumberFormat="1" applyFont="1" applyFill="1" applyBorder="1"/>
    <xf numFmtId="165" fontId="6" fillId="0" borderId="6" xfId="1" applyNumberFormat="1" applyFont="1" applyFill="1" applyBorder="1"/>
    <xf numFmtId="165" fontId="12" fillId="0" borderId="3" xfId="1" applyNumberFormat="1" applyFont="1" applyBorder="1"/>
    <xf numFmtId="165" fontId="10" fillId="0" borderId="3" xfId="1" applyNumberFormat="1" applyFont="1" applyBorder="1" applyAlignment="1">
      <alignment horizontal="center"/>
    </xf>
    <xf numFmtId="165" fontId="6" fillId="0" borderId="3" xfId="1" applyNumberFormat="1" applyFont="1" applyFill="1" applyBorder="1" applyAlignment="1"/>
    <xf numFmtId="165" fontId="6" fillId="0" borderId="6" xfId="1" applyNumberFormat="1" applyFont="1" applyFill="1" applyBorder="1" applyAlignment="1"/>
    <xf numFmtId="165" fontId="13" fillId="0" borderId="3" xfId="1" applyNumberFormat="1" applyFont="1" applyFill="1" applyBorder="1"/>
    <xf numFmtId="165" fontId="14" fillId="0" borderId="3" xfId="1" applyNumberFormat="1" applyFont="1" applyFill="1" applyBorder="1"/>
    <xf numFmtId="165" fontId="6" fillId="0" borderId="7" xfId="1" applyNumberFormat="1" applyFont="1" applyFill="1" applyBorder="1"/>
    <xf numFmtId="165" fontId="3" fillId="0" borderId="5" xfId="1" applyNumberFormat="1" applyFont="1" applyFill="1" applyBorder="1" applyAlignment="1">
      <alignment vertical="center"/>
    </xf>
    <xf numFmtId="165" fontId="3" fillId="0" borderId="3" xfId="1" applyNumberFormat="1" applyFont="1" applyFill="1" applyBorder="1" applyAlignment="1">
      <alignment vertical="center"/>
    </xf>
    <xf numFmtId="165" fontId="3" fillId="3" borderId="3" xfId="1" applyNumberFormat="1" applyFont="1" applyFill="1" applyBorder="1" applyAlignment="1">
      <alignment vertical="center"/>
    </xf>
    <xf numFmtId="165" fontId="7" fillId="0" borderId="3" xfId="1" applyNumberFormat="1" applyFont="1" applyFill="1" applyBorder="1" applyAlignment="1">
      <alignment vertical="center"/>
    </xf>
    <xf numFmtId="165" fontId="6" fillId="0" borderId="0" xfId="1" applyNumberFormat="1" applyFont="1" applyFill="1" applyBorder="1"/>
    <xf numFmtId="165" fontId="0" fillId="0" borderId="0" xfId="1" applyNumberFormat="1" applyFont="1"/>
    <xf numFmtId="165" fontId="18" fillId="0" borderId="3" xfId="1" applyNumberFormat="1" applyFont="1" applyFill="1" applyBorder="1"/>
    <xf numFmtId="3" fontId="0" fillId="0" borderId="0" xfId="0" applyAlignment="1">
      <alignment horizontal="right" vertical="top"/>
    </xf>
    <xf numFmtId="164" fontId="4" fillId="7" borderId="2" xfId="2" applyNumberFormat="1" applyFont="1" applyFill="1" applyBorder="1" applyAlignment="1">
      <alignment horizontal="center" vertical="center" wrapText="1"/>
    </xf>
    <xf numFmtId="164" fontId="4" fillId="8" borderId="2" xfId="2" applyNumberFormat="1" applyFont="1" applyFill="1" applyBorder="1" applyAlignment="1">
      <alignment horizontal="center" vertical="center" wrapText="1"/>
    </xf>
    <xf numFmtId="3" fontId="0" fillId="0" borderId="3" xfId="0" applyFont="1" applyFill="1" applyBorder="1"/>
    <xf numFmtId="3" fontId="6" fillId="0" borderId="6" xfId="0" applyFont="1" applyFill="1" applyBorder="1" applyAlignment="1">
      <alignment wrapText="1"/>
    </xf>
    <xf numFmtId="3" fontId="7" fillId="9" borderId="8" xfId="0" applyFont="1" applyFill="1" applyBorder="1" applyAlignment="1">
      <alignment vertical="center"/>
    </xf>
    <xf numFmtId="165" fontId="3" fillId="9" borderId="8" xfId="1" applyNumberFormat="1" applyFont="1" applyFill="1" applyBorder="1" applyAlignment="1">
      <alignment vertical="center"/>
    </xf>
    <xf numFmtId="3" fontId="0" fillId="0" borderId="0" xfId="0" applyFill="1"/>
    <xf numFmtId="165" fontId="6" fillId="0" borderId="7" xfId="1" applyNumberFormat="1" applyFont="1" applyFill="1" applyBorder="1" applyAlignment="1"/>
    <xf numFmtId="3" fontId="15" fillId="0" borderId="0" xfId="0" applyFont="1" applyAlignment="1">
      <alignment vertical="center" wrapText="1"/>
    </xf>
    <xf numFmtId="164" fontId="17" fillId="2" borderId="0" xfId="2" applyFont="1" applyFill="1" applyAlignment="1">
      <alignment horizontal="center" vertical="center" wrapText="1"/>
    </xf>
    <xf numFmtId="3" fontId="0" fillId="0" borderId="1" xfId="0" applyFont="1" applyBorder="1" applyAlignment="1">
      <alignment horizontal="center" vertical="center" wrapText="1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9" defaultPivotStyle="PivotStyleLight16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0"/>
  <sheetViews>
    <sheetView tabSelected="1" zoomScaleNormal="100" zoomScaleSheetLayoutView="100" workbookViewId="0">
      <pane ySplit="4" topLeftCell="A179" activePane="bottomLeft" state="frozen"/>
      <selection pane="bottomLeft" activeCell="H180" sqref="H180"/>
    </sheetView>
  </sheetViews>
  <sheetFormatPr defaultRowHeight="12.75" x14ac:dyDescent="0.2"/>
  <cols>
    <col min="1" max="1" width="49.7109375" customWidth="1"/>
    <col min="2" max="3" width="17.42578125" hidden="1" customWidth="1"/>
    <col min="4" max="4" width="16.7109375" hidden="1" customWidth="1"/>
    <col min="5" max="5" width="21.42578125" customWidth="1"/>
  </cols>
  <sheetData>
    <row r="1" spans="1:5" ht="72.75" customHeight="1" x14ac:dyDescent="0.2">
      <c r="A1" s="67" t="s">
        <v>184</v>
      </c>
      <c r="C1" s="58"/>
      <c r="E1" s="58" t="s">
        <v>164</v>
      </c>
    </row>
    <row r="2" spans="1:5" ht="45.75" customHeight="1" x14ac:dyDescent="0.2">
      <c r="A2" s="68" t="s">
        <v>185</v>
      </c>
      <c r="B2" s="68"/>
      <c r="C2" s="68"/>
      <c r="D2" s="68"/>
      <c r="E2" s="68"/>
    </row>
    <row r="3" spans="1:5" ht="27.75" customHeight="1" thickBot="1" x14ac:dyDescent="0.25">
      <c r="A3" s="69" t="s">
        <v>183</v>
      </c>
      <c r="B3" s="69"/>
      <c r="C3" s="69"/>
      <c r="D3" s="69"/>
      <c r="E3" s="69"/>
    </row>
    <row r="4" spans="1:5" ht="40.5" customHeight="1" thickBot="1" x14ac:dyDescent="0.25">
      <c r="A4" s="1" t="s">
        <v>0</v>
      </c>
      <c r="B4" s="27" t="s">
        <v>160</v>
      </c>
      <c r="C4" s="30" t="s">
        <v>165</v>
      </c>
      <c r="D4" s="60" t="s">
        <v>166</v>
      </c>
      <c r="E4" s="59" t="s">
        <v>181</v>
      </c>
    </row>
    <row r="5" spans="1:5" ht="15" customHeight="1" x14ac:dyDescent="0.2">
      <c r="A5" s="2" t="s">
        <v>1</v>
      </c>
      <c r="B5" s="25"/>
      <c r="C5" s="25"/>
      <c r="D5" s="25"/>
      <c r="E5" s="25"/>
    </row>
    <row r="6" spans="1:5" x14ac:dyDescent="0.2">
      <c r="A6" s="5" t="s">
        <v>2</v>
      </c>
      <c r="B6" s="32">
        <f>3019900</f>
        <v>3019900</v>
      </c>
      <c r="C6" s="32">
        <v>3065000</v>
      </c>
      <c r="D6" s="32">
        <v>3325000</v>
      </c>
      <c r="E6" s="32">
        <f>E8+E9</f>
        <v>3575069</v>
      </c>
    </row>
    <row r="7" spans="1:5" x14ac:dyDescent="0.2">
      <c r="A7" s="3" t="s">
        <v>4</v>
      </c>
      <c r="B7" s="32"/>
      <c r="C7" s="32"/>
      <c r="D7" s="32"/>
      <c r="E7" s="32"/>
    </row>
    <row r="8" spans="1:5" x14ac:dyDescent="0.2">
      <c r="A8" s="61" t="s">
        <v>172</v>
      </c>
      <c r="B8" s="32"/>
      <c r="C8" s="32"/>
      <c r="D8" s="32"/>
      <c r="E8" s="33">
        <f>3375000+180000+4000+15869</f>
        <v>3574869</v>
      </c>
    </row>
    <row r="9" spans="1:5" x14ac:dyDescent="0.2">
      <c r="A9" s="61" t="s">
        <v>173</v>
      </c>
      <c r="B9" s="32"/>
      <c r="C9" s="32"/>
      <c r="D9" s="32"/>
      <c r="E9" s="33">
        <v>200</v>
      </c>
    </row>
    <row r="10" spans="1:5" x14ac:dyDescent="0.2">
      <c r="A10" s="5" t="s">
        <v>3</v>
      </c>
      <c r="B10" s="32">
        <f t="shared" ref="B10:C10" si="0">SUM(B12:B17)</f>
        <v>242944.40000000002</v>
      </c>
      <c r="C10" s="32">
        <f t="shared" si="0"/>
        <v>254216</v>
      </c>
      <c r="D10" s="32">
        <f t="shared" ref="D10" si="1">SUM(D12:D17)</f>
        <v>230629.3</v>
      </c>
      <c r="E10" s="32">
        <f t="shared" ref="E10" si="2">SUM(E12:E17)</f>
        <v>226820.6</v>
      </c>
    </row>
    <row r="11" spans="1:5" ht="9.9499999999999993" customHeight="1" x14ac:dyDescent="0.2">
      <c r="A11" s="3" t="s">
        <v>4</v>
      </c>
      <c r="B11" s="32"/>
      <c r="C11" s="32"/>
      <c r="D11" s="32"/>
      <c r="E11" s="32"/>
    </row>
    <row r="12" spans="1:5" x14ac:dyDescent="0.2">
      <c r="A12" s="4" t="s">
        <v>5</v>
      </c>
      <c r="B12" s="33">
        <v>4000</v>
      </c>
      <c r="C12" s="33">
        <v>4000</v>
      </c>
      <c r="D12" s="33">
        <v>4000</v>
      </c>
      <c r="E12" s="33">
        <v>1500</v>
      </c>
    </row>
    <row r="13" spans="1:5" x14ac:dyDescent="0.2">
      <c r="A13" s="4" t="s">
        <v>6</v>
      </c>
      <c r="B13" s="33">
        <v>45000</v>
      </c>
      <c r="C13" s="33">
        <v>45000</v>
      </c>
      <c r="D13" s="33">
        <v>45000</v>
      </c>
      <c r="E13" s="33">
        <v>45000</v>
      </c>
    </row>
    <row r="14" spans="1:5" hidden="1" x14ac:dyDescent="0.2">
      <c r="A14" s="4" t="s">
        <v>155</v>
      </c>
      <c r="B14" s="33"/>
      <c r="C14" s="33">
        <v>12000</v>
      </c>
      <c r="D14" s="33"/>
      <c r="E14" s="33"/>
    </row>
    <row r="15" spans="1:5" x14ac:dyDescent="0.2">
      <c r="A15" s="4" t="s">
        <v>159</v>
      </c>
      <c r="B15" s="33">
        <v>57525.8</v>
      </c>
      <c r="C15" s="33">
        <v>58369.4</v>
      </c>
      <c r="D15" s="33">
        <v>41363</v>
      </c>
      <c r="E15" s="33">
        <v>40000</v>
      </c>
    </row>
    <row r="16" spans="1:5" x14ac:dyDescent="0.2">
      <c r="A16" s="4" t="s">
        <v>118</v>
      </c>
      <c r="B16" s="33">
        <f>23340.3-2365</f>
        <v>20975.3</v>
      </c>
      <c r="C16" s="33">
        <v>21718.9</v>
      </c>
      <c r="D16" s="33">
        <v>21478.3</v>
      </c>
      <c r="E16" s="33">
        <v>21583.8</v>
      </c>
    </row>
    <row r="17" spans="1:5" x14ac:dyDescent="0.2">
      <c r="A17" s="4" t="s">
        <v>7</v>
      </c>
      <c r="B17" s="33">
        <f t="shared" ref="B17:C17" si="3">SUM(B18:B23)</f>
        <v>115443.3</v>
      </c>
      <c r="C17" s="33">
        <f t="shared" si="3"/>
        <v>113127.7</v>
      </c>
      <c r="D17" s="33">
        <f t="shared" ref="D17:E17" si="4">SUM(D18:D23)</f>
        <v>118788</v>
      </c>
      <c r="E17" s="33">
        <f t="shared" si="4"/>
        <v>118736.8</v>
      </c>
    </row>
    <row r="18" spans="1:5" x14ac:dyDescent="0.2">
      <c r="A18" s="4" t="s">
        <v>8</v>
      </c>
      <c r="B18" s="33">
        <v>40481</v>
      </c>
      <c r="C18" s="33">
        <v>40481</v>
      </c>
      <c r="D18" s="33">
        <v>40481</v>
      </c>
      <c r="E18" s="33">
        <f>40481+2515</f>
        <v>42996</v>
      </c>
    </row>
    <row r="19" spans="1:5" x14ac:dyDescent="0.2">
      <c r="A19" s="4" t="s">
        <v>95</v>
      </c>
      <c r="B19" s="33">
        <f>8810+468</f>
        <v>9278</v>
      </c>
      <c r="C19" s="33">
        <v>8476</v>
      </c>
      <c r="D19" s="33">
        <v>8457</v>
      </c>
      <c r="E19" s="33">
        <v>8354.5</v>
      </c>
    </row>
    <row r="20" spans="1:5" x14ac:dyDescent="0.2">
      <c r="A20" s="4" t="s">
        <v>9</v>
      </c>
      <c r="B20" s="33">
        <v>21188</v>
      </c>
      <c r="C20" s="33">
        <v>19812</v>
      </c>
      <c r="D20" s="33">
        <v>24582</v>
      </c>
      <c r="E20" s="33">
        <v>22167</v>
      </c>
    </row>
    <row r="21" spans="1:5" x14ac:dyDescent="0.2">
      <c r="A21" s="4" t="s">
        <v>10</v>
      </c>
      <c r="B21" s="33">
        <v>10477.299999999999</v>
      </c>
      <c r="C21" s="33">
        <f>16182-5874.3</f>
        <v>10307.700000000001</v>
      </c>
      <c r="D21" s="33">
        <v>11340</v>
      </c>
      <c r="E21" s="33">
        <v>11173.3</v>
      </c>
    </row>
    <row r="22" spans="1:5" x14ac:dyDescent="0.2">
      <c r="A22" s="4" t="s">
        <v>161</v>
      </c>
      <c r="B22" s="33"/>
      <c r="C22" s="33">
        <v>355</v>
      </c>
      <c r="D22" s="33">
        <v>232</v>
      </c>
      <c r="E22" s="33">
        <v>350</v>
      </c>
    </row>
    <row r="23" spans="1:5" x14ac:dyDescent="0.2">
      <c r="A23" s="4" t="s">
        <v>11</v>
      </c>
      <c r="B23" s="33">
        <v>34019</v>
      </c>
      <c r="C23" s="33">
        <v>33696</v>
      </c>
      <c r="D23" s="33">
        <v>33696</v>
      </c>
      <c r="E23" s="33">
        <v>33696</v>
      </c>
    </row>
    <row r="24" spans="1:5" x14ac:dyDescent="0.2">
      <c r="A24" s="5" t="s">
        <v>125</v>
      </c>
      <c r="B24" s="32">
        <v>0</v>
      </c>
      <c r="C24" s="32">
        <v>15000</v>
      </c>
      <c r="D24" s="32">
        <v>15000</v>
      </c>
      <c r="E24" s="32">
        <v>15000</v>
      </c>
    </row>
    <row r="25" spans="1:5" x14ac:dyDescent="0.2">
      <c r="A25" s="5" t="s">
        <v>152</v>
      </c>
      <c r="B25" s="32">
        <f t="shared" ref="B25:C25" si="5">SUM(B27:B29)</f>
        <v>72738</v>
      </c>
      <c r="C25" s="32">
        <f t="shared" si="5"/>
        <v>98738</v>
      </c>
      <c r="D25" s="32">
        <f t="shared" ref="D25" si="6">SUM(D27:D29)</f>
        <v>74899</v>
      </c>
      <c r="E25" s="32">
        <f t="shared" ref="E25" si="7">SUM(E27:E29)</f>
        <v>79947.399999999994</v>
      </c>
    </row>
    <row r="26" spans="1:5" ht="9.9499999999999993" customHeight="1" x14ac:dyDescent="0.2">
      <c r="A26" s="3" t="s">
        <v>12</v>
      </c>
      <c r="B26" s="32"/>
      <c r="C26" s="32"/>
      <c r="D26" s="32"/>
      <c r="E26" s="32"/>
    </row>
    <row r="27" spans="1:5" x14ac:dyDescent="0.2">
      <c r="A27" s="4" t="s">
        <v>13</v>
      </c>
      <c r="B27" s="33">
        <f>72303+185</f>
        <v>72488</v>
      </c>
      <c r="C27" s="33">
        <f>72303+185</f>
        <v>72488</v>
      </c>
      <c r="D27" s="33">
        <v>74649</v>
      </c>
      <c r="E27" s="33">
        <f>74649+5048.4</f>
        <v>79697.399999999994</v>
      </c>
    </row>
    <row r="28" spans="1:5" ht="13.5" thickBot="1" x14ac:dyDescent="0.25">
      <c r="A28" s="4" t="s">
        <v>153</v>
      </c>
      <c r="B28" s="33">
        <v>250</v>
      </c>
      <c r="C28" s="33">
        <v>250</v>
      </c>
      <c r="D28" s="33">
        <v>250</v>
      </c>
      <c r="E28" s="33">
        <v>250</v>
      </c>
    </row>
    <row r="29" spans="1:5" ht="13.5" hidden="1" thickBot="1" x14ac:dyDescent="0.25">
      <c r="A29" s="4" t="s">
        <v>154</v>
      </c>
      <c r="B29" s="33">
        <v>0</v>
      </c>
      <c r="C29" s="33">
        <v>26000</v>
      </c>
      <c r="D29" s="33"/>
      <c r="E29" s="33"/>
    </row>
    <row r="30" spans="1:5" ht="21.75" customHeight="1" thickBot="1" x14ac:dyDescent="0.25">
      <c r="A30" s="20" t="s">
        <v>14</v>
      </c>
      <c r="B30" s="34">
        <f>B6+B10+B25+B24</f>
        <v>3335582.4</v>
      </c>
      <c r="C30" s="34">
        <f>C6+C10+C25+C24</f>
        <v>3432954</v>
      </c>
      <c r="D30" s="34">
        <f>D6+D10+D25+D24</f>
        <v>3645528.3</v>
      </c>
      <c r="E30" s="34">
        <f>E6+E10+E25+E24</f>
        <v>3896837</v>
      </c>
    </row>
    <row r="31" spans="1:5" ht="21" customHeight="1" thickTop="1" x14ac:dyDescent="0.2">
      <c r="A31" s="5" t="s">
        <v>15</v>
      </c>
      <c r="B31" s="35"/>
      <c r="C31" s="35"/>
      <c r="D31" s="35"/>
      <c r="E31" s="35"/>
    </row>
    <row r="32" spans="1:5" ht="20.100000000000001" customHeight="1" x14ac:dyDescent="0.2">
      <c r="A32" s="21" t="s">
        <v>16</v>
      </c>
      <c r="B32" s="36">
        <f t="shared" ref="B32:D32" si="8">B33+B42</f>
        <v>42415</v>
      </c>
      <c r="C32" s="36">
        <f t="shared" si="8"/>
        <v>40524.6</v>
      </c>
      <c r="D32" s="36">
        <f t="shared" si="8"/>
        <v>51762.3</v>
      </c>
      <c r="E32" s="36">
        <f t="shared" ref="E32" si="9">E33+E42</f>
        <v>46742</v>
      </c>
    </row>
    <row r="33" spans="1:5" ht="15" customHeight="1" x14ac:dyDescent="0.2">
      <c r="A33" s="6" t="s">
        <v>17</v>
      </c>
      <c r="B33" s="37">
        <f>SUM(B35:B41)</f>
        <v>42415</v>
      </c>
      <c r="C33" s="37">
        <f>SUM(C35:C41)</f>
        <v>40524.6</v>
      </c>
      <c r="D33" s="37">
        <f>SUM(D35:D41)</f>
        <v>51762.3</v>
      </c>
      <c r="E33" s="37">
        <f>SUM(E35:E41)</f>
        <v>46742</v>
      </c>
    </row>
    <row r="34" spans="1:5" ht="11.1" customHeight="1" x14ac:dyDescent="0.2">
      <c r="A34" s="3" t="s">
        <v>12</v>
      </c>
      <c r="B34" s="35"/>
      <c r="C34" s="35"/>
      <c r="D34" s="35"/>
      <c r="E34" s="35"/>
    </row>
    <row r="35" spans="1:5" ht="12.75" customHeight="1" x14ac:dyDescent="0.2">
      <c r="A35" s="4" t="s">
        <v>18</v>
      </c>
      <c r="B35" s="33">
        <v>16210</v>
      </c>
      <c r="C35" s="33">
        <v>16411.3</v>
      </c>
      <c r="D35" s="33">
        <v>17854.400000000001</v>
      </c>
      <c r="E35" s="33">
        <v>17854.5</v>
      </c>
    </row>
    <row r="36" spans="1:5" ht="12.75" customHeight="1" x14ac:dyDescent="0.2">
      <c r="A36" s="4" t="s">
        <v>115</v>
      </c>
      <c r="B36" s="33">
        <v>3679</v>
      </c>
      <c r="C36" s="33">
        <v>3843.5</v>
      </c>
      <c r="D36" s="33">
        <v>4208.8999999999996</v>
      </c>
      <c r="E36" s="33">
        <v>4209</v>
      </c>
    </row>
    <row r="37" spans="1:5" ht="12.75" customHeight="1" x14ac:dyDescent="0.2">
      <c r="A37" s="4" t="s">
        <v>19</v>
      </c>
      <c r="B37" s="33">
        <v>1100</v>
      </c>
      <c r="C37" s="33">
        <v>1100</v>
      </c>
      <c r="D37" s="33">
        <v>1100</v>
      </c>
      <c r="E37" s="33">
        <v>1100</v>
      </c>
    </row>
    <row r="38" spans="1:5" ht="12.75" customHeight="1" x14ac:dyDescent="0.2">
      <c r="A38" s="4" t="s">
        <v>20</v>
      </c>
      <c r="B38" s="33">
        <f>11726-1500-400+1500</f>
        <v>11326</v>
      </c>
      <c r="C38" s="33">
        <f>9794+7.9-6.1</f>
        <v>9795.7999999999993</v>
      </c>
      <c r="D38" s="33">
        <v>19225</v>
      </c>
      <c r="E38" s="33">
        <f>16945+259.5</f>
        <v>17204.5</v>
      </c>
    </row>
    <row r="39" spans="1:5" ht="12.75" customHeight="1" x14ac:dyDescent="0.2">
      <c r="A39" s="4" t="s">
        <v>101</v>
      </c>
      <c r="B39" s="33">
        <v>500</v>
      </c>
      <c r="C39" s="33">
        <v>500</v>
      </c>
      <c r="D39" s="33">
        <v>500</v>
      </c>
      <c r="E39" s="33">
        <v>500</v>
      </c>
    </row>
    <row r="40" spans="1:5" ht="12.75" hidden="1" customHeight="1" x14ac:dyDescent="0.2">
      <c r="A40" s="4" t="s">
        <v>117</v>
      </c>
      <c r="B40" s="33"/>
      <c r="C40" s="33"/>
      <c r="D40" s="33"/>
      <c r="E40" s="33"/>
    </row>
    <row r="41" spans="1:5" ht="12.75" customHeight="1" x14ac:dyDescent="0.2">
      <c r="A41" s="4" t="s">
        <v>21</v>
      </c>
      <c r="B41" s="33">
        <v>9600</v>
      </c>
      <c r="C41" s="33">
        <v>8874</v>
      </c>
      <c r="D41" s="33">
        <v>8874</v>
      </c>
      <c r="E41" s="33">
        <v>5874</v>
      </c>
    </row>
    <row r="42" spans="1:5" ht="12.75" customHeight="1" x14ac:dyDescent="0.2">
      <c r="A42" s="24" t="s">
        <v>22</v>
      </c>
      <c r="B42" s="38">
        <f t="shared" ref="B42:C42" si="10">B45+B44</f>
        <v>0</v>
      </c>
      <c r="C42" s="38">
        <f t="shared" si="10"/>
        <v>0</v>
      </c>
      <c r="D42" s="38">
        <f t="shared" ref="D42" si="11">D45+D44</f>
        <v>0</v>
      </c>
      <c r="E42" s="38">
        <f t="shared" ref="E42" si="12">E45+E44</f>
        <v>0</v>
      </c>
    </row>
    <row r="43" spans="1:5" ht="9" hidden="1" customHeight="1" x14ac:dyDescent="0.2">
      <c r="A43" s="3" t="s">
        <v>12</v>
      </c>
      <c r="B43" s="35"/>
      <c r="C43" s="35"/>
      <c r="D43" s="35"/>
      <c r="E43" s="35"/>
    </row>
    <row r="44" spans="1:5" ht="12.75" hidden="1" customHeight="1" x14ac:dyDescent="0.2">
      <c r="A44" s="4" t="s">
        <v>21</v>
      </c>
      <c r="B44" s="35"/>
      <c r="C44" s="35"/>
      <c r="D44" s="35"/>
      <c r="E44" s="35"/>
    </row>
    <row r="45" spans="1:5" ht="12.75" hidden="1" customHeight="1" x14ac:dyDescent="0.2">
      <c r="A45" s="7" t="s">
        <v>104</v>
      </c>
      <c r="B45" s="39"/>
      <c r="C45" s="39"/>
      <c r="D45" s="39"/>
      <c r="E45" s="39"/>
    </row>
    <row r="46" spans="1:5" ht="20.100000000000001" customHeight="1" x14ac:dyDescent="0.2">
      <c r="A46" s="21" t="s">
        <v>23</v>
      </c>
      <c r="B46" s="36">
        <f t="shared" ref="B46:C46" si="13">B47+B56</f>
        <v>288944.59999999998</v>
      </c>
      <c r="C46" s="36">
        <f t="shared" si="13"/>
        <v>300137.09999999998</v>
      </c>
      <c r="D46" s="36">
        <f t="shared" ref="D46" si="14">D47+D56</f>
        <v>321211.5</v>
      </c>
      <c r="E46" s="36">
        <f t="shared" ref="E46" si="15">E47+E56</f>
        <v>335211.19999999995</v>
      </c>
    </row>
    <row r="47" spans="1:5" ht="15" customHeight="1" x14ac:dyDescent="0.2">
      <c r="A47" s="6" t="s">
        <v>81</v>
      </c>
      <c r="B47" s="37">
        <f t="shared" ref="B47:C47" si="16">SUM(B49:B55)</f>
        <v>288944.59999999998</v>
      </c>
      <c r="C47" s="37">
        <f t="shared" si="16"/>
        <v>300137.09999999998</v>
      </c>
      <c r="D47" s="37">
        <f t="shared" ref="D47" si="17">SUM(D49:D55)</f>
        <v>321211.5</v>
      </c>
      <c r="E47" s="37">
        <f t="shared" ref="E47" si="18">SUM(E49:E55)</f>
        <v>335211.19999999995</v>
      </c>
    </row>
    <row r="48" spans="1:5" ht="11.1" customHeight="1" x14ac:dyDescent="0.2">
      <c r="A48" s="3" t="s">
        <v>12</v>
      </c>
      <c r="B48" s="35"/>
      <c r="C48" s="35"/>
      <c r="D48" s="35"/>
      <c r="E48" s="35"/>
    </row>
    <row r="49" spans="1:5" ht="12.75" customHeight="1" x14ac:dyDescent="0.2">
      <c r="A49" s="4" t="s">
        <v>116</v>
      </c>
      <c r="B49" s="33">
        <v>141505.4</v>
      </c>
      <c r="C49" s="33">
        <v>149660.6</v>
      </c>
      <c r="D49" s="33">
        <v>163347.29999999999</v>
      </c>
      <c r="E49" s="33">
        <v>166947.29999999999</v>
      </c>
    </row>
    <row r="50" spans="1:5" ht="12.75" customHeight="1" x14ac:dyDescent="0.2">
      <c r="A50" s="4" t="s">
        <v>115</v>
      </c>
      <c r="B50" s="33">
        <v>47674.400000000001</v>
      </c>
      <c r="C50" s="33">
        <v>50501.5</v>
      </c>
      <c r="D50" s="33">
        <v>55659.6</v>
      </c>
      <c r="E50" s="33">
        <v>56898.9</v>
      </c>
    </row>
    <row r="51" spans="1:5" ht="12.75" customHeight="1" x14ac:dyDescent="0.2">
      <c r="A51" s="4" t="s">
        <v>24</v>
      </c>
      <c r="B51" s="33">
        <v>200</v>
      </c>
      <c r="C51" s="33">
        <v>200</v>
      </c>
      <c r="D51" s="33">
        <v>200</v>
      </c>
      <c r="E51" s="33">
        <v>200</v>
      </c>
    </row>
    <row r="52" spans="1:5" ht="12.75" customHeight="1" x14ac:dyDescent="0.2">
      <c r="A52" s="4" t="s">
        <v>20</v>
      </c>
      <c r="B52" s="33">
        <f>40439.7+76.1</f>
        <v>40515.799999999996</v>
      </c>
      <c r="C52" s="33">
        <f>40439.7+144-14.9+44-24.1+111+26.3</f>
        <v>40726</v>
      </c>
      <c r="D52" s="33">
        <v>42471.6</v>
      </c>
      <c r="E52" s="33">
        <f>24084+19813+5641.4+500</f>
        <v>50038.400000000001</v>
      </c>
    </row>
    <row r="53" spans="1:5" ht="12.75" customHeight="1" x14ac:dyDescent="0.2">
      <c r="A53" s="4" t="s">
        <v>25</v>
      </c>
      <c r="B53" s="33">
        <f>60897-2000</f>
        <v>58897</v>
      </c>
      <c r="C53" s="33">
        <f>60897-2000</f>
        <v>58897</v>
      </c>
      <c r="D53" s="33">
        <v>58897</v>
      </c>
      <c r="E53" s="33">
        <v>60774.6</v>
      </c>
    </row>
    <row r="54" spans="1:5" ht="12.75" customHeight="1" x14ac:dyDescent="0.2">
      <c r="A54" s="4" t="s">
        <v>26</v>
      </c>
      <c r="B54" s="33">
        <v>152</v>
      </c>
      <c r="C54" s="33">
        <v>152</v>
      </c>
      <c r="D54" s="33">
        <v>636</v>
      </c>
      <c r="E54" s="33">
        <v>352</v>
      </c>
    </row>
    <row r="55" spans="1:5" ht="12.75" hidden="1" customHeight="1" x14ac:dyDescent="0.2">
      <c r="A55" s="4" t="s">
        <v>27</v>
      </c>
      <c r="B55" s="33"/>
      <c r="C55" s="33"/>
      <c r="D55" s="33"/>
      <c r="E55" s="33"/>
    </row>
    <row r="56" spans="1:5" ht="12.75" customHeight="1" x14ac:dyDescent="0.2">
      <c r="A56" s="24" t="s">
        <v>22</v>
      </c>
      <c r="B56" s="40">
        <f t="shared" ref="B56:C56" si="19">B58</f>
        <v>0</v>
      </c>
      <c r="C56" s="40">
        <f t="shared" si="19"/>
        <v>0</v>
      </c>
      <c r="D56" s="40">
        <f t="shared" ref="D56" si="20">D58</f>
        <v>0</v>
      </c>
      <c r="E56" s="40">
        <f t="shared" ref="E56" si="21">E58</f>
        <v>0</v>
      </c>
    </row>
    <row r="57" spans="1:5" ht="9" hidden="1" customHeight="1" x14ac:dyDescent="0.2">
      <c r="A57" s="3" t="s">
        <v>12</v>
      </c>
      <c r="B57" s="33"/>
      <c r="C57" s="33"/>
      <c r="D57" s="33"/>
      <c r="E57" s="33"/>
    </row>
    <row r="58" spans="1:5" ht="12.75" hidden="1" customHeight="1" x14ac:dyDescent="0.2">
      <c r="A58" s="7" t="s">
        <v>29</v>
      </c>
      <c r="B58" s="39"/>
      <c r="C58" s="39"/>
      <c r="D58" s="39"/>
      <c r="E58" s="39"/>
    </row>
    <row r="59" spans="1:5" ht="18.95" customHeight="1" x14ac:dyDescent="0.2">
      <c r="A59" s="21" t="s">
        <v>150</v>
      </c>
      <c r="B59" s="36">
        <f t="shared" ref="B59:C59" si="22">B60+B64</f>
        <v>68545.7</v>
      </c>
      <c r="C59" s="36">
        <f t="shared" si="22"/>
        <v>63545.7</v>
      </c>
      <c r="D59" s="36">
        <f t="shared" ref="D59" si="23">D60+D64</f>
        <v>63980</v>
      </c>
      <c r="E59" s="36">
        <f t="shared" ref="E59" si="24">E60+E64</f>
        <v>64180</v>
      </c>
    </row>
    <row r="60" spans="1:5" ht="15" customHeight="1" x14ac:dyDescent="0.2">
      <c r="A60" s="6" t="s">
        <v>17</v>
      </c>
      <c r="B60" s="37">
        <f t="shared" ref="B60:C60" si="25">SUM(B62:B63)</f>
        <v>23545.7</v>
      </c>
      <c r="C60" s="37">
        <f t="shared" si="25"/>
        <v>18545.7</v>
      </c>
      <c r="D60" s="37">
        <f t="shared" ref="D60" si="26">SUM(D62:D63)</f>
        <v>18980</v>
      </c>
      <c r="E60" s="37">
        <f t="shared" ref="E60" si="27">SUM(E62:E63)</f>
        <v>19180</v>
      </c>
    </row>
    <row r="61" spans="1:5" ht="11.1" customHeight="1" x14ac:dyDescent="0.2">
      <c r="A61" s="3" t="s">
        <v>12</v>
      </c>
      <c r="B61" s="35"/>
      <c r="C61" s="35"/>
      <c r="D61" s="35"/>
      <c r="E61" s="35"/>
    </row>
    <row r="62" spans="1:5" ht="15" customHeight="1" x14ac:dyDescent="0.2">
      <c r="A62" s="4" t="s">
        <v>20</v>
      </c>
      <c r="B62" s="33">
        <f>18245.7+5300</f>
        <v>23545.7</v>
      </c>
      <c r="C62" s="33">
        <f>18245.7+5300-5000</f>
        <v>18545.7</v>
      </c>
      <c r="D62" s="33">
        <v>18980</v>
      </c>
      <c r="E62" s="33">
        <f>64180-45000</f>
        <v>19180</v>
      </c>
    </row>
    <row r="63" spans="1:5" ht="14.25" hidden="1" customHeight="1" x14ac:dyDescent="0.2">
      <c r="A63" s="4" t="s">
        <v>148</v>
      </c>
      <c r="B63" s="33"/>
      <c r="C63" s="33"/>
      <c r="D63" s="33"/>
      <c r="E63" s="33"/>
    </row>
    <row r="64" spans="1:5" ht="15" customHeight="1" x14ac:dyDescent="0.2">
      <c r="A64" s="6" t="s">
        <v>22</v>
      </c>
      <c r="B64" s="37">
        <f t="shared" ref="B64:C64" si="28">SUM(B66:B68)</f>
        <v>45000</v>
      </c>
      <c r="C64" s="37">
        <f t="shared" si="28"/>
        <v>45000</v>
      </c>
      <c r="D64" s="37">
        <f t="shared" ref="D64" si="29">SUM(D66:D68)</f>
        <v>45000</v>
      </c>
      <c r="E64" s="37">
        <f t="shared" ref="E64" si="30">SUM(E66:E68)</f>
        <v>45000</v>
      </c>
    </row>
    <row r="65" spans="1:5" ht="11.1" customHeight="1" x14ac:dyDescent="0.2">
      <c r="A65" s="3" t="s">
        <v>12</v>
      </c>
      <c r="B65" s="35"/>
      <c r="C65" s="35"/>
      <c r="D65" s="35"/>
      <c r="E65" s="35"/>
    </row>
    <row r="66" spans="1:5" ht="12.75" customHeight="1" x14ac:dyDescent="0.2">
      <c r="A66" s="7" t="s">
        <v>28</v>
      </c>
      <c r="B66" s="39">
        <v>45000</v>
      </c>
      <c r="C66" s="39">
        <v>45000</v>
      </c>
      <c r="D66" s="39">
        <v>45000</v>
      </c>
      <c r="E66" s="39">
        <v>45000</v>
      </c>
    </row>
    <row r="67" spans="1:5" ht="12.75" hidden="1" customHeight="1" x14ac:dyDescent="0.2">
      <c r="A67" s="4" t="s">
        <v>84</v>
      </c>
      <c r="B67" s="33"/>
      <c r="C67" s="33"/>
      <c r="D67" s="33"/>
      <c r="E67" s="33"/>
    </row>
    <row r="68" spans="1:5" ht="12.75" hidden="1" customHeight="1" x14ac:dyDescent="0.2">
      <c r="A68" s="7" t="s">
        <v>29</v>
      </c>
      <c r="B68" s="39"/>
      <c r="C68" s="39"/>
      <c r="D68" s="39"/>
      <c r="E68" s="39"/>
    </row>
    <row r="69" spans="1:5" ht="18.95" customHeight="1" x14ac:dyDescent="0.2">
      <c r="A69" s="21" t="s">
        <v>30</v>
      </c>
      <c r="B69" s="36">
        <f t="shared" ref="B69:C69" si="31">B70+B74</f>
        <v>6305</v>
      </c>
      <c r="C69" s="36">
        <f t="shared" si="31"/>
        <v>7660</v>
      </c>
      <c r="D69" s="36">
        <f t="shared" ref="D69" si="32">D70+D74</f>
        <v>7660</v>
      </c>
      <c r="E69" s="36">
        <f t="shared" ref="E69" si="33">E70+E74</f>
        <v>7660</v>
      </c>
    </row>
    <row r="70" spans="1:5" ht="14.25" customHeight="1" x14ac:dyDescent="0.2">
      <c r="A70" s="6" t="s">
        <v>17</v>
      </c>
      <c r="B70" s="37">
        <f t="shared" ref="B70:C70" si="34">B73+B72</f>
        <v>6305</v>
      </c>
      <c r="C70" s="37">
        <f t="shared" si="34"/>
        <v>7660</v>
      </c>
      <c r="D70" s="37">
        <f t="shared" ref="D70" si="35">D73+D72</f>
        <v>7660</v>
      </c>
      <c r="E70" s="37">
        <f t="shared" ref="E70" si="36">E73+E72</f>
        <v>7660</v>
      </c>
    </row>
    <row r="71" spans="1:5" ht="10.5" customHeight="1" x14ac:dyDescent="0.2">
      <c r="A71" s="3" t="s">
        <v>12</v>
      </c>
      <c r="B71" s="35"/>
      <c r="C71" s="35"/>
      <c r="D71" s="35"/>
      <c r="E71" s="35"/>
    </row>
    <row r="72" spans="1:5" ht="12.75" hidden="1" customHeight="1" x14ac:dyDescent="0.2">
      <c r="A72" s="4" t="s">
        <v>82</v>
      </c>
      <c r="B72" s="35"/>
      <c r="C72" s="35"/>
      <c r="D72" s="35"/>
      <c r="E72" s="35"/>
    </row>
    <row r="73" spans="1:5" ht="12.75" customHeight="1" x14ac:dyDescent="0.2">
      <c r="A73" s="4" t="s">
        <v>20</v>
      </c>
      <c r="B73" s="35">
        <v>6305</v>
      </c>
      <c r="C73" s="41">
        <f>7455+205</f>
        <v>7660</v>
      </c>
      <c r="D73" s="41">
        <v>7660</v>
      </c>
      <c r="E73" s="41">
        <v>7660</v>
      </c>
    </row>
    <row r="74" spans="1:5" ht="12.75" customHeight="1" x14ac:dyDescent="0.2">
      <c r="A74" s="24" t="s">
        <v>22</v>
      </c>
      <c r="B74" s="40">
        <v>0</v>
      </c>
      <c r="C74" s="40">
        <v>0</v>
      </c>
      <c r="D74" s="40">
        <v>0</v>
      </c>
      <c r="E74" s="40">
        <v>0</v>
      </c>
    </row>
    <row r="75" spans="1:5" ht="12.75" hidden="1" customHeight="1" x14ac:dyDescent="0.2">
      <c r="A75" s="3" t="s">
        <v>12</v>
      </c>
      <c r="B75" s="33"/>
      <c r="C75" s="33"/>
      <c r="D75" s="33"/>
      <c r="E75" s="33"/>
    </row>
    <row r="76" spans="1:5" ht="12.75" hidden="1" customHeight="1" x14ac:dyDescent="0.2">
      <c r="A76" s="7" t="s">
        <v>84</v>
      </c>
      <c r="B76" s="39"/>
      <c r="C76" s="39"/>
      <c r="D76" s="39"/>
      <c r="E76" s="39"/>
    </row>
    <row r="77" spans="1:5" ht="18.95" customHeight="1" x14ac:dyDescent="0.2">
      <c r="A77" s="21" t="s">
        <v>31</v>
      </c>
      <c r="B77" s="36">
        <f t="shared" ref="B77:C77" si="37">B78+B87</f>
        <v>1103617.1000000001</v>
      </c>
      <c r="C77" s="36">
        <f t="shared" si="37"/>
        <v>1108792.1000000001</v>
      </c>
      <c r="D77" s="36">
        <f t="shared" ref="D77" si="38">D78+D87</f>
        <v>1112721</v>
      </c>
      <c r="E77" s="36">
        <f t="shared" ref="E77" si="39">E78+E87</f>
        <v>1120747.5</v>
      </c>
    </row>
    <row r="78" spans="1:5" ht="15" customHeight="1" x14ac:dyDescent="0.2">
      <c r="A78" s="6" t="s">
        <v>83</v>
      </c>
      <c r="B78" s="37">
        <f t="shared" ref="B78:C78" si="40">SUM(B80:B86)</f>
        <v>1103617.1000000001</v>
      </c>
      <c r="C78" s="37">
        <f t="shared" si="40"/>
        <v>1108792.1000000001</v>
      </c>
      <c r="D78" s="37">
        <f t="shared" ref="D78" si="41">SUM(D80:D86)</f>
        <v>1112721</v>
      </c>
      <c r="E78" s="37">
        <f t="shared" ref="E78" si="42">SUM(E80:E86)</f>
        <v>1113747.5</v>
      </c>
    </row>
    <row r="79" spans="1:5" ht="8.25" customHeight="1" x14ac:dyDescent="0.2">
      <c r="A79" s="3" t="s">
        <v>124</v>
      </c>
      <c r="B79" s="35"/>
      <c r="C79" s="35"/>
      <c r="D79" s="35"/>
      <c r="E79" s="35"/>
    </row>
    <row r="80" spans="1:5" ht="12.75" customHeight="1" x14ac:dyDescent="0.2">
      <c r="A80" s="4" t="s">
        <v>32</v>
      </c>
      <c r="B80" s="35"/>
      <c r="C80" s="35"/>
      <c r="D80" s="35"/>
      <c r="E80" s="35"/>
    </row>
    <row r="81" spans="1:5" ht="12.75" customHeight="1" x14ac:dyDescent="0.2">
      <c r="A81" s="4" t="s">
        <v>33</v>
      </c>
      <c r="B81" s="33">
        <v>289807.8</v>
      </c>
      <c r="C81" s="33">
        <v>294442</v>
      </c>
      <c r="D81" s="33">
        <v>296942</v>
      </c>
      <c r="E81" s="33">
        <v>296942</v>
      </c>
    </row>
    <row r="82" spans="1:5" ht="12.75" hidden="1" customHeight="1" x14ac:dyDescent="0.2">
      <c r="A82" s="4" t="s">
        <v>130</v>
      </c>
      <c r="B82" s="33"/>
      <c r="C82" s="33"/>
      <c r="D82" s="33"/>
      <c r="E82" s="33"/>
    </row>
    <row r="83" spans="1:5" ht="12.75" customHeight="1" x14ac:dyDescent="0.2">
      <c r="A83" s="4" t="s">
        <v>34</v>
      </c>
      <c r="B83" s="33">
        <f>369673</f>
        <v>369673</v>
      </c>
      <c r="C83" s="33">
        <v>374848</v>
      </c>
      <c r="D83" s="33">
        <v>376300</v>
      </c>
      <c r="E83" s="33">
        <v>377429</v>
      </c>
    </row>
    <row r="84" spans="1:5" ht="12.75" customHeight="1" x14ac:dyDescent="0.2">
      <c r="A84" s="4" t="s">
        <v>35</v>
      </c>
      <c r="B84" s="33">
        <v>20998</v>
      </c>
      <c r="C84" s="33">
        <v>20998</v>
      </c>
      <c r="D84" s="33">
        <v>20979</v>
      </c>
      <c r="E84" s="33">
        <v>20876.5</v>
      </c>
    </row>
    <row r="85" spans="1:5" ht="12.75" hidden="1" customHeight="1" x14ac:dyDescent="0.2">
      <c r="A85" s="4" t="s">
        <v>106</v>
      </c>
      <c r="B85" s="33">
        <f>9127.7-4493.5</f>
        <v>4634.2000000000007</v>
      </c>
      <c r="C85" s="33">
        <v>0</v>
      </c>
      <c r="D85" s="33"/>
      <c r="E85" s="33"/>
    </row>
    <row r="86" spans="1:5" ht="12.75" customHeight="1" x14ac:dyDescent="0.2">
      <c r="A86" s="4" t="s">
        <v>20</v>
      </c>
      <c r="B86" s="33">
        <f>417504.1+1000</f>
        <v>418504.1</v>
      </c>
      <c r="C86" s="33">
        <f>417504.1+1000</f>
        <v>418504.1</v>
      </c>
      <c r="D86" s="33">
        <v>418500</v>
      </c>
      <c r="E86" s="33">
        <v>418500</v>
      </c>
    </row>
    <row r="87" spans="1:5" ht="12.75" customHeight="1" x14ac:dyDescent="0.2">
      <c r="A87" s="6" t="s">
        <v>22</v>
      </c>
      <c r="B87" s="37">
        <v>0</v>
      </c>
      <c r="C87" s="37">
        <v>0</v>
      </c>
      <c r="D87" s="37">
        <v>0</v>
      </c>
      <c r="E87" s="37">
        <f>E89</f>
        <v>7000</v>
      </c>
    </row>
    <row r="88" spans="1:5" ht="9.75" customHeight="1" x14ac:dyDescent="0.2">
      <c r="A88" s="3" t="s">
        <v>12</v>
      </c>
      <c r="B88" s="42"/>
      <c r="C88" s="42"/>
      <c r="D88" s="42"/>
      <c r="E88" s="42"/>
    </row>
    <row r="89" spans="1:5" ht="12.75" customHeight="1" x14ac:dyDescent="0.2">
      <c r="A89" s="7" t="s">
        <v>87</v>
      </c>
      <c r="B89" s="43"/>
      <c r="C89" s="43"/>
      <c r="D89" s="43"/>
      <c r="E89" s="43">
        <v>7000</v>
      </c>
    </row>
    <row r="90" spans="1:5" ht="18.95" customHeight="1" x14ac:dyDescent="0.2">
      <c r="A90" s="21" t="s">
        <v>36</v>
      </c>
      <c r="B90" s="36">
        <f>B91+B95</f>
        <v>26577.399999999998</v>
      </c>
      <c r="C90" s="36">
        <f>C91+C95</f>
        <v>30577.399999999998</v>
      </c>
      <c r="D90" s="36">
        <f>D91+D95</f>
        <v>31080.799999999999</v>
      </c>
      <c r="E90" s="36">
        <f>E91+E95</f>
        <v>33600.800000000003</v>
      </c>
    </row>
    <row r="91" spans="1:5" ht="12.75" customHeight="1" x14ac:dyDescent="0.2">
      <c r="A91" s="6" t="s">
        <v>85</v>
      </c>
      <c r="B91" s="37">
        <f>SUM(B93:B94)</f>
        <v>24580.799999999999</v>
      </c>
      <c r="C91" s="37">
        <f>SUM(C93:C94)</f>
        <v>28580.799999999999</v>
      </c>
      <c r="D91" s="37">
        <f>SUM(D93:D94)</f>
        <v>29080.799999999999</v>
      </c>
      <c r="E91" s="37">
        <f>SUM(E93:E94)</f>
        <v>31600.799999999999</v>
      </c>
    </row>
    <row r="92" spans="1:5" ht="11.1" customHeight="1" x14ac:dyDescent="0.2">
      <c r="A92" s="3" t="s">
        <v>4</v>
      </c>
      <c r="B92" s="35"/>
      <c r="C92" s="35"/>
      <c r="D92" s="35"/>
      <c r="E92" s="35"/>
    </row>
    <row r="93" spans="1:5" ht="12.75" customHeight="1" x14ac:dyDescent="0.2">
      <c r="A93" s="4" t="s">
        <v>20</v>
      </c>
      <c r="B93" s="33">
        <v>4580.8</v>
      </c>
      <c r="C93" s="33">
        <v>4580.8</v>
      </c>
      <c r="D93" s="33">
        <v>5080.8</v>
      </c>
      <c r="E93" s="33">
        <f>5680.8+1920</f>
        <v>7600.8</v>
      </c>
    </row>
    <row r="94" spans="1:5" ht="12.75" customHeight="1" x14ac:dyDescent="0.2">
      <c r="A94" s="4" t="s">
        <v>86</v>
      </c>
      <c r="B94" s="33">
        <v>20000</v>
      </c>
      <c r="C94" s="33">
        <v>24000</v>
      </c>
      <c r="D94" s="33">
        <v>24000</v>
      </c>
      <c r="E94" s="33">
        <v>24000</v>
      </c>
    </row>
    <row r="95" spans="1:5" ht="12.75" customHeight="1" x14ac:dyDescent="0.2">
      <c r="A95" s="6" t="s">
        <v>22</v>
      </c>
      <c r="B95" s="37">
        <f>SUM(B97:B97)</f>
        <v>1996.6</v>
      </c>
      <c r="C95" s="37">
        <f>SUM(C97:C97)</f>
        <v>1996.6</v>
      </c>
      <c r="D95" s="37">
        <f>SUM(D97:D97)</f>
        <v>2000</v>
      </c>
      <c r="E95" s="37">
        <f>SUM(E97:E97)</f>
        <v>2000</v>
      </c>
    </row>
    <row r="96" spans="1:5" ht="11.1" customHeight="1" x14ac:dyDescent="0.2">
      <c r="A96" s="3" t="s">
        <v>4</v>
      </c>
      <c r="B96" s="35"/>
      <c r="C96" s="35"/>
      <c r="D96" s="35"/>
      <c r="E96" s="35"/>
    </row>
    <row r="97" spans="1:5" ht="12.75" customHeight="1" x14ac:dyDescent="0.2">
      <c r="A97" s="7" t="s">
        <v>29</v>
      </c>
      <c r="B97" s="39">
        <v>1996.6</v>
      </c>
      <c r="C97" s="39">
        <v>1996.6</v>
      </c>
      <c r="D97" s="39">
        <v>2000</v>
      </c>
      <c r="E97" s="39">
        <v>2000</v>
      </c>
    </row>
    <row r="98" spans="1:5" ht="24" customHeight="1" x14ac:dyDescent="0.2">
      <c r="A98" s="23" t="s">
        <v>128</v>
      </c>
      <c r="B98" s="36">
        <f>B99+B103</f>
        <v>2725.7</v>
      </c>
      <c r="C98" s="36">
        <f>C99+C103</f>
        <v>2925.7</v>
      </c>
      <c r="D98" s="36">
        <f>D99+D103</f>
        <v>2130.6999999999998</v>
      </c>
      <c r="E98" s="36">
        <f>E99+E103</f>
        <v>3709.3</v>
      </c>
    </row>
    <row r="99" spans="1:5" ht="15" customHeight="1" x14ac:dyDescent="0.2">
      <c r="A99" s="6" t="s">
        <v>17</v>
      </c>
      <c r="B99" s="37">
        <f>SUM(B101:B102)</f>
        <v>2725.7</v>
      </c>
      <c r="C99" s="37">
        <f>SUM(C101:C102)</f>
        <v>2925.7</v>
      </c>
      <c r="D99" s="37">
        <f>SUM(D101:D102)</f>
        <v>2130.6999999999998</v>
      </c>
      <c r="E99" s="37">
        <f>SUM(E101:E102)</f>
        <v>3709.3</v>
      </c>
    </row>
    <row r="100" spans="1:5" ht="11.1" customHeight="1" x14ac:dyDescent="0.2">
      <c r="A100" s="3" t="s">
        <v>12</v>
      </c>
      <c r="B100" s="35"/>
      <c r="C100" s="35"/>
      <c r="D100" s="35"/>
      <c r="E100" s="35"/>
    </row>
    <row r="101" spans="1:5" ht="12.75" customHeight="1" x14ac:dyDescent="0.2">
      <c r="A101" s="4" t="s">
        <v>20</v>
      </c>
      <c r="B101" s="33">
        <v>2725.7</v>
      </c>
      <c r="C101" s="33">
        <v>2925.7</v>
      </c>
      <c r="D101" s="33">
        <v>2130.6999999999998</v>
      </c>
      <c r="E101" s="33">
        <v>1830.7</v>
      </c>
    </row>
    <row r="102" spans="1:5" ht="12.75" customHeight="1" x14ac:dyDescent="0.2">
      <c r="A102" s="8" t="s">
        <v>176</v>
      </c>
      <c r="B102" s="33"/>
      <c r="C102" s="33"/>
      <c r="D102" s="33"/>
      <c r="E102" s="33">
        <v>1878.6</v>
      </c>
    </row>
    <row r="103" spans="1:5" ht="12.75" customHeight="1" x14ac:dyDescent="0.2">
      <c r="A103" s="24" t="s">
        <v>22</v>
      </c>
      <c r="B103" s="38">
        <v>0</v>
      </c>
      <c r="C103" s="38">
        <v>0</v>
      </c>
      <c r="D103" s="38">
        <v>0</v>
      </c>
      <c r="E103" s="38">
        <v>0</v>
      </c>
    </row>
    <row r="104" spans="1:5" ht="12.75" hidden="1" customHeight="1" x14ac:dyDescent="0.2">
      <c r="A104" s="3" t="s">
        <v>12</v>
      </c>
      <c r="B104" s="42"/>
      <c r="C104" s="42"/>
      <c r="D104" s="42"/>
      <c r="E104" s="42"/>
    </row>
    <row r="105" spans="1:5" ht="12.75" hidden="1" customHeight="1" x14ac:dyDescent="0.2">
      <c r="A105" s="4" t="s">
        <v>87</v>
      </c>
      <c r="B105" s="42"/>
      <c r="C105" s="42"/>
      <c r="D105" s="42"/>
      <c r="E105" s="42"/>
    </row>
    <row r="106" spans="1:5" ht="12.75" hidden="1" customHeight="1" x14ac:dyDescent="0.2">
      <c r="A106" s="8" t="s">
        <v>37</v>
      </c>
      <c r="B106" s="42"/>
      <c r="C106" s="42"/>
      <c r="D106" s="42"/>
      <c r="E106" s="42"/>
    </row>
    <row r="107" spans="1:5" ht="12.75" hidden="1" customHeight="1" x14ac:dyDescent="0.2">
      <c r="A107" s="7" t="s">
        <v>29</v>
      </c>
      <c r="B107" s="39"/>
      <c r="C107" s="39"/>
      <c r="D107" s="39"/>
      <c r="E107" s="39"/>
    </row>
    <row r="108" spans="1:5" ht="21.95" customHeight="1" x14ac:dyDescent="0.2">
      <c r="A108" s="21" t="s">
        <v>38</v>
      </c>
      <c r="B108" s="36">
        <f t="shared" ref="B108:C108" si="43">B109+B113</f>
        <v>334369.7</v>
      </c>
      <c r="C108" s="36">
        <f t="shared" si="43"/>
        <v>337719.7</v>
      </c>
      <c r="D108" s="36">
        <f t="shared" ref="D108" si="44">D109+D113</f>
        <v>342719.7</v>
      </c>
      <c r="E108" s="36">
        <f t="shared" ref="E108" si="45">E109+E113</f>
        <v>353164.7</v>
      </c>
    </row>
    <row r="109" spans="1:5" ht="12.75" customHeight="1" x14ac:dyDescent="0.2">
      <c r="A109" s="6" t="s">
        <v>39</v>
      </c>
      <c r="B109" s="37">
        <f t="shared" ref="B109:C109" si="46">SUM(B111:B112)</f>
        <v>334369.7</v>
      </c>
      <c r="C109" s="37">
        <f t="shared" si="46"/>
        <v>337719.7</v>
      </c>
      <c r="D109" s="37">
        <f t="shared" ref="D109" si="47">SUM(D111:D112)</f>
        <v>342719.7</v>
      </c>
      <c r="E109" s="37">
        <f t="shared" ref="E109" si="48">SUM(E111:E112)</f>
        <v>353164.7</v>
      </c>
    </row>
    <row r="110" spans="1:5" ht="11.1" customHeight="1" x14ac:dyDescent="0.2">
      <c r="A110" s="3" t="s">
        <v>12</v>
      </c>
      <c r="B110" s="35"/>
      <c r="C110" s="35"/>
      <c r="D110" s="35"/>
      <c r="E110" s="35"/>
    </row>
    <row r="111" spans="1:5" ht="12.75" customHeight="1" x14ac:dyDescent="0.2">
      <c r="A111" s="4" t="s">
        <v>35</v>
      </c>
      <c r="B111" s="33">
        <f>316790.8-4870.1</f>
        <v>311920.7</v>
      </c>
      <c r="C111" s="33">
        <f>311920.7+650+2200</f>
        <v>314770.7</v>
      </c>
      <c r="D111" s="33">
        <v>317070.7</v>
      </c>
      <c r="E111" s="33">
        <f>324459.7</f>
        <v>324459.7</v>
      </c>
    </row>
    <row r="112" spans="1:5" ht="12.75" customHeight="1" x14ac:dyDescent="0.2">
      <c r="A112" s="4" t="s">
        <v>40</v>
      </c>
      <c r="B112" s="33">
        <v>22449</v>
      </c>
      <c r="C112" s="33">
        <f>22449+500</f>
        <v>22949</v>
      </c>
      <c r="D112" s="33">
        <v>25649</v>
      </c>
      <c r="E112" s="33">
        <f>45105-9000-7400</f>
        <v>28705</v>
      </c>
    </row>
    <row r="113" spans="1:5" ht="12.75" customHeight="1" x14ac:dyDescent="0.2">
      <c r="A113" s="24" t="s">
        <v>22</v>
      </c>
      <c r="B113" s="38">
        <v>0</v>
      </c>
      <c r="C113" s="38">
        <v>0</v>
      </c>
      <c r="D113" s="38">
        <v>0</v>
      </c>
      <c r="E113" s="38">
        <v>0</v>
      </c>
    </row>
    <row r="114" spans="1:5" ht="9.75" hidden="1" customHeight="1" x14ac:dyDescent="0.2">
      <c r="A114" s="3" t="s">
        <v>12</v>
      </c>
      <c r="B114" s="42"/>
      <c r="C114" s="42"/>
      <c r="D114" s="42"/>
      <c r="E114" s="42"/>
    </row>
    <row r="115" spans="1:5" ht="12.75" hidden="1" customHeight="1" x14ac:dyDescent="0.2">
      <c r="A115" s="4" t="s">
        <v>87</v>
      </c>
      <c r="B115" s="42"/>
      <c r="C115" s="42"/>
      <c r="D115" s="42"/>
      <c r="E115" s="42"/>
    </row>
    <row r="116" spans="1:5" ht="12.75" hidden="1" customHeight="1" x14ac:dyDescent="0.2">
      <c r="A116" s="7" t="s">
        <v>84</v>
      </c>
      <c r="B116" s="43"/>
      <c r="C116" s="43"/>
      <c r="D116" s="43"/>
      <c r="E116" s="43"/>
    </row>
    <row r="117" spans="1:5" ht="21.95" customHeight="1" x14ac:dyDescent="0.2">
      <c r="A117" s="21" t="s">
        <v>41</v>
      </c>
      <c r="B117" s="36">
        <f t="shared" ref="B117:C117" si="49">B118+B125</f>
        <v>456945.5</v>
      </c>
      <c r="C117" s="36">
        <f t="shared" si="49"/>
        <v>413966.5</v>
      </c>
      <c r="D117" s="36">
        <f t="shared" ref="D117" si="50">D118+D125</f>
        <v>379723.5</v>
      </c>
      <c r="E117" s="36">
        <f t="shared" ref="E117" si="51">E118+E125</f>
        <v>383327.2</v>
      </c>
    </row>
    <row r="118" spans="1:5" ht="12.95" customHeight="1" x14ac:dyDescent="0.2">
      <c r="A118" s="6" t="s">
        <v>88</v>
      </c>
      <c r="B118" s="37">
        <f t="shared" ref="B118:C118" si="52">SUM(B120:B124)</f>
        <v>456945.5</v>
      </c>
      <c r="C118" s="37">
        <f t="shared" si="52"/>
        <v>413966.5</v>
      </c>
      <c r="D118" s="37">
        <f t="shared" ref="D118" si="53">SUM(D120:D124)</f>
        <v>379723.5</v>
      </c>
      <c r="E118" s="37">
        <f t="shared" ref="E118" si="54">SUM(E120:E124)</f>
        <v>383327.2</v>
      </c>
    </row>
    <row r="119" spans="1:5" ht="11.1" customHeight="1" x14ac:dyDescent="0.2">
      <c r="A119" s="3" t="s">
        <v>12</v>
      </c>
      <c r="B119" s="35"/>
      <c r="C119" s="35"/>
      <c r="D119" s="35"/>
      <c r="E119" s="35"/>
    </row>
    <row r="120" spans="1:5" ht="12.75" customHeight="1" x14ac:dyDescent="0.2">
      <c r="A120" s="4" t="s">
        <v>35</v>
      </c>
      <c r="B120" s="33">
        <f>217926</f>
        <v>217926</v>
      </c>
      <c r="C120" s="33">
        <f>218595+4294+727</f>
        <v>223616</v>
      </c>
      <c r="D120" s="33">
        <v>223604</v>
      </c>
      <c r="E120" s="33">
        <v>223604</v>
      </c>
    </row>
    <row r="121" spans="1:5" ht="12.75" customHeight="1" x14ac:dyDescent="0.2">
      <c r="A121" s="4" t="s">
        <v>167</v>
      </c>
      <c r="B121" s="33"/>
      <c r="C121" s="33"/>
      <c r="D121" s="33">
        <v>11769</v>
      </c>
      <c r="E121" s="33">
        <v>8417.5</v>
      </c>
    </row>
    <row r="122" spans="1:5" ht="12.75" customHeight="1" x14ac:dyDescent="0.2">
      <c r="A122" s="4" t="s">
        <v>107</v>
      </c>
      <c r="B122" s="33">
        <v>176000</v>
      </c>
      <c r="C122" s="33">
        <v>126000</v>
      </c>
      <c r="D122" s="33">
        <v>100000</v>
      </c>
      <c r="E122" s="33">
        <v>100000</v>
      </c>
    </row>
    <row r="123" spans="1:5" ht="12.75" customHeight="1" x14ac:dyDescent="0.2">
      <c r="A123" s="4" t="s">
        <v>138</v>
      </c>
      <c r="B123" s="33">
        <v>50000</v>
      </c>
      <c r="C123" s="33">
        <v>50000</v>
      </c>
      <c r="D123" s="33">
        <v>30000</v>
      </c>
      <c r="E123" s="33">
        <v>30000</v>
      </c>
    </row>
    <row r="124" spans="1:5" ht="12.75" customHeight="1" x14ac:dyDescent="0.2">
      <c r="A124" s="4" t="s">
        <v>177</v>
      </c>
      <c r="B124" s="33">
        <v>13019.5</v>
      </c>
      <c r="C124" s="33">
        <v>14350.5</v>
      </c>
      <c r="D124" s="33">
        <v>14350.5</v>
      </c>
      <c r="E124" s="33">
        <v>21305.7</v>
      </c>
    </row>
    <row r="125" spans="1:5" ht="12.75" customHeight="1" x14ac:dyDescent="0.2">
      <c r="A125" s="24" t="s">
        <v>22</v>
      </c>
      <c r="B125" s="38">
        <v>0</v>
      </c>
      <c r="C125" s="38">
        <v>0</v>
      </c>
      <c r="D125" s="38">
        <v>0</v>
      </c>
      <c r="E125" s="38">
        <v>0</v>
      </c>
    </row>
    <row r="126" spans="1:5" ht="9.75" hidden="1" customHeight="1" x14ac:dyDescent="0.2">
      <c r="A126" s="3" t="s">
        <v>12</v>
      </c>
      <c r="B126" s="42"/>
      <c r="C126" s="42"/>
      <c r="D126" s="42"/>
      <c r="E126" s="42"/>
    </row>
    <row r="127" spans="1:5" ht="12.75" hidden="1" customHeight="1" x14ac:dyDescent="0.2">
      <c r="A127" s="4" t="s">
        <v>29</v>
      </c>
      <c r="B127" s="42"/>
      <c r="C127" s="42"/>
      <c r="D127" s="42"/>
      <c r="E127" s="42"/>
    </row>
    <row r="128" spans="1:5" ht="21.95" customHeight="1" x14ac:dyDescent="0.2">
      <c r="A128" s="21" t="s">
        <v>42</v>
      </c>
      <c r="B128" s="36">
        <f>B129+B134</f>
        <v>140239.6</v>
      </c>
      <c r="C128" s="36">
        <f>C129+C134</f>
        <v>145693.79999999999</v>
      </c>
      <c r="D128" s="36">
        <f>D129+D134</f>
        <v>153568.4</v>
      </c>
      <c r="E128" s="36">
        <f>E129+E134</f>
        <v>159458.4</v>
      </c>
    </row>
    <row r="129" spans="1:5" ht="15" customHeight="1" x14ac:dyDescent="0.2">
      <c r="A129" s="6" t="s">
        <v>43</v>
      </c>
      <c r="B129" s="37">
        <f>SUM(B131:B133)</f>
        <v>140239.6</v>
      </c>
      <c r="C129" s="37">
        <f>SUM(C131:C133)</f>
        <v>145693.79999999999</v>
      </c>
      <c r="D129" s="37">
        <f>SUM(D131:D133)</f>
        <v>153568.4</v>
      </c>
      <c r="E129" s="37">
        <f>SUM(E131:E133)</f>
        <v>159458.4</v>
      </c>
    </row>
    <row r="130" spans="1:5" ht="11.1" customHeight="1" x14ac:dyDescent="0.2">
      <c r="A130" s="3" t="s">
        <v>12</v>
      </c>
      <c r="B130" s="44"/>
      <c r="C130" s="44"/>
      <c r="D130" s="44"/>
      <c r="E130" s="44"/>
    </row>
    <row r="131" spans="1:5" ht="12.75" customHeight="1" x14ac:dyDescent="0.2">
      <c r="A131" s="4" t="s">
        <v>35</v>
      </c>
      <c r="B131" s="33">
        <f>123300-2528.9</f>
        <v>120771.1</v>
      </c>
      <c r="C131" s="33">
        <f>120771.1+2000+5874.3+1373.2+1831-5874.3</f>
        <v>125975.3</v>
      </c>
      <c r="D131" s="33">
        <v>133249.9</v>
      </c>
      <c r="E131" s="33">
        <v>137599.9</v>
      </c>
    </row>
    <row r="132" spans="1:5" ht="12.75" customHeight="1" x14ac:dyDescent="0.2">
      <c r="A132" s="4" t="s">
        <v>113</v>
      </c>
      <c r="B132" s="33">
        <v>3246</v>
      </c>
      <c r="C132" s="33">
        <v>3246</v>
      </c>
      <c r="D132" s="33">
        <v>3294</v>
      </c>
      <c r="E132" s="33">
        <v>3294</v>
      </c>
    </row>
    <row r="133" spans="1:5" ht="12.75" customHeight="1" x14ac:dyDescent="0.2">
      <c r="A133" s="4" t="s">
        <v>20</v>
      </c>
      <c r="B133" s="33">
        <f>15922.5+300</f>
        <v>16222.5</v>
      </c>
      <c r="C133" s="33">
        <v>16472.5</v>
      </c>
      <c r="D133" s="33">
        <v>17024.5</v>
      </c>
      <c r="E133" s="33">
        <f>18464.5+100</f>
        <v>18564.5</v>
      </c>
    </row>
    <row r="134" spans="1:5" ht="12.75" customHeight="1" x14ac:dyDescent="0.2">
      <c r="A134" s="24" t="s">
        <v>22</v>
      </c>
      <c r="B134" s="38">
        <v>0</v>
      </c>
      <c r="C134" s="38">
        <v>0</v>
      </c>
      <c r="D134" s="38">
        <v>0</v>
      </c>
      <c r="E134" s="38">
        <v>0</v>
      </c>
    </row>
    <row r="135" spans="1:5" ht="9.75" hidden="1" customHeight="1" x14ac:dyDescent="0.2">
      <c r="A135" s="3" t="s">
        <v>4</v>
      </c>
      <c r="B135" s="35"/>
      <c r="C135" s="35"/>
      <c r="D135" s="35"/>
      <c r="E135" s="35"/>
    </row>
    <row r="136" spans="1:5" ht="15" hidden="1" customHeight="1" x14ac:dyDescent="0.2">
      <c r="A136" s="4" t="s">
        <v>84</v>
      </c>
      <c r="B136" s="35"/>
      <c r="C136" s="35"/>
      <c r="D136" s="35"/>
      <c r="E136" s="35"/>
    </row>
    <row r="137" spans="1:5" ht="12.75" hidden="1" customHeight="1" x14ac:dyDescent="0.2">
      <c r="A137" s="7" t="s">
        <v>96</v>
      </c>
      <c r="B137" s="39"/>
      <c r="C137" s="39"/>
      <c r="D137" s="39"/>
      <c r="E137" s="39"/>
    </row>
    <row r="138" spans="1:5" ht="19.5" customHeight="1" x14ac:dyDescent="0.2">
      <c r="A138" s="21" t="s">
        <v>129</v>
      </c>
      <c r="B138" s="36">
        <f>B139+B147</f>
        <v>144494.79999999999</v>
      </c>
      <c r="C138" s="36">
        <f>C139+C147</f>
        <v>437987.5</v>
      </c>
      <c r="D138" s="36">
        <f>D139+D147</f>
        <v>425212.6</v>
      </c>
      <c r="E138" s="36">
        <f>E139+E147</f>
        <v>172958</v>
      </c>
    </row>
    <row r="139" spans="1:5" ht="12.75" customHeight="1" x14ac:dyDescent="0.2">
      <c r="A139" s="6" t="s">
        <v>17</v>
      </c>
      <c r="B139" s="37">
        <f>SUM(B141:B146)</f>
        <v>15450.5</v>
      </c>
      <c r="C139" s="37">
        <f>SUM(C141:C146)</f>
        <v>14799.9</v>
      </c>
      <c r="D139" s="37">
        <f>SUM(D141:D146)</f>
        <v>14593</v>
      </c>
      <c r="E139" s="37">
        <f>SUM(E141:E146)</f>
        <v>15172</v>
      </c>
    </row>
    <row r="140" spans="1:5" ht="12.75" customHeight="1" x14ac:dyDescent="0.2">
      <c r="A140" s="3" t="s">
        <v>12</v>
      </c>
      <c r="B140" s="35"/>
      <c r="C140" s="35"/>
      <c r="D140" s="35"/>
      <c r="E140" s="35"/>
    </row>
    <row r="141" spans="1:5" ht="12.75" customHeight="1" x14ac:dyDescent="0.2">
      <c r="A141" s="4" t="s">
        <v>20</v>
      </c>
      <c r="B141" s="33">
        <v>582</v>
      </c>
      <c r="C141" s="33">
        <v>582</v>
      </c>
      <c r="D141" s="33">
        <v>582</v>
      </c>
      <c r="E141" s="33">
        <v>1582</v>
      </c>
    </row>
    <row r="142" spans="1:5" ht="12.75" customHeight="1" x14ac:dyDescent="0.2">
      <c r="A142" s="8" t="s">
        <v>114</v>
      </c>
      <c r="B142" s="33">
        <v>850</v>
      </c>
      <c r="C142" s="33">
        <v>800</v>
      </c>
      <c r="D142" s="33">
        <v>850</v>
      </c>
      <c r="E142" s="33">
        <v>600</v>
      </c>
    </row>
    <row r="143" spans="1:5" ht="12.75" hidden="1" customHeight="1" x14ac:dyDescent="0.2">
      <c r="A143" s="8" t="s">
        <v>147</v>
      </c>
      <c r="B143" s="33">
        <v>1300</v>
      </c>
      <c r="C143" s="33">
        <v>0</v>
      </c>
      <c r="D143" s="33"/>
      <c r="E143" s="33"/>
    </row>
    <row r="144" spans="1:5" ht="12.75" customHeight="1" x14ac:dyDescent="0.2">
      <c r="A144" s="8" t="s">
        <v>131</v>
      </c>
      <c r="B144" s="33">
        <v>3861.2</v>
      </c>
      <c r="C144" s="33">
        <v>3617.9</v>
      </c>
      <c r="D144" s="33">
        <v>3361</v>
      </c>
      <c r="E144" s="33">
        <v>3090</v>
      </c>
    </row>
    <row r="145" spans="1:5" ht="12.75" customHeight="1" x14ac:dyDescent="0.2">
      <c r="A145" s="8" t="s">
        <v>156</v>
      </c>
      <c r="B145" s="33">
        <v>5357.3</v>
      </c>
      <c r="C145" s="33">
        <v>6300</v>
      </c>
      <c r="D145" s="33">
        <v>6300</v>
      </c>
      <c r="E145" s="33">
        <v>6400</v>
      </c>
    </row>
    <row r="146" spans="1:5" ht="12.75" customHeight="1" x14ac:dyDescent="0.2">
      <c r="A146" s="4" t="s">
        <v>178</v>
      </c>
      <c r="B146" s="33">
        <v>3500</v>
      </c>
      <c r="C146" s="33">
        <v>3500</v>
      </c>
      <c r="D146" s="33">
        <v>3500</v>
      </c>
      <c r="E146" s="33">
        <v>3500</v>
      </c>
    </row>
    <row r="147" spans="1:5" ht="12.75" customHeight="1" x14ac:dyDescent="0.2">
      <c r="A147" s="6" t="s">
        <v>22</v>
      </c>
      <c r="B147" s="37">
        <f>SUM(B149:B155)</f>
        <v>129044.3</v>
      </c>
      <c r="C147" s="37">
        <f>SUM(C149:C155)</f>
        <v>423187.6</v>
      </c>
      <c r="D147" s="37">
        <f>SUM(D149:D155)</f>
        <v>410619.6</v>
      </c>
      <c r="E147" s="37">
        <f>SUM(E149:E155)</f>
        <v>157786</v>
      </c>
    </row>
    <row r="148" spans="1:5" ht="12.75" customHeight="1" x14ac:dyDescent="0.2">
      <c r="A148" s="3" t="s">
        <v>12</v>
      </c>
      <c r="B148" s="42"/>
      <c r="C148" s="42"/>
      <c r="D148" s="42"/>
      <c r="E148" s="42"/>
    </row>
    <row r="149" spans="1:5" ht="12.75" hidden="1" customHeight="1" x14ac:dyDescent="0.2">
      <c r="A149" s="8" t="s">
        <v>147</v>
      </c>
      <c r="B149" s="33">
        <v>2100</v>
      </c>
      <c r="C149" s="33">
        <v>0</v>
      </c>
      <c r="D149" s="33">
        <v>0</v>
      </c>
      <c r="E149" s="33">
        <v>0</v>
      </c>
    </row>
    <row r="150" spans="1:5" ht="12.75" customHeight="1" x14ac:dyDescent="0.2">
      <c r="A150" s="4" t="s">
        <v>131</v>
      </c>
      <c r="B150" s="33">
        <v>4364.3</v>
      </c>
      <c r="C150" s="33">
        <v>4607.6000000000004</v>
      </c>
      <c r="D150" s="33">
        <v>4865</v>
      </c>
      <c r="E150" s="33">
        <v>5136</v>
      </c>
    </row>
    <row r="151" spans="1:5" ht="12.75" customHeight="1" x14ac:dyDescent="0.2">
      <c r="A151" s="4" t="s">
        <v>132</v>
      </c>
      <c r="B151" s="33">
        <v>13580</v>
      </c>
      <c r="C151" s="33">
        <v>13580</v>
      </c>
      <c r="D151" s="33">
        <v>13580</v>
      </c>
      <c r="E151" s="33">
        <v>13580</v>
      </c>
    </row>
    <row r="152" spans="1:5" ht="13.5" customHeight="1" x14ac:dyDescent="0.2">
      <c r="A152" s="28" t="s">
        <v>174</v>
      </c>
      <c r="B152" s="42">
        <v>100000</v>
      </c>
      <c r="C152" s="42">
        <v>350000</v>
      </c>
      <c r="D152" s="42">
        <v>330644.59999999998</v>
      </c>
      <c r="E152" s="42">
        <v>50000</v>
      </c>
    </row>
    <row r="153" spans="1:5" ht="12.75" customHeight="1" x14ac:dyDescent="0.2">
      <c r="A153" s="8" t="s">
        <v>168</v>
      </c>
      <c r="B153" s="42"/>
      <c r="C153" s="42">
        <v>20000</v>
      </c>
      <c r="D153" s="42">
        <v>28830</v>
      </c>
      <c r="E153" s="42">
        <v>59070</v>
      </c>
    </row>
    <row r="154" spans="1:5" ht="12.75" customHeight="1" x14ac:dyDescent="0.2">
      <c r="A154" s="9" t="s">
        <v>133</v>
      </c>
      <c r="B154" s="43">
        <v>9000</v>
      </c>
      <c r="C154" s="43">
        <v>35000</v>
      </c>
      <c r="D154" s="43">
        <v>32700</v>
      </c>
      <c r="E154" s="43">
        <v>30000</v>
      </c>
    </row>
    <row r="155" spans="1:5" ht="12.75" hidden="1" customHeight="1" x14ac:dyDescent="0.2">
      <c r="A155" s="8" t="s">
        <v>29</v>
      </c>
      <c r="B155" s="42"/>
      <c r="C155" s="42"/>
      <c r="D155" s="42"/>
      <c r="E155" s="42"/>
    </row>
    <row r="156" spans="1:5" ht="21.95" customHeight="1" x14ac:dyDescent="0.2">
      <c r="A156" s="21" t="s">
        <v>44</v>
      </c>
      <c r="B156" s="36">
        <f t="shared" ref="B156:C156" si="55">B157+B162</f>
        <v>163493.19999999998</v>
      </c>
      <c r="C156" s="36">
        <f t="shared" si="55"/>
        <v>163493.19999999998</v>
      </c>
      <c r="D156" s="36">
        <f t="shared" ref="D156" si="56">D157+D162</f>
        <v>171493.2</v>
      </c>
      <c r="E156" s="36">
        <f t="shared" ref="E156" si="57">E157+E162</f>
        <v>188000</v>
      </c>
    </row>
    <row r="157" spans="1:5" ht="13.5" customHeight="1" x14ac:dyDescent="0.2">
      <c r="A157" s="6" t="s">
        <v>45</v>
      </c>
      <c r="B157" s="37">
        <f>SUM(B159:B161)</f>
        <v>163493.19999999998</v>
      </c>
      <c r="C157" s="37">
        <f>SUM(C159:C161)</f>
        <v>163493.19999999998</v>
      </c>
      <c r="D157" s="37">
        <f>SUM(D159:D161)</f>
        <v>171493.2</v>
      </c>
      <c r="E157" s="37">
        <f>SUM(E159:E161)</f>
        <v>188000</v>
      </c>
    </row>
    <row r="158" spans="1:5" ht="12.75" customHeight="1" x14ac:dyDescent="0.2">
      <c r="A158" s="3" t="s">
        <v>12</v>
      </c>
      <c r="B158" s="45"/>
      <c r="C158" s="45"/>
      <c r="D158" s="45"/>
      <c r="E158" s="45"/>
    </row>
    <row r="159" spans="1:5" ht="12.75" customHeight="1" x14ac:dyDescent="0.2">
      <c r="A159" s="4" t="s">
        <v>46</v>
      </c>
      <c r="B159" s="33">
        <f>129351-2274.5-1708.8-178.1+3900+500</f>
        <v>129589.59999999999</v>
      </c>
      <c r="C159" s="33">
        <f>129351-2274.5-1708.8-178.1+3900+500</f>
        <v>129589.59999999999</v>
      </c>
      <c r="D159" s="33">
        <v>137589.6</v>
      </c>
      <c r="E159" s="33">
        <v>149300</v>
      </c>
    </row>
    <row r="160" spans="1:5" ht="12.75" customHeight="1" x14ac:dyDescent="0.2">
      <c r="A160" s="4" t="s">
        <v>105</v>
      </c>
      <c r="B160" s="33">
        <v>26000</v>
      </c>
      <c r="C160" s="33">
        <v>26000</v>
      </c>
      <c r="D160" s="33">
        <v>26000</v>
      </c>
      <c r="E160" s="33">
        <v>30700</v>
      </c>
    </row>
    <row r="161" spans="1:5" ht="12.75" customHeight="1" x14ac:dyDescent="0.2">
      <c r="A161" s="4" t="s">
        <v>20</v>
      </c>
      <c r="B161" s="33">
        <v>7903.6</v>
      </c>
      <c r="C161" s="33">
        <v>7903.6</v>
      </c>
      <c r="D161" s="33">
        <v>7903.6</v>
      </c>
      <c r="E161" s="33">
        <v>8000</v>
      </c>
    </row>
    <row r="162" spans="1:5" ht="12.75" customHeight="1" x14ac:dyDescent="0.2">
      <c r="A162" s="24" t="s">
        <v>22</v>
      </c>
      <c r="B162" s="38">
        <v>0</v>
      </c>
      <c r="C162" s="38">
        <v>0</v>
      </c>
      <c r="D162" s="38">
        <v>0</v>
      </c>
      <c r="E162" s="38">
        <v>0</v>
      </c>
    </row>
    <row r="163" spans="1:5" ht="9.75" hidden="1" customHeight="1" x14ac:dyDescent="0.2">
      <c r="A163" s="3" t="s">
        <v>4</v>
      </c>
      <c r="B163" s="35"/>
      <c r="C163" s="35"/>
      <c r="D163" s="35"/>
      <c r="E163" s="35"/>
    </row>
    <row r="164" spans="1:5" ht="12.75" hidden="1" customHeight="1" x14ac:dyDescent="0.2">
      <c r="A164" s="4" t="s">
        <v>102</v>
      </c>
      <c r="B164" s="35"/>
      <c r="C164" s="35"/>
      <c r="D164" s="35"/>
      <c r="E164" s="35"/>
    </row>
    <row r="165" spans="1:5" ht="12.75" hidden="1" customHeight="1" x14ac:dyDescent="0.2">
      <c r="A165" s="7" t="s">
        <v>29</v>
      </c>
      <c r="B165" s="39"/>
      <c r="C165" s="39"/>
      <c r="D165" s="39"/>
      <c r="E165" s="39"/>
    </row>
    <row r="166" spans="1:5" ht="21.95" customHeight="1" x14ac:dyDescent="0.2">
      <c r="A166" s="31" t="s">
        <v>158</v>
      </c>
      <c r="B166" s="36">
        <f t="shared" ref="B166:C166" si="58">B167+B173</f>
        <v>73191.600000000006</v>
      </c>
      <c r="C166" s="36">
        <f t="shared" si="58"/>
        <v>81453.8</v>
      </c>
      <c r="D166" s="36">
        <f t="shared" ref="D166" si="59">D167+D173</f>
        <v>60860</v>
      </c>
      <c r="E166" s="36">
        <f t="shared" ref="E166" si="60">E167+E173</f>
        <v>63360</v>
      </c>
    </row>
    <row r="167" spans="1:5" ht="12.75" customHeight="1" x14ac:dyDescent="0.2">
      <c r="A167" s="6" t="s">
        <v>17</v>
      </c>
      <c r="B167" s="37">
        <f>SUM(B169:B172)-B170</f>
        <v>59191.6</v>
      </c>
      <c r="C167" s="37">
        <f>SUM(C169:C172)-C170</f>
        <v>64453.8</v>
      </c>
      <c r="D167" s="37">
        <f>SUM(D169:D172)-D170</f>
        <v>60860</v>
      </c>
      <c r="E167" s="37">
        <f>SUM(E169:E172)-E170</f>
        <v>61860</v>
      </c>
    </row>
    <row r="168" spans="1:5" ht="11.1" customHeight="1" x14ac:dyDescent="0.2">
      <c r="A168" s="3" t="s">
        <v>12</v>
      </c>
      <c r="B168" s="35"/>
      <c r="C168" s="35"/>
      <c r="D168" s="35"/>
      <c r="E168" s="35"/>
    </row>
    <row r="169" spans="1:5" ht="12.75" customHeight="1" x14ac:dyDescent="0.2">
      <c r="A169" s="4" t="s">
        <v>20</v>
      </c>
      <c r="B169" s="33">
        <f>14336.6-3645+1500</f>
        <v>12191.6</v>
      </c>
      <c r="C169" s="33">
        <f>16653.8+1000-1200</f>
        <v>16453.8</v>
      </c>
      <c r="D169" s="33">
        <v>11350</v>
      </c>
      <c r="E169" s="33">
        <f>5330+5020</f>
        <v>10350</v>
      </c>
    </row>
    <row r="170" spans="1:5" ht="12.75" hidden="1" customHeight="1" x14ac:dyDescent="0.2">
      <c r="A170" s="4" t="s">
        <v>119</v>
      </c>
      <c r="B170" s="33"/>
      <c r="C170" s="33"/>
      <c r="D170" s="33"/>
      <c r="E170" s="33"/>
    </row>
    <row r="171" spans="1:5" ht="12.75" customHeight="1" x14ac:dyDescent="0.2">
      <c r="A171" s="4" t="s">
        <v>169</v>
      </c>
      <c r="B171" s="33"/>
      <c r="C171" s="33"/>
      <c r="D171" s="33">
        <v>1510</v>
      </c>
      <c r="E171" s="33">
        <v>1510</v>
      </c>
    </row>
    <row r="172" spans="1:5" ht="12.75" customHeight="1" x14ac:dyDescent="0.2">
      <c r="A172" s="4" t="s">
        <v>179</v>
      </c>
      <c r="B172" s="33">
        <v>47000</v>
      </c>
      <c r="C172" s="33">
        <f>47000+1000</f>
        <v>48000</v>
      </c>
      <c r="D172" s="33">
        <v>48000</v>
      </c>
      <c r="E172" s="33">
        <v>50000</v>
      </c>
    </row>
    <row r="173" spans="1:5" ht="12.75" customHeight="1" x14ac:dyDescent="0.2">
      <c r="A173" s="6" t="s">
        <v>22</v>
      </c>
      <c r="B173" s="37">
        <f>B176+B177</f>
        <v>14000</v>
      </c>
      <c r="C173" s="37">
        <f>C176+C175+C177</f>
        <v>17000</v>
      </c>
      <c r="D173" s="37">
        <f>D176+D175+D177</f>
        <v>0</v>
      </c>
      <c r="E173" s="37">
        <f>E176+E175+E177</f>
        <v>1500</v>
      </c>
    </row>
    <row r="174" spans="1:5" ht="9" customHeight="1" x14ac:dyDescent="0.2">
      <c r="A174" s="3" t="s">
        <v>12</v>
      </c>
      <c r="B174" s="42"/>
      <c r="C174" s="42"/>
      <c r="D174" s="42"/>
      <c r="E174" s="42"/>
    </row>
    <row r="175" spans="1:5" ht="14.25" hidden="1" customHeight="1" x14ac:dyDescent="0.2">
      <c r="A175" s="4" t="s">
        <v>163</v>
      </c>
      <c r="B175" s="42"/>
      <c r="C175" s="42">
        <v>3000</v>
      </c>
      <c r="D175" s="42"/>
      <c r="E175" s="42"/>
    </row>
    <row r="176" spans="1:5" ht="13.5" customHeight="1" x14ac:dyDescent="0.2">
      <c r="A176" s="62" t="s">
        <v>29</v>
      </c>
      <c r="B176" s="43">
        <v>5000</v>
      </c>
      <c r="C176" s="43">
        <v>5000</v>
      </c>
      <c r="D176" s="43"/>
      <c r="E176" s="43">
        <v>1500</v>
      </c>
    </row>
    <row r="177" spans="1:5" ht="12.75" hidden="1" customHeight="1" x14ac:dyDescent="0.2">
      <c r="A177" s="9" t="s">
        <v>162</v>
      </c>
      <c r="B177" s="43">
        <v>9000</v>
      </c>
      <c r="C177" s="43">
        <v>9000</v>
      </c>
      <c r="D177" s="43"/>
      <c r="E177" s="43"/>
    </row>
    <row r="178" spans="1:5" ht="12.75" hidden="1" customHeight="1" x14ac:dyDescent="0.2">
      <c r="A178" s="4" t="s">
        <v>96</v>
      </c>
      <c r="B178" s="42"/>
      <c r="C178" s="42"/>
      <c r="D178" s="42"/>
      <c r="E178" s="42"/>
    </row>
    <row r="179" spans="1:5" ht="24.95" customHeight="1" x14ac:dyDescent="0.2">
      <c r="A179" s="21" t="s">
        <v>47</v>
      </c>
      <c r="B179" s="36">
        <f t="shared" ref="B179:C179" si="61">B180+B183</f>
        <v>2042.3</v>
      </c>
      <c r="C179" s="36">
        <f t="shared" si="61"/>
        <v>2042.3</v>
      </c>
      <c r="D179" s="36">
        <f t="shared" ref="D179" si="62">D180+D183</f>
        <v>3304.9</v>
      </c>
      <c r="E179" s="36">
        <f t="shared" ref="E179" si="63">E180+E183</f>
        <v>3304.9</v>
      </c>
    </row>
    <row r="180" spans="1:5" ht="15" customHeight="1" x14ac:dyDescent="0.2">
      <c r="A180" s="6" t="s">
        <v>17</v>
      </c>
      <c r="B180" s="37">
        <f t="shared" ref="B180:C180" si="64">B182</f>
        <v>2042.3</v>
      </c>
      <c r="C180" s="37">
        <f t="shared" si="64"/>
        <v>2042.3</v>
      </c>
      <c r="D180" s="37">
        <f t="shared" ref="D180" si="65">D182</f>
        <v>3304.9</v>
      </c>
      <c r="E180" s="37">
        <f t="shared" ref="E180" si="66">E182</f>
        <v>3304.9</v>
      </c>
    </row>
    <row r="181" spans="1:5" ht="11.1" customHeight="1" x14ac:dyDescent="0.2">
      <c r="A181" s="3" t="s">
        <v>12</v>
      </c>
      <c r="B181" s="35"/>
      <c r="C181" s="35"/>
      <c r="D181" s="35"/>
      <c r="E181" s="35"/>
    </row>
    <row r="182" spans="1:5" ht="12.75" customHeight="1" x14ac:dyDescent="0.2">
      <c r="A182" s="4" t="s">
        <v>40</v>
      </c>
      <c r="B182" s="33">
        <v>2042.3</v>
      </c>
      <c r="C182" s="33">
        <v>2042.3</v>
      </c>
      <c r="D182" s="33">
        <v>3304.9</v>
      </c>
      <c r="E182" s="33">
        <v>3304.9</v>
      </c>
    </row>
    <row r="183" spans="1:5" ht="12" customHeight="1" x14ac:dyDescent="0.2">
      <c r="A183" s="24" t="s">
        <v>22</v>
      </c>
      <c r="B183" s="38">
        <v>0</v>
      </c>
      <c r="C183" s="38">
        <v>0</v>
      </c>
      <c r="D183" s="38">
        <v>0</v>
      </c>
      <c r="E183" s="38">
        <v>0</v>
      </c>
    </row>
    <row r="184" spans="1:5" ht="11.1" hidden="1" customHeight="1" x14ac:dyDescent="0.2">
      <c r="A184" s="3" t="s">
        <v>12</v>
      </c>
      <c r="B184" s="42"/>
      <c r="C184" s="42"/>
      <c r="D184" s="42"/>
      <c r="E184" s="42"/>
    </row>
    <row r="185" spans="1:5" ht="12.75" hidden="1" customHeight="1" x14ac:dyDescent="0.2">
      <c r="A185" s="7" t="s">
        <v>29</v>
      </c>
      <c r="B185" s="39"/>
      <c r="C185" s="39"/>
      <c r="D185" s="39"/>
      <c r="E185" s="39"/>
    </row>
    <row r="186" spans="1:5" ht="18.95" customHeight="1" x14ac:dyDescent="0.2">
      <c r="A186" s="21" t="s">
        <v>48</v>
      </c>
      <c r="B186" s="36">
        <f>B187+B192</f>
        <v>81082</v>
      </c>
      <c r="C186" s="36">
        <f>C187+C192</f>
        <v>76892.299999999988</v>
      </c>
      <c r="D186" s="36">
        <f>D187+D192</f>
        <v>53759.9</v>
      </c>
      <c r="E186" s="36">
        <f>E187+E192</f>
        <v>57799.6</v>
      </c>
    </row>
    <row r="187" spans="1:5" ht="15" customHeight="1" x14ac:dyDescent="0.2">
      <c r="A187" s="6" t="s">
        <v>17</v>
      </c>
      <c r="B187" s="37">
        <f t="shared" ref="B187:C187" si="67">SUM(B189:B191)</f>
        <v>81082</v>
      </c>
      <c r="C187" s="37">
        <f t="shared" si="67"/>
        <v>76892.299999999988</v>
      </c>
      <c r="D187" s="37">
        <f t="shared" ref="D187" si="68">SUM(D189:D191)</f>
        <v>53759.9</v>
      </c>
      <c r="E187" s="37">
        <f t="shared" ref="E187" si="69">SUM(E189:E191)</f>
        <v>57799.6</v>
      </c>
    </row>
    <row r="188" spans="1:5" ht="11.1" customHeight="1" x14ac:dyDescent="0.2">
      <c r="A188" s="3" t="s">
        <v>12</v>
      </c>
      <c r="B188" s="35"/>
      <c r="C188" s="35"/>
      <c r="D188" s="35"/>
      <c r="E188" s="35"/>
    </row>
    <row r="189" spans="1:5" ht="12.75" customHeight="1" x14ac:dyDescent="0.2">
      <c r="A189" s="4" t="s">
        <v>146</v>
      </c>
      <c r="B189" s="33">
        <v>30000</v>
      </c>
      <c r="C189" s="33">
        <f>15000+4800-1000+200-6000-1000</f>
        <v>12000</v>
      </c>
      <c r="D189" s="33">
        <v>10000</v>
      </c>
      <c r="E189" s="33">
        <f>10000+5048.4</f>
        <v>15048.4</v>
      </c>
    </row>
    <row r="190" spans="1:5" ht="12.75" hidden="1" customHeight="1" x14ac:dyDescent="0.2">
      <c r="A190" s="8" t="s">
        <v>157</v>
      </c>
      <c r="B190" s="33"/>
      <c r="C190" s="33">
        <v>15000</v>
      </c>
      <c r="D190" s="33"/>
      <c r="E190" s="33"/>
    </row>
    <row r="191" spans="1:5" ht="12.75" customHeight="1" x14ac:dyDescent="0.2">
      <c r="A191" s="7" t="s">
        <v>136</v>
      </c>
      <c r="B191" s="39">
        <f>51618-536</f>
        <v>51082</v>
      </c>
      <c r="C191" s="39">
        <f>54618-1789.8-2000+5.2+445.4-1823+579.7-1686.8+953.4+53.2-36.6+239.6-21+355</f>
        <v>49892.299999999988</v>
      </c>
      <c r="D191" s="39">
        <v>43759.9</v>
      </c>
      <c r="E191" s="39">
        <f>40000-248.8+3000</f>
        <v>42751.199999999997</v>
      </c>
    </row>
    <row r="192" spans="1:5" ht="12.75" hidden="1" customHeight="1" x14ac:dyDescent="0.2">
      <c r="A192" s="6" t="s">
        <v>22</v>
      </c>
      <c r="B192" s="37">
        <f t="shared" ref="B192:C192" si="70">B194</f>
        <v>0</v>
      </c>
      <c r="C192" s="37">
        <f t="shared" si="70"/>
        <v>0</v>
      </c>
      <c r="D192" s="37">
        <f t="shared" ref="D192" si="71">D194</f>
        <v>0</v>
      </c>
      <c r="E192" s="37">
        <f t="shared" ref="E192" si="72">E194</f>
        <v>0</v>
      </c>
    </row>
    <row r="193" spans="1:5" ht="8.25" hidden="1" customHeight="1" x14ac:dyDescent="0.2">
      <c r="A193" s="3" t="s">
        <v>12</v>
      </c>
      <c r="B193" s="42"/>
      <c r="C193" s="42"/>
      <c r="D193" s="42"/>
      <c r="E193" s="42"/>
    </row>
    <row r="194" spans="1:5" ht="12.75" hidden="1" customHeight="1" x14ac:dyDescent="0.2">
      <c r="A194" s="7" t="s">
        <v>134</v>
      </c>
      <c r="B194" s="39"/>
      <c r="C194" s="39"/>
      <c r="D194" s="39"/>
      <c r="E194" s="39"/>
    </row>
    <row r="195" spans="1:5" ht="18.75" customHeight="1" x14ac:dyDescent="0.2">
      <c r="A195" s="21" t="s">
        <v>149</v>
      </c>
      <c r="B195" s="36">
        <f t="shared" ref="B195:C195" si="73">B196+B208</f>
        <v>62993.2</v>
      </c>
      <c r="C195" s="36">
        <f t="shared" si="73"/>
        <v>60902.299999999996</v>
      </c>
      <c r="D195" s="36">
        <f t="shared" ref="D195" si="74">D196+D208</f>
        <v>89419.4</v>
      </c>
      <c r="E195" s="36">
        <f t="shared" ref="E195" si="75">E196+E208</f>
        <v>95919.4</v>
      </c>
    </row>
    <row r="196" spans="1:5" ht="12.75" customHeight="1" x14ac:dyDescent="0.2">
      <c r="A196" s="6" t="s">
        <v>17</v>
      </c>
      <c r="B196" s="37">
        <f t="shared" ref="B196:C196" si="76">SUM(B198:B207)</f>
        <v>45993.2</v>
      </c>
      <c r="C196" s="37">
        <f t="shared" si="76"/>
        <v>48902.299999999996</v>
      </c>
      <c r="D196" s="37">
        <f t="shared" ref="D196" si="77">SUM(D198:D207)</f>
        <v>59419.399999999994</v>
      </c>
      <c r="E196" s="37">
        <f t="shared" ref="E196" si="78">SUM(E198:E207)</f>
        <v>60419.399999999994</v>
      </c>
    </row>
    <row r="197" spans="1:5" ht="12.75" customHeight="1" x14ac:dyDescent="0.2">
      <c r="A197" s="4" t="s">
        <v>139</v>
      </c>
      <c r="B197" s="46"/>
      <c r="C197" s="46"/>
      <c r="D197" s="46"/>
      <c r="E197" s="46"/>
    </row>
    <row r="198" spans="1:5" ht="12.75" customHeight="1" x14ac:dyDescent="0.2">
      <c r="A198" s="4" t="s">
        <v>127</v>
      </c>
      <c r="B198" s="46">
        <v>5248.6</v>
      </c>
      <c r="C198" s="46">
        <v>5248.6</v>
      </c>
      <c r="D198" s="46">
        <v>6725</v>
      </c>
      <c r="E198" s="46">
        <v>6725</v>
      </c>
    </row>
    <row r="199" spans="1:5" ht="12.75" customHeight="1" x14ac:dyDescent="0.2">
      <c r="A199" s="4" t="s">
        <v>143</v>
      </c>
      <c r="B199" s="46">
        <v>3000</v>
      </c>
      <c r="C199" s="46">
        <v>3000</v>
      </c>
      <c r="D199" s="46">
        <v>2500</v>
      </c>
      <c r="E199" s="46">
        <v>2500</v>
      </c>
    </row>
    <row r="200" spans="1:5" ht="12.75" customHeight="1" x14ac:dyDescent="0.2">
      <c r="A200" s="4" t="s">
        <v>144</v>
      </c>
      <c r="B200" s="46">
        <v>5520</v>
      </c>
      <c r="C200" s="46">
        <v>5520</v>
      </c>
      <c r="D200" s="46">
        <v>5420</v>
      </c>
      <c r="E200" s="46">
        <v>5420</v>
      </c>
    </row>
    <row r="201" spans="1:5" ht="12.75" customHeight="1" x14ac:dyDescent="0.2">
      <c r="A201" s="4" t="s">
        <v>145</v>
      </c>
      <c r="B201" s="46">
        <v>3680</v>
      </c>
      <c r="C201" s="46">
        <v>3680</v>
      </c>
      <c r="D201" s="46">
        <v>3460</v>
      </c>
      <c r="E201" s="46">
        <v>3460</v>
      </c>
    </row>
    <row r="202" spans="1:5" ht="12.75" customHeight="1" x14ac:dyDescent="0.2">
      <c r="A202" s="4" t="s">
        <v>49</v>
      </c>
      <c r="B202" s="46">
        <v>2604</v>
      </c>
      <c r="C202" s="46">
        <f>3104+1200</f>
        <v>4304</v>
      </c>
      <c r="D202" s="46">
        <v>4279</v>
      </c>
      <c r="E202" s="46">
        <v>4279</v>
      </c>
    </row>
    <row r="203" spans="1:5" ht="12.75" customHeight="1" x14ac:dyDescent="0.2">
      <c r="A203" s="4" t="s">
        <v>50</v>
      </c>
      <c r="B203" s="46">
        <v>1395.9</v>
      </c>
      <c r="C203" s="46">
        <v>2000</v>
      </c>
      <c r="D203" s="46">
        <v>1050</v>
      </c>
      <c r="E203" s="46">
        <v>1050</v>
      </c>
    </row>
    <row r="204" spans="1:5" ht="12.75" customHeight="1" x14ac:dyDescent="0.2">
      <c r="A204" s="4" t="s">
        <v>51</v>
      </c>
      <c r="B204" s="46">
        <v>9380</v>
      </c>
      <c r="C204" s="46">
        <v>9380</v>
      </c>
      <c r="D204" s="46">
        <v>9190</v>
      </c>
      <c r="E204" s="46">
        <v>9190</v>
      </c>
    </row>
    <row r="205" spans="1:5" ht="12.75" customHeight="1" x14ac:dyDescent="0.2">
      <c r="A205" s="4" t="s">
        <v>52</v>
      </c>
      <c r="B205" s="46">
        <f>6519.7-3000+3645</f>
        <v>7164.7</v>
      </c>
      <c r="C205" s="46">
        <v>7769.7</v>
      </c>
      <c r="D205" s="46">
        <v>5769.7</v>
      </c>
      <c r="E205" s="46">
        <v>5769.7</v>
      </c>
    </row>
    <row r="206" spans="1:5" ht="12.75" customHeight="1" x14ac:dyDescent="0.2">
      <c r="A206" s="4" t="s">
        <v>170</v>
      </c>
      <c r="B206" s="46"/>
      <c r="C206" s="46"/>
      <c r="D206" s="46">
        <v>11025.7</v>
      </c>
      <c r="E206" s="46">
        <f>12025.7</f>
        <v>12025.7</v>
      </c>
    </row>
    <row r="207" spans="1:5" ht="12.75" customHeight="1" x14ac:dyDescent="0.2">
      <c r="A207" s="4" t="s">
        <v>126</v>
      </c>
      <c r="B207" s="46">
        <v>8000</v>
      </c>
      <c r="C207" s="46">
        <v>8000</v>
      </c>
      <c r="D207" s="46">
        <v>10000</v>
      </c>
      <c r="E207" s="46">
        <v>10000</v>
      </c>
    </row>
    <row r="208" spans="1:5" ht="12.75" customHeight="1" x14ac:dyDescent="0.2">
      <c r="A208" s="6" t="s">
        <v>22</v>
      </c>
      <c r="B208" s="37">
        <f t="shared" ref="B208:D208" si="79">B210</f>
        <v>17000</v>
      </c>
      <c r="C208" s="37">
        <f t="shared" si="79"/>
        <v>12000</v>
      </c>
      <c r="D208" s="37">
        <f t="shared" si="79"/>
        <v>30000</v>
      </c>
      <c r="E208" s="37">
        <f>E210+E211</f>
        <v>35500</v>
      </c>
    </row>
    <row r="209" spans="1:5" ht="12.75" customHeight="1" x14ac:dyDescent="0.2">
      <c r="A209" s="4" t="s">
        <v>139</v>
      </c>
      <c r="B209" s="37"/>
      <c r="C209" s="37"/>
      <c r="D209" s="37"/>
      <c r="E209" s="37"/>
    </row>
    <row r="210" spans="1:5" ht="12.75" customHeight="1" x14ac:dyDescent="0.2">
      <c r="A210" s="4" t="s">
        <v>126</v>
      </c>
      <c r="B210" s="47">
        <v>17000</v>
      </c>
      <c r="C210" s="47">
        <v>12000</v>
      </c>
      <c r="D210" s="46">
        <v>30000</v>
      </c>
      <c r="E210" s="46">
        <v>30000</v>
      </c>
    </row>
    <row r="211" spans="1:5" ht="12.75" customHeight="1" x14ac:dyDescent="0.2">
      <c r="A211" s="7" t="s">
        <v>170</v>
      </c>
      <c r="B211" s="47"/>
      <c r="C211" s="47"/>
      <c r="D211" s="47">
        <v>0</v>
      </c>
      <c r="E211" s="47">
        <f>4000+1500</f>
        <v>5500</v>
      </c>
    </row>
    <row r="212" spans="1:5" ht="18" customHeight="1" x14ac:dyDescent="0.2">
      <c r="A212" s="21" t="s">
        <v>103</v>
      </c>
      <c r="B212" s="36">
        <f t="shared" ref="B212:E212" si="80">B213</f>
        <v>3000</v>
      </c>
      <c r="C212" s="36">
        <f t="shared" si="80"/>
        <v>0</v>
      </c>
      <c r="D212" s="36">
        <f t="shared" si="80"/>
        <v>0</v>
      </c>
      <c r="E212" s="36">
        <f t="shared" si="80"/>
        <v>0</v>
      </c>
    </row>
    <row r="213" spans="1:5" ht="12.75" customHeight="1" x14ac:dyDescent="0.2">
      <c r="A213" s="6" t="s">
        <v>17</v>
      </c>
      <c r="B213" s="37">
        <f t="shared" ref="B213:C213" si="81">B215</f>
        <v>3000</v>
      </c>
      <c r="C213" s="37">
        <f t="shared" si="81"/>
        <v>0</v>
      </c>
      <c r="D213" s="37">
        <f t="shared" ref="D213" si="82">D215</f>
        <v>0</v>
      </c>
      <c r="E213" s="37">
        <f t="shared" ref="E213" si="83">E215</f>
        <v>0</v>
      </c>
    </row>
    <row r="214" spans="1:5" ht="12.75" customHeight="1" x14ac:dyDescent="0.2">
      <c r="A214" s="3" t="s">
        <v>12</v>
      </c>
      <c r="B214" s="46"/>
      <c r="C214" s="46"/>
      <c r="D214" s="46"/>
      <c r="E214" s="46"/>
    </row>
    <row r="215" spans="1:5" ht="12.75" customHeight="1" x14ac:dyDescent="0.2">
      <c r="A215" s="7" t="s">
        <v>20</v>
      </c>
      <c r="B215" s="47">
        <v>3000</v>
      </c>
      <c r="C215" s="47">
        <v>0</v>
      </c>
      <c r="D215" s="47">
        <v>0</v>
      </c>
      <c r="E215" s="47">
        <v>0</v>
      </c>
    </row>
    <row r="216" spans="1:5" ht="21.75" customHeight="1" x14ac:dyDescent="0.2">
      <c r="A216" s="21" t="s">
        <v>141</v>
      </c>
      <c r="B216" s="36">
        <f>B220+B232</f>
        <v>85925</v>
      </c>
      <c r="C216" s="36">
        <f>C220+C232</f>
        <v>106470</v>
      </c>
      <c r="D216" s="36">
        <f>D220+D232</f>
        <v>140620</v>
      </c>
      <c r="E216" s="36">
        <f>E220+E232</f>
        <v>216109</v>
      </c>
    </row>
    <row r="217" spans="1:5" ht="14.1" hidden="1" customHeight="1" x14ac:dyDescent="0.2">
      <c r="A217" s="10" t="s">
        <v>110</v>
      </c>
      <c r="B217" s="48"/>
      <c r="C217" s="48"/>
      <c r="D217" s="48"/>
      <c r="E217" s="48"/>
    </row>
    <row r="218" spans="1:5" ht="14.1" hidden="1" customHeight="1" x14ac:dyDescent="0.2">
      <c r="A218" s="4" t="s">
        <v>53</v>
      </c>
      <c r="B218" s="33"/>
      <c r="C218" s="33"/>
      <c r="D218" s="33"/>
      <c r="E218" s="33"/>
    </row>
    <row r="219" spans="1:5" ht="14.1" hidden="1" customHeight="1" x14ac:dyDescent="0.2">
      <c r="A219" s="4" t="s">
        <v>54</v>
      </c>
      <c r="B219" s="33"/>
      <c r="C219" s="33"/>
      <c r="D219" s="33"/>
      <c r="E219" s="33"/>
    </row>
    <row r="220" spans="1:5" ht="14.1" customHeight="1" x14ac:dyDescent="0.2">
      <c r="A220" s="26" t="s">
        <v>137</v>
      </c>
      <c r="B220" s="49">
        <f>SUM(B222:B231)</f>
        <v>0</v>
      </c>
      <c r="C220" s="49">
        <f>SUM(C222:C231)</f>
        <v>0</v>
      </c>
      <c r="D220" s="49">
        <f>SUM(D221:D231)</f>
        <v>39095</v>
      </c>
      <c r="E220" s="49">
        <f>SUM(E221:E231)</f>
        <v>43734</v>
      </c>
    </row>
    <row r="221" spans="1:5" ht="14.1" customHeight="1" x14ac:dyDescent="0.2">
      <c r="A221" s="61" t="s">
        <v>180</v>
      </c>
      <c r="B221" s="49"/>
      <c r="C221" s="49"/>
      <c r="D221" s="33">
        <v>36300</v>
      </c>
      <c r="E221" s="33">
        <v>35450</v>
      </c>
    </row>
    <row r="222" spans="1:5" ht="14.1" customHeight="1" x14ac:dyDescent="0.2">
      <c r="A222" s="4" t="s">
        <v>111</v>
      </c>
      <c r="B222" s="33"/>
      <c r="C222" s="33"/>
      <c r="D222" s="33">
        <v>1000</v>
      </c>
      <c r="E222" s="33"/>
    </row>
    <row r="223" spans="1:5" ht="14.1" hidden="1" customHeight="1" x14ac:dyDescent="0.2">
      <c r="A223" s="4" t="s">
        <v>97</v>
      </c>
      <c r="B223" s="33"/>
      <c r="C223" s="33"/>
      <c r="D223" s="33"/>
      <c r="E223" s="33"/>
    </row>
    <row r="224" spans="1:5" ht="14.1" hidden="1" customHeight="1" x14ac:dyDescent="0.2">
      <c r="A224" s="4" t="s">
        <v>56</v>
      </c>
      <c r="B224" s="33"/>
      <c r="C224" s="33"/>
      <c r="D224" s="33"/>
      <c r="E224" s="33"/>
    </row>
    <row r="225" spans="1:5" ht="14.1" hidden="1" customHeight="1" x14ac:dyDescent="0.2">
      <c r="A225" s="4" t="s">
        <v>89</v>
      </c>
      <c r="B225" s="33"/>
      <c r="C225" s="33"/>
      <c r="D225" s="33"/>
      <c r="E225" s="33"/>
    </row>
    <row r="226" spans="1:5" ht="14.1" hidden="1" customHeight="1" x14ac:dyDescent="0.2">
      <c r="A226" s="4" t="s">
        <v>98</v>
      </c>
      <c r="B226" s="33"/>
      <c r="C226" s="33"/>
      <c r="D226" s="33"/>
      <c r="E226" s="33"/>
    </row>
    <row r="227" spans="1:5" ht="14.1" hidden="1" customHeight="1" x14ac:dyDescent="0.2">
      <c r="A227" s="4" t="s">
        <v>57</v>
      </c>
      <c r="B227" s="33"/>
      <c r="C227" s="33"/>
      <c r="D227" s="33"/>
      <c r="E227" s="33"/>
    </row>
    <row r="228" spans="1:5" ht="14.1" hidden="1" customHeight="1" x14ac:dyDescent="0.2">
      <c r="A228" s="4" t="s">
        <v>99</v>
      </c>
      <c r="B228" s="33"/>
      <c r="C228" s="33"/>
      <c r="D228" s="33"/>
      <c r="E228" s="33"/>
    </row>
    <row r="229" spans="1:5" ht="14.1" hidden="1" customHeight="1" x14ac:dyDescent="0.2">
      <c r="A229" s="4" t="s">
        <v>90</v>
      </c>
      <c r="B229" s="33"/>
      <c r="C229" s="33"/>
      <c r="D229" s="33"/>
      <c r="E229" s="33"/>
    </row>
    <row r="230" spans="1:5" ht="14.1" customHeight="1" x14ac:dyDescent="0.2">
      <c r="A230" s="4" t="s">
        <v>100</v>
      </c>
      <c r="B230" s="33"/>
      <c r="C230" s="33"/>
      <c r="D230" s="33"/>
      <c r="E230" s="33">
        <v>6163</v>
      </c>
    </row>
    <row r="231" spans="1:5" ht="14.1" customHeight="1" x14ac:dyDescent="0.2">
      <c r="A231" s="4" t="s">
        <v>91</v>
      </c>
      <c r="B231" s="33"/>
      <c r="C231" s="33"/>
      <c r="D231" s="33">
        <v>1795</v>
      </c>
      <c r="E231" s="33">
        <v>2121</v>
      </c>
    </row>
    <row r="232" spans="1:5" ht="14.1" customHeight="1" x14ac:dyDescent="0.2">
      <c r="A232" s="26" t="s">
        <v>140</v>
      </c>
      <c r="B232" s="49">
        <f>SUM(B234:B242)</f>
        <v>85925</v>
      </c>
      <c r="C232" s="49">
        <f>SUM(C234:C242)</f>
        <v>106470</v>
      </c>
      <c r="D232" s="49">
        <f>SUM(D233:D242)</f>
        <v>101525</v>
      </c>
      <c r="E232" s="49">
        <f>SUM(E233:E242)</f>
        <v>172375</v>
      </c>
    </row>
    <row r="233" spans="1:5" ht="14.1" customHeight="1" x14ac:dyDescent="0.2">
      <c r="A233" s="61" t="s">
        <v>180</v>
      </c>
      <c r="B233" s="49"/>
      <c r="C233" s="49"/>
      <c r="D233" s="33">
        <v>1000</v>
      </c>
      <c r="E233" s="33">
        <v>1000</v>
      </c>
    </row>
    <row r="234" spans="1:5" ht="14.1" customHeight="1" x14ac:dyDescent="0.2">
      <c r="A234" s="4" t="s">
        <v>55</v>
      </c>
      <c r="B234" s="33">
        <f>18000+3000+10000+1000+2125</f>
        <v>34125</v>
      </c>
      <c r="C234" s="33">
        <f>106470-420-37000</f>
        <v>69050</v>
      </c>
      <c r="D234" s="33">
        <v>22632</v>
      </c>
      <c r="E234" s="33">
        <v>28000</v>
      </c>
    </row>
    <row r="235" spans="1:5" ht="14.1" customHeight="1" x14ac:dyDescent="0.2">
      <c r="A235" s="4" t="s">
        <v>111</v>
      </c>
      <c r="B235" s="33">
        <v>4000</v>
      </c>
      <c r="C235" s="33">
        <v>420</v>
      </c>
      <c r="D235" s="33">
        <v>7540</v>
      </c>
      <c r="E235" s="33">
        <v>3450</v>
      </c>
    </row>
    <row r="236" spans="1:5" ht="14.1" hidden="1" customHeight="1" x14ac:dyDescent="0.2">
      <c r="A236" s="4" t="s">
        <v>97</v>
      </c>
      <c r="B236" s="33"/>
      <c r="C236" s="33"/>
      <c r="D236" s="33"/>
      <c r="E236" s="33"/>
    </row>
    <row r="237" spans="1:5" ht="14.1" hidden="1" customHeight="1" x14ac:dyDescent="0.2">
      <c r="A237" s="4" t="s">
        <v>98</v>
      </c>
      <c r="B237" s="33"/>
      <c r="C237" s="33"/>
      <c r="D237" s="33"/>
      <c r="E237" s="33"/>
    </row>
    <row r="238" spans="1:5" ht="14.1" customHeight="1" x14ac:dyDescent="0.2">
      <c r="A238" s="4" t="s">
        <v>90</v>
      </c>
      <c r="B238" s="33">
        <v>25000</v>
      </c>
      <c r="C238" s="33"/>
      <c r="D238" s="33">
        <v>2500</v>
      </c>
      <c r="E238" s="33">
        <v>8000</v>
      </c>
    </row>
    <row r="239" spans="1:5" ht="14.1" customHeight="1" x14ac:dyDescent="0.2">
      <c r="A239" s="4" t="s">
        <v>56</v>
      </c>
      <c r="B239" s="33">
        <v>20000</v>
      </c>
      <c r="C239" s="33">
        <v>37000</v>
      </c>
      <c r="D239" s="33">
        <v>55000</v>
      </c>
      <c r="E239" s="33">
        <v>65000</v>
      </c>
    </row>
    <row r="240" spans="1:5" ht="14.1" customHeight="1" x14ac:dyDescent="0.2">
      <c r="A240" s="4" t="s">
        <v>99</v>
      </c>
      <c r="B240" s="33"/>
      <c r="C240" s="33"/>
      <c r="D240" s="33">
        <v>4800</v>
      </c>
      <c r="E240" s="33">
        <v>26000</v>
      </c>
    </row>
    <row r="241" spans="1:6" ht="14.1" customHeight="1" x14ac:dyDescent="0.2">
      <c r="A241" s="4" t="s">
        <v>100</v>
      </c>
      <c r="B241" s="33">
        <v>300</v>
      </c>
      <c r="C241" s="33"/>
      <c r="D241" s="33">
        <v>6200</v>
      </c>
      <c r="E241" s="33">
        <v>5925</v>
      </c>
    </row>
    <row r="242" spans="1:6" ht="14.1" customHeight="1" x14ac:dyDescent="0.2">
      <c r="A242" s="7" t="s">
        <v>57</v>
      </c>
      <c r="B242" s="39">
        <v>2500</v>
      </c>
      <c r="C242" s="39"/>
      <c r="D242" s="39">
        <v>1853</v>
      </c>
      <c r="E242" s="39">
        <v>35000</v>
      </c>
    </row>
    <row r="243" spans="1:6" ht="20.100000000000001" customHeight="1" x14ac:dyDescent="0.2">
      <c r="A243" s="21" t="s">
        <v>112</v>
      </c>
      <c r="B243" s="36">
        <f>B248+B251+B256+B260+B264+B270+B278+B283+B289+B254</f>
        <v>108000</v>
      </c>
      <c r="C243" s="36">
        <f>C245+C246</f>
        <v>134120</v>
      </c>
      <c r="D243" s="36">
        <f>D245+D246</f>
        <v>252445</v>
      </c>
      <c r="E243" s="36">
        <f>E245+E246</f>
        <v>329085</v>
      </c>
      <c r="F243" s="65"/>
    </row>
    <row r="244" spans="1:6" ht="11.1" customHeight="1" x14ac:dyDescent="0.2">
      <c r="A244" s="4" t="s">
        <v>12</v>
      </c>
      <c r="B244" s="32"/>
      <c r="C244" s="32"/>
      <c r="D244" s="32"/>
      <c r="E244" s="32"/>
    </row>
    <row r="245" spans="1:6" ht="12.75" customHeight="1" x14ac:dyDescent="0.2">
      <c r="A245" s="5" t="s">
        <v>17</v>
      </c>
      <c r="B245" s="32">
        <f>B261+B266+B273+B276+B280+B285+B294+B275+B287+B290+B268+B291</f>
        <v>13785.5</v>
      </c>
      <c r="C245" s="32">
        <f>C261+C266+C273+C276+C280+C285+C294+C275+C287+C290+C268+C291</f>
        <v>20750</v>
      </c>
      <c r="D245" s="32">
        <f>D261+D266+D273+D276+D280+D285+D294+D275+D287+D290+D268+D291</f>
        <v>40250</v>
      </c>
      <c r="E245" s="32">
        <f>E261+E266+E273+E276+E280+E285+E294+E275+E287+E290+E268+E291</f>
        <v>30547</v>
      </c>
    </row>
    <row r="246" spans="1:6" ht="12.75" customHeight="1" x14ac:dyDescent="0.2">
      <c r="A246" s="5" t="s">
        <v>22</v>
      </c>
      <c r="B246" s="32">
        <f>B248+B251+B256+B260+B264+B270+B278+B283-B245+B289</f>
        <v>94214.5</v>
      </c>
      <c r="C246" s="32">
        <f>C248+C251+C256+C260+C264+C270+C278+C283-C245+C289</f>
        <v>113370</v>
      </c>
      <c r="D246" s="32">
        <f>D248+D251+D256+D260+D264+D270+D278+D283-D245+D289</f>
        <v>212195</v>
      </c>
      <c r="E246" s="32">
        <f>E248+E251+E256+E260+E264+E270+E278+E283-E245+E289</f>
        <v>298538</v>
      </c>
    </row>
    <row r="247" spans="1:6" ht="12.75" customHeight="1" x14ac:dyDescent="0.2">
      <c r="A247" s="3" t="s">
        <v>58</v>
      </c>
      <c r="B247" s="33"/>
      <c r="C247" s="33"/>
      <c r="D247" s="33"/>
      <c r="E247" s="33"/>
    </row>
    <row r="248" spans="1:6" ht="12.75" customHeight="1" x14ac:dyDescent="0.2">
      <c r="A248" s="10" t="s">
        <v>59</v>
      </c>
      <c r="B248" s="48">
        <v>2000</v>
      </c>
      <c r="C248" s="48">
        <v>0</v>
      </c>
      <c r="D248" s="48">
        <v>0</v>
      </c>
      <c r="E248" s="48">
        <f>E249</f>
        <v>1000</v>
      </c>
    </row>
    <row r="249" spans="1:6" ht="12.75" customHeight="1" x14ac:dyDescent="0.2">
      <c r="A249" s="4" t="s">
        <v>60</v>
      </c>
      <c r="B249" s="33">
        <v>2000</v>
      </c>
      <c r="C249" s="33"/>
      <c r="D249" s="33"/>
      <c r="E249" s="33">
        <v>1000</v>
      </c>
    </row>
    <row r="250" spans="1:6" ht="12.75" hidden="1" customHeight="1" x14ac:dyDescent="0.2">
      <c r="A250" s="4" t="s">
        <v>61</v>
      </c>
      <c r="B250" s="33"/>
      <c r="C250" s="33"/>
      <c r="D250" s="33"/>
      <c r="E250" s="33"/>
    </row>
    <row r="251" spans="1:6" ht="12.75" customHeight="1" x14ac:dyDescent="0.2">
      <c r="A251" s="10" t="s">
        <v>62</v>
      </c>
      <c r="B251" s="48">
        <v>560</v>
      </c>
      <c r="C251" s="48">
        <v>3000</v>
      </c>
      <c r="D251" s="48">
        <v>1450</v>
      </c>
      <c r="E251" s="48">
        <f>E252</f>
        <v>6358</v>
      </c>
    </row>
    <row r="252" spans="1:6" ht="12.75" customHeight="1" x14ac:dyDescent="0.2">
      <c r="A252" s="4" t="s">
        <v>60</v>
      </c>
      <c r="B252" s="33">
        <v>560</v>
      </c>
      <c r="C252" s="33">
        <v>3000</v>
      </c>
      <c r="D252" s="33">
        <v>1450</v>
      </c>
      <c r="E252" s="33">
        <v>6358</v>
      </c>
    </row>
    <row r="253" spans="1:6" ht="12.75" hidden="1" customHeight="1" x14ac:dyDescent="0.2">
      <c r="A253" s="4" t="s">
        <v>61</v>
      </c>
      <c r="B253" s="33"/>
      <c r="C253" s="33"/>
      <c r="D253" s="33"/>
      <c r="E253" s="33"/>
    </row>
    <row r="254" spans="1:6" ht="12.75" hidden="1" customHeight="1" x14ac:dyDescent="0.2">
      <c r="A254" s="10" t="s">
        <v>108</v>
      </c>
      <c r="B254" s="33"/>
      <c r="C254" s="33"/>
      <c r="D254" s="33"/>
      <c r="E254" s="33"/>
    </row>
    <row r="255" spans="1:6" ht="12.75" hidden="1" customHeight="1" x14ac:dyDescent="0.2">
      <c r="A255" s="4" t="s">
        <v>109</v>
      </c>
      <c r="B255" s="33"/>
      <c r="C255" s="33"/>
      <c r="D255" s="33"/>
      <c r="E255" s="33"/>
    </row>
    <row r="256" spans="1:6" ht="12.75" customHeight="1" x14ac:dyDescent="0.2">
      <c r="A256" s="10" t="s">
        <v>63</v>
      </c>
      <c r="B256" s="48">
        <v>17000</v>
      </c>
      <c r="C256" s="48">
        <v>24000</v>
      </c>
      <c r="D256" s="48">
        <v>24000</v>
      </c>
      <c r="E256" s="48">
        <f>E257</f>
        <v>34000</v>
      </c>
    </row>
    <row r="257" spans="1:5" ht="12.75" customHeight="1" x14ac:dyDescent="0.2">
      <c r="A257" s="4" t="s">
        <v>171</v>
      </c>
      <c r="B257" s="33">
        <v>10000</v>
      </c>
      <c r="C257" s="33">
        <v>9000</v>
      </c>
      <c r="D257" s="33">
        <v>24000</v>
      </c>
      <c r="E257" s="33">
        <v>34000</v>
      </c>
    </row>
    <row r="258" spans="1:5" ht="12.75" hidden="1" customHeight="1" x14ac:dyDescent="0.2">
      <c r="A258" s="4" t="s">
        <v>94</v>
      </c>
      <c r="B258" s="33">
        <v>5000</v>
      </c>
      <c r="C258" s="33">
        <v>15000</v>
      </c>
      <c r="D258" s="33"/>
      <c r="E258" s="33"/>
    </row>
    <row r="259" spans="1:5" ht="12.75" hidden="1" customHeight="1" x14ac:dyDescent="0.2">
      <c r="A259" s="4" t="s">
        <v>61</v>
      </c>
      <c r="B259" s="33">
        <v>2000</v>
      </c>
      <c r="C259" s="33"/>
      <c r="D259" s="33"/>
      <c r="E259" s="33"/>
    </row>
    <row r="260" spans="1:5" ht="12.75" customHeight="1" x14ac:dyDescent="0.2">
      <c r="A260" s="10" t="s">
        <v>65</v>
      </c>
      <c r="B260" s="48">
        <v>2600.5</v>
      </c>
      <c r="C260" s="48">
        <v>2120</v>
      </c>
      <c r="D260" s="48">
        <f>D261+D262</f>
        <v>29120</v>
      </c>
      <c r="E260" s="48">
        <f>E261+E262</f>
        <v>5277</v>
      </c>
    </row>
    <row r="261" spans="1:5" ht="12.75" customHeight="1" x14ac:dyDescent="0.2">
      <c r="A261" s="4" t="s">
        <v>66</v>
      </c>
      <c r="B261" s="33">
        <v>2600.5</v>
      </c>
      <c r="C261" s="33">
        <v>1560</v>
      </c>
      <c r="D261" s="33">
        <v>1370</v>
      </c>
      <c r="E261" s="33">
        <v>2337</v>
      </c>
    </row>
    <row r="262" spans="1:5" ht="12.75" customHeight="1" x14ac:dyDescent="0.2">
      <c r="A262" s="4" t="s">
        <v>64</v>
      </c>
      <c r="B262" s="33"/>
      <c r="C262" s="33">
        <v>560</v>
      </c>
      <c r="D262" s="33">
        <v>27750</v>
      </c>
      <c r="E262" s="33">
        <v>2940</v>
      </c>
    </row>
    <row r="263" spans="1:5" ht="12.75" hidden="1" customHeight="1" x14ac:dyDescent="0.2">
      <c r="A263" s="4" t="s">
        <v>61</v>
      </c>
      <c r="B263" s="33"/>
      <c r="C263" s="33"/>
      <c r="D263" s="33"/>
      <c r="E263" s="33"/>
    </row>
    <row r="264" spans="1:5" ht="12.75" customHeight="1" x14ac:dyDescent="0.2">
      <c r="A264" s="10" t="s">
        <v>67</v>
      </c>
      <c r="B264" s="48">
        <f>22800+3000</f>
        <v>25800</v>
      </c>
      <c r="C264" s="48">
        <v>32000</v>
      </c>
      <c r="D264" s="48">
        <f>D265+D266+D267+D268</f>
        <v>44000</v>
      </c>
      <c r="E264" s="48">
        <f>E265+E266+E267+E268</f>
        <v>44000</v>
      </c>
    </row>
    <row r="265" spans="1:5" ht="12.75" customHeight="1" x14ac:dyDescent="0.2">
      <c r="A265" s="4" t="s">
        <v>68</v>
      </c>
      <c r="B265" s="33">
        <v>19200</v>
      </c>
      <c r="C265" s="33">
        <v>22700</v>
      </c>
      <c r="D265" s="33">
        <v>13300</v>
      </c>
      <c r="E265" s="33">
        <v>23090</v>
      </c>
    </row>
    <row r="266" spans="1:5" ht="12.75" customHeight="1" x14ac:dyDescent="0.2">
      <c r="A266" s="4" t="s">
        <v>74</v>
      </c>
      <c r="B266" s="33">
        <v>6600</v>
      </c>
      <c r="C266" s="33">
        <v>6000</v>
      </c>
      <c r="D266" s="33">
        <v>15700</v>
      </c>
      <c r="E266" s="33">
        <v>20910</v>
      </c>
    </row>
    <row r="267" spans="1:5" ht="12.75" hidden="1" customHeight="1" x14ac:dyDescent="0.2">
      <c r="A267" s="4" t="s">
        <v>69</v>
      </c>
      <c r="B267" s="33"/>
      <c r="C267" s="33"/>
      <c r="D267" s="33">
        <v>12000</v>
      </c>
      <c r="E267" s="33"/>
    </row>
    <row r="268" spans="1:5" ht="12.75" hidden="1" customHeight="1" x14ac:dyDescent="0.2">
      <c r="A268" s="7" t="s">
        <v>72</v>
      </c>
      <c r="B268" s="39"/>
      <c r="C268" s="39">
        <v>3300</v>
      </c>
      <c r="D268" s="39">
        <v>3000</v>
      </c>
      <c r="E268" s="39"/>
    </row>
    <row r="269" spans="1:5" ht="12.75" hidden="1" customHeight="1" x14ac:dyDescent="0.2">
      <c r="A269" s="4" t="s">
        <v>61</v>
      </c>
      <c r="B269" s="33"/>
      <c r="C269" s="33"/>
      <c r="D269" s="33"/>
      <c r="E269" s="33"/>
    </row>
    <row r="270" spans="1:5" ht="12.75" customHeight="1" x14ac:dyDescent="0.2">
      <c r="A270" s="10" t="s">
        <v>70</v>
      </c>
      <c r="B270" s="48">
        <f>B271+B272+B273+B274+B275+B276+B277</f>
        <v>40539.5</v>
      </c>
      <c r="C270" s="48">
        <f>SUM(C271:C277)</f>
        <v>45000</v>
      </c>
      <c r="D270" s="48">
        <f>SUM(D271:D277)</f>
        <v>75875</v>
      </c>
      <c r="E270" s="48">
        <f>SUM(E271:E277)</f>
        <v>210450</v>
      </c>
    </row>
    <row r="271" spans="1:5" ht="12.75" customHeight="1" x14ac:dyDescent="0.2">
      <c r="A271" s="4" t="s">
        <v>60</v>
      </c>
      <c r="B271" s="33">
        <v>13680</v>
      </c>
      <c r="C271" s="33">
        <v>11300</v>
      </c>
      <c r="D271" s="33">
        <v>54179</v>
      </c>
      <c r="E271" s="33">
        <v>203900</v>
      </c>
    </row>
    <row r="272" spans="1:5" ht="12.75" hidden="1" customHeight="1" x14ac:dyDescent="0.2">
      <c r="A272" s="4" t="s">
        <v>71</v>
      </c>
      <c r="B272" s="33">
        <v>20210</v>
      </c>
      <c r="C272" s="33">
        <v>4000</v>
      </c>
      <c r="D272" s="33"/>
      <c r="E272" s="33"/>
    </row>
    <row r="273" spans="1:6" ht="12.75" hidden="1" customHeight="1" x14ac:dyDescent="0.2">
      <c r="A273" s="4" t="s">
        <v>92</v>
      </c>
      <c r="B273" s="33"/>
      <c r="C273" s="33"/>
      <c r="D273" s="33"/>
      <c r="E273" s="33"/>
    </row>
    <row r="274" spans="1:6" ht="12.75" hidden="1" customHeight="1" x14ac:dyDescent="0.2">
      <c r="A274" s="4" t="s">
        <v>94</v>
      </c>
      <c r="B274" s="33"/>
      <c r="C274" s="33">
        <v>19462</v>
      </c>
      <c r="D274" s="33">
        <v>796</v>
      </c>
      <c r="E274" s="33"/>
    </row>
    <row r="275" spans="1:6" ht="12.75" hidden="1" customHeight="1" x14ac:dyDescent="0.2">
      <c r="A275" s="4" t="s">
        <v>74</v>
      </c>
      <c r="B275" s="33"/>
      <c r="C275" s="33">
        <v>4000</v>
      </c>
      <c r="D275" s="33"/>
      <c r="E275" s="33"/>
    </row>
    <row r="276" spans="1:6" ht="12.75" customHeight="1" x14ac:dyDescent="0.2">
      <c r="A276" s="4" t="s">
        <v>72</v>
      </c>
      <c r="B276" s="33">
        <v>4320</v>
      </c>
      <c r="C276" s="33">
        <v>4700</v>
      </c>
      <c r="D276" s="33">
        <v>15900</v>
      </c>
      <c r="E276" s="33">
        <v>6550</v>
      </c>
    </row>
    <row r="277" spans="1:6" ht="12.75" hidden="1" customHeight="1" x14ac:dyDescent="0.2">
      <c r="A277" s="4" t="s">
        <v>61</v>
      </c>
      <c r="B277" s="33">
        <v>2329.5</v>
      </c>
      <c r="C277" s="33">
        <v>1538</v>
      </c>
      <c r="D277" s="33">
        <v>5000</v>
      </c>
      <c r="E277" s="33"/>
    </row>
    <row r="278" spans="1:6" ht="12.75" customHeight="1" x14ac:dyDescent="0.2">
      <c r="A278" s="10" t="s">
        <v>73</v>
      </c>
      <c r="B278" s="48">
        <f>B279+B280+B281+B282</f>
        <v>1500</v>
      </c>
      <c r="C278" s="48">
        <f>SUM(C279:C282)</f>
        <v>3000</v>
      </c>
      <c r="D278" s="48">
        <f>SUM(D279:D282)</f>
        <v>3000</v>
      </c>
      <c r="E278" s="48">
        <f>SUM(E279:E282)</f>
        <v>3000</v>
      </c>
    </row>
    <row r="279" spans="1:6" ht="12.75" customHeight="1" x14ac:dyDescent="0.2">
      <c r="A279" s="4" t="s">
        <v>68</v>
      </c>
      <c r="B279" s="33">
        <v>735</v>
      </c>
      <c r="C279" s="33">
        <v>700</v>
      </c>
      <c r="D279" s="33">
        <v>200</v>
      </c>
      <c r="E279" s="33">
        <v>1558</v>
      </c>
    </row>
    <row r="280" spans="1:6" ht="12.75" customHeight="1" x14ac:dyDescent="0.2">
      <c r="A280" s="4" t="s">
        <v>74</v>
      </c>
      <c r="B280" s="33">
        <v>265</v>
      </c>
      <c r="C280" s="33">
        <v>690</v>
      </c>
      <c r="D280" s="33">
        <v>1400</v>
      </c>
      <c r="E280" s="33">
        <v>750</v>
      </c>
    </row>
    <row r="281" spans="1:6" ht="12.75" customHeight="1" x14ac:dyDescent="0.2">
      <c r="A281" s="4" t="s">
        <v>75</v>
      </c>
      <c r="B281" s="33">
        <v>500</v>
      </c>
      <c r="C281" s="33">
        <v>1500</v>
      </c>
      <c r="D281" s="33">
        <v>1400</v>
      </c>
      <c r="E281" s="33">
        <v>692</v>
      </c>
    </row>
    <row r="282" spans="1:6" ht="12.75" hidden="1" customHeight="1" x14ac:dyDescent="0.2">
      <c r="A282" s="4" t="s">
        <v>61</v>
      </c>
      <c r="B282" s="33"/>
      <c r="C282" s="33">
        <v>110</v>
      </c>
      <c r="D282" s="33"/>
      <c r="E282" s="33"/>
    </row>
    <row r="283" spans="1:6" ht="12.75" customHeight="1" x14ac:dyDescent="0.2">
      <c r="A283" s="10" t="s">
        <v>76</v>
      </c>
      <c r="B283" s="48">
        <v>18000</v>
      </c>
      <c r="C283" s="48">
        <v>10000</v>
      </c>
      <c r="D283" s="48">
        <f>SUM(D284:D288)</f>
        <v>60000</v>
      </c>
      <c r="E283" s="48">
        <f>SUM(E284:E288)</f>
        <v>10000</v>
      </c>
      <c r="F283" s="65"/>
    </row>
    <row r="284" spans="1:6" ht="12.75" customHeight="1" x14ac:dyDescent="0.2">
      <c r="A284" s="4" t="s">
        <v>68</v>
      </c>
      <c r="B284" s="33"/>
      <c r="C284" s="33">
        <v>2370</v>
      </c>
      <c r="D284" s="33">
        <v>2420</v>
      </c>
      <c r="E284" s="33">
        <v>1550</v>
      </c>
    </row>
    <row r="285" spans="1:6" ht="12.75" hidden="1" customHeight="1" x14ac:dyDescent="0.2">
      <c r="A285" s="4" t="s">
        <v>74</v>
      </c>
      <c r="B285" s="33"/>
      <c r="C285" s="33">
        <v>500</v>
      </c>
      <c r="D285" s="33">
        <v>2880</v>
      </c>
      <c r="E285" s="33"/>
    </row>
    <row r="286" spans="1:6" ht="12.75" customHeight="1" x14ac:dyDescent="0.2">
      <c r="A286" s="4" t="s">
        <v>75</v>
      </c>
      <c r="B286" s="33">
        <v>17000</v>
      </c>
      <c r="C286" s="33">
        <v>7130</v>
      </c>
      <c r="D286" s="33">
        <v>54700</v>
      </c>
      <c r="E286" s="33">
        <v>8200</v>
      </c>
    </row>
    <row r="287" spans="1:6" ht="12.75" hidden="1" customHeight="1" x14ac:dyDescent="0.2">
      <c r="A287" s="4" t="s">
        <v>72</v>
      </c>
      <c r="B287" s="33"/>
      <c r="C287" s="33"/>
      <c r="D287" s="33"/>
      <c r="E287" s="33"/>
    </row>
    <row r="288" spans="1:6" ht="12.75" customHeight="1" x14ac:dyDescent="0.2">
      <c r="A288" s="4" t="s">
        <v>61</v>
      </c>
      <c r="B288" s="42">
        <v>1000</v>
      </c>
      <c r="C288" s="42"/>
      <c r="D288" s="42"/>
      <c r="E288" s="42">
        <v>250</v>
      </c>
    </row>
    <row r="289" spans="1:5" ht="17.25" customHeight="1" thickBot="1" x14ac:dyDescent="0.25">
      <c r="A289" s="29" t="s">
        <v>151</v>
      </c>
      <c r="B289" s="42"/>
      <c r="C289" s="57">
        <v>15000</v>
      </c>
      <c r="D289" s="57">
        <v>15000</v>
      </c>
      <c r="E289" s="57">
        <v>15000</v>
      </c>
    </row>
    <row r="290" spans="1:5" ht="12.75" hidden="1" customHeight="1" x14ac:dyDescent="0.2">
      <c r="A290" s="19" t="s">
        <v>122</v>
      </c>
      <c r="B290" s="42"/>
      <c r="C290" s="42"/>
      <c r="D290" s="42"/>
      <c r="E290" s="42"/>
    </row>
    <row r="291" spans="1:5" ht="12.75" hidden="1" customHeight="1" x14ac:dyDescent="0.2">
      <c r="A291" s="19" t="s">
        <v>120</v>
      </c>
      <c r="B291" s="42"/>
      <c r="C291" s="42"/>
      <c r="D291" s="42"/>
      <c r="E291" s="42"/>
    </row>
    <row r="292" spans="1:5" ht="12.75" hidden="1" customHeight="1" x14ac:dyDescent="0.2">
      <c r="A292" s="19" t="s">
        <v>121</v>
      </c>
      <c r="B292" s="42"/>
      <c r="C292" s="42"/>
      <c r="D292" s="42"/>
      <c r="E292" s="42"/>
    </row>
    <row r="293" spans="1:5" ht="12.75" hidden="1" customHeight="1" x14ac:dyDescent="0.2">
      <c r="A293" s="19" t="s">
        <v>123</v>
      </c>
      <c r="B293" s="42"/>
      <c r="C293" s="42"/>
      <c r="D293" s="42"/>
      <c r="E293" s="42"/>
    </row>
    <row r="294" spans="1:5" ht="12.75" hidden="1" customHeight="1" thickBot="1" x14ac:dyDescent="0.25">
      <c r="A294" s="18" t="s">
        <v>93</v>
      </c>
      <c r="B294" s="50"/>
      <c r="C294" s="50"/>
      <c r="D294" s="50"/>
      <c r="E294" s="50"/>
    </row>
    <row r="295" spans="1:5" ht="12.75" customHeight="1" x14ac:dyDescent="0.2">
      <c r="A295" s="11" t="s">
        <v>77</v>
      </c>
      <c r="B295" s="51">
        <f>B33+B47+B60+B70+B78+B91+B99+B109+B118+B129+B157+B167+B180+B187+B196+B218+B220+B245+B213+B139</f>
        <v>2807727.0000000005</v>
      </c>
      <c r="C295" s="51">
        <f>C33+C47+C60+C70+C78+C91+C99+C109+C118+C129+C157+C167+C180+C187+C196+C218+C220+C245+C213+C139</f>
        <v>2795879.7999999993</v>
      </c>
      <c r="D295" s="51">
        <f>D33+D47+D60+D70+D78+D91+D99+D109+D118+D129+D157+D167+D180+D187+D196+D218+D220+D245+D213+D139</f>
        <v>2862333.3</v>
      </c>
      <c r="E295" s="51">
        <f>E33+E47+E60+E70+E78+E91+E99+E109+E118+E129+E157+E167+E180+E187+E196+E218+E220+E245+E213+E139</f>
        <v>2914638</v>
      </c>
    </row>
    <row r="296" spans="1:5" ht="12.75" customHeight="1" thickBot="1" x14ac:dyDescent="0.25">
      <c r="A296" s="12" t="s">
        <v>78</v>
      </c>
      <c r="B296" s="52">
        <f>B64+B183+B95+B113+B125+B173+B103+B219+B232+B246+B42+B87+B56+B134+B162+B208+B147+B74</f>
        <v>387180.4</v>
      </c>
      <c r="C296" s="52">
        <f>C64+C183+C95+C113+C125+C173+C103+C219+C232+C246+C42+C87+C56+C134+C162+C208+C147+C74</f>
        <v>719024.2</v>
      </c>
      <c r="D296" s="52">
        <f>D64+D183+D95+D113+D125+D173+D103+D219+D232+D246+D42+D87+D56+D134+D162+D208+D147+D74</f>
        <v>801339.6</v>
      </c>
      <c r="E296" s="52">
        <f>E64+E183+E95+E113+E125+E173+E103+E219+E232+E246+E42+E87+E56+E134+E162+E208+E147+E74</f>
        <v>719699</v>
      </c>
    </row>
    <row r="297" spans="1:5" ht="21.95" customHeight="1" thickBot="1" x14ac:dyDescent="0.25">
      <c r="A297" s="20" t="s">
        <v>79</v>
      </c>
      <c r="B297" s="34">
        <f>B32+B46+B59+B77+B108+B117+B128+B156+B179+B186+B243+B98+B90+B166+B69+B216+B212+B195+B138</f>
        <v>3194907.4000000004</v>
      </c>
      <c r="C297" s="34">
        <f>C32+C46+C59+C77+C108+C117+C128+C156+C179+C186+C243+C98+C90+C166+C69+C216+C212+C195+C138</f>
        <v>3514903.9999999995</v>
      </c>
      <c r="D297" s="34">
        <f>D32+D46+D59+D77+D108+D117+D128+D156+D179+D186+D243+D98+D90+D166+D69+D216+D212+D195+D138</f>
        <v>3663672.9</v>
      </c>
      <c r="E297" s="34">
        <f>E32+E46+E59+E77+E108+E117+E128+E156+E179+E186+E243+E98+E90+E166+E69+E216+E212+E195+E138</f>
        <v>3634336.9999999995</v>
      </c>
    </row>
    <row r="298" spans="1:5" ht="21.95" customHeight="1" thickTop="1" thickBot="1" x14ac:dyDescent="0.25">
      <c r="A298" s="63" t="s">
        <v>175</v>
      </c>
      <c r="B298" s="64"/>
      <c r="C298" s="64"/>
      <c r="D298" s="64">
        <f>D30-D297</f>
        <v>-18144.600000000093</v>
      </c>
      <c r="E298" s="64">
        <f>E30-E297</f>
        <v>262500.00000000047</v>
      </c>
    </row>
    <row r="299" spans="1:5" ht="20.100000000000001" customHeight="1" thickTop="1" x14ac:dyDescent="0.2">
      <c r="A299" s="22" t="s">
        <v>80</v>
      </c>
      <c r="B299" s="53">
        <f t="shared" ref="B299:C299" si="84">SUM(B301:B303)</f>
        <v>-112500</v>
      </c>
      <c r="C299" s="53">
        <f t="shared" si="84"/>
        <v>137500</v>
      </c>
      <c r="D299" s="53">
        <f t="shared" ref="D299" si="85">SUM(D301:D303)</f>
        <v>18144.619999999995</v>
      </c>
      <c r="E299" s="53">
        <f t="shared" ref="E299" si="86">SUM(E301:E303)</f>
        <v>-262500</v>
      </c>
    </row>
    <row r="300" spans="1:5" ht="9.9499999999999993" customHeight="1" x14ac:dyDescent="0.2">
      <c r="A300" s="13" t="s">
        <v>12</v>
      </c>
      <c r="B300" s="54"/>
      <c r="C300" s="54"/>
      <c r="D300" s="54"/>
      <c r="E300" s="54"/>
    </row>
    <row r="301" spans="1:5" ht="12.75" customHeight="1" thickBot="1" x14ac:dyDescent="0.25">
      <c r="A301" s="14" t="s">
        <v>182</v>
      </c>
      <c r="B301" s="66">
        <v>-162500</v>
      </c>
      <c r="C301" s="66">
        <v>-162500</v>
      </c>
      <c r="D301" s="66">
        <v>-262500</v>
      </c>
      <c r="E301" s="66">
        <v>-262500</v>
      </c>
    </row>
    <row r="302" spans="1:5" ht="12.75" hidden="1" customHeight="1" x14ac:dyDescent="0.2">
      <c r="A302" s="13" t="s">
        <v>135</v>
      </c>
      <c r="B302" s="46"/>
      <c r="C302" s="46"/>
      <c r="D302" s="46"/>
      <c r="E302" s="46"/>
    </row>
    <row r="303" spans="1:5" ht="12.95" hidden="1" customHeight="1" thickBot="1" x14ac:dyDescent="0.25">
      <c r="A303" s="14" t="s">
        <v>142</v>
      </c>
      <c r="B303" s="50">
        <v>50000</v>
      </c>
      <c r="C303" s="50">
        <v>300000</v>
      </c>
      <c r="D303" s="50">
        <v>280644.62</v>
      </c>
      <c r="E303" s="50"/>
    </row>
    <row r="304" spans="1:5" ht="12.95" customHeight="1" x14ac:dyDescent="0.2">
      <c r="A304" s="15"/>
      <c r="B304" s="55"/>
      <c r="C304" s="55"/>
      <c r="D304" s="55"/>
    </row>
    <row r="305" spans="1:3" ht="12.75" customHeight="1" x14ac:dyDescent="0.2">
      <c r="A305" s="16"/>
      <c r="B305" s="56"/>
      <c r="C305" s="56"/>
    </row>
    <row r="306" spans="1:3" ht="12.75" hidden="1" customHeight="1" x14ac:dyDescent="0.2">
      <c r="A306" t="s">
        <v>17</v>
      </c>
      <c r="B306" s="56"/>
      <c r="C306" s="56"/>
    </row>
    <row r="307" spans="1:3" ht="12.75" hidden="1" customHeight="1" x14ac:dyDescent="0.2">
      <c r="A307" t="s">
        <v>22</v>
      </c>
      <c r="B307" s="56"/>
      <c r="C307" s="56"/>
    </row>
    <row r="308" spans="1:3" ht="12.75" customHeight="1" x14ac:dyDescent="0.2">
      <c r="B308" s="56"/>
      <c r="C308" s="56"/>
    </row>
    <row r="309" spans="1:3" ht="12.75" customHeight="1" x14ac:dyDescent="0.2">
      <c r="B309" s="56"/>
      <c r="C309" s="56"/>
    </row>
    <row r="310" spans="1:3" ht="12.75" customHeight="1" x14ac:dyDescent="0.2">
      <c r="B310" s="56"/>
      <c r="C310" s="56"/>
    </row>
    <row r="311" spans="1:3" ht="12.75" customHeight="1" x14ac:dyDescent="0.2">
      <c r="B311" s="56"/>
      <c r="C311" s="56"/>
    </row>
    <row r="312" spans="1:3" ht="12.75" customHeight="1" x14ac:dyDescent="0.2">
      <c r="B312" s="56"/>
      <c r="C312" s="56"/>
    </row>
    <row r="313" spans="1:3" ht="12.75" customHeight="1" x14ac:dyDescent="0.2">
      <c r="B313" s="56"/>
      <c r="C313" s="56"/>
    </row>
    <row r="314" spans="1:3" ht="12.75" customHeight="1" x14ac:dyDescent="0.2">
      <c r="B314" s="56"/>
      <c r="C314" s="56"/>
    </row>
    <row r="315" spans="1:3" ht="12.75" customHeight="1" x14ac:dyDescent="0.2">
      <c r="B315" s="56"/>
      <c r="C315" s="56"/>
    </row>
    <row r="316" spans="1:3" ht="12.75" customHeight="1" x14ac:dyDescent="0.2">
      <c r="B316" s="56"/>
      <c r="C316" s="56"/>
    </row>
    <row r="317" spans="1:3" ht="12.75" customHeight="1" x14ac:dyDescent="0.2">
      <c r="B317" s="56"/>
      <c r="C317" s="56"/>
    </row>
    <row r="318" spans="1:3" ht="12.75" customHeight="1" x14ac:dyDescent="0.2">
      <c r="A318" s="17"/>
      <c r="B318" s="56"/>
      <c r="C318" s="56"/>
    </row>
    <row r="319" spans="1:3" ht="12.75" customHeight="1" x14ac:dyDescent="0.2">
      <c r="A319" s="17"/>
      <c r="B319" s="56"/>
      <c r="C319" s="56"/>
    </row>
    <row r="320" spans="1:3" ht="15" customHeight="1" x14ac:dyDescent="0.2">
      <c r="A320" s="17"/>
      <c r="B320" s="56"/>
      <c r="C320" s="56"/>
    </row>
    <row r="321" spans="2:3" x14ac:dyDescent="0.2">
      <c r="B321" s="56"/>
      <c r="C321" s="56"/>
    </row>
    <row r="322" spans="2:3" ht="15" customHeight="1" x14ac:dyDescent="0.2">
      <c r="B322" s="56"/>
      <c r="C322" s="56"/>
    </row>
    <row r="323" spans="2:3" ht="15" customHeight="1" x14ac:dyDescent="0.2">
      <c r="B323" s="56"/>
      <c r="C323" s="56"/>
    </row>
    <row r="324" spans="2:3" ht="15" customHeight="1" x14ac:dyDescent="0.2">
      <c r="B324" s="56"/>
      <c r="C324" s="56"/>
    </row>
    <row r="325" spans="2:3" ht="15" customHeight="1" x14ac:dyDescent="0.2">
      <c r="B325" s="56"/>
      <c r="C325" s="56"/>
    </row>
    <row r="326" spans="2:3" ht="15" customHeight="1" x14ac:dyDescent="0.2">
      <c r="B326" s="56"/>
      <c r="C326" s="56"/>
    </row>
    <row r="327" spans="2:3" ht="15" customHeight="1" x14ac:dyDescent="0.2">
      <c r="B327" s="56"/>
      <c r="C327" s="56"/>
    </row>
    <row r="328" spans="2:3" ht="15" customHeight="1" x14ac:dyDescent="0.2">
      <c r="B328" s="56"/>
      <c r="C328" s="56"/>
    </row>
    <row r="329" spans="2:3" ht="15" customHeight="1" x14ac:dyDescent="0.2">
      <c r="B329" s="56"/>
      <c r="C329" s="56"/>
    </row>
    <row r="330" spans="2:3" ht="15" customHeight="1" x14ac:dyDescent="0.2">
      <c r="B330" s="56"/>
      <c r="C330" s="56"/>
    </row>
    <row r="331" spans="2:3" ht="15" customHeight="1" x14ac:dyDescent="0.2">
      <c r="B331" s="56"/>
      <c r="C331" s="56"/>
    </row>
    <row r="332" spans="2:3" ht="15" customHeight="1" x14ac:dyDescent="0.2">
      <c r="B332" s="56"/>
      <c r="C332" s="56"/>
    </row>
    <row r="333" spans="2:3" ht="15" customHeight="1" x14ac:dyDescent="0.2">
      <c r="B333" s="56"/>
      <c r="C333" s="56"/>
    </row>
    <row r="334" spans="2:3" ht="15" customHeight="1" x14ac:dyDescent="0.2">
      <c r="B334" s="56"/>
      <c r="C334" s="56"/>
    </row>
    <row r="335" spans="2:3" ht="15" customHeight="1" x14ac:dyDescent="0.2">
      <c r="B335" s="56"/>
      <c r="C335" s="56"/>
    </row>
    <row r="336" spans="2:3" ht="15" customHeight="1" x14ac:dyDescent="0.2">
      <c r="B336" s="56"/>
      <c r="C336" s="56"/>
    </row>
    <row r="337" spans="2:3" ht="15" customHeight="1" x14ac:dyDescent="0.2">
      <c r="B337" s="56"/>
      <c r="C337" s="56"/>
    </row>
    <row r="338" spans="2:3" ht="15" customHeight="1" x14ac:dyDescent="0.2">
      <c r="B338" s="56"/>
      <c r="C338" s="56"/>
    </row>
    <row r="339" spans="2:3" ht="15" customHeight="1" x14ac:dyDescent="0.2">
      <c r="B339" s="56"/>
      <c r="C339" s="56"/>
    </row>
    <row r="340" spans="2:3" ht="15" customHeight="1" x14ac:dyDescent="0.2">
      <c r="B340" s="56"/>
      <c r="C340" s="56"/>
    </row>
    <row r="341" spans="2:3" ht="15" customHeight="1" x14ac:dyDescent="0.2">
      <c r="B341" s="56"/>
      <c r="C341" s="56"/>
    </row>
    <row r="342" spans="2:3" ht="15" customHeight="1" x14ac:dyDescent="0.2">
      <c r="B342" s="56"/>
      <c r="C342" s="56"/>
    </row>
    <row r="343" spans="2:3" ht="15" customHeight="1" x14ac:dyDescent="0.2">
      <c r="B343" s="56"/>
      <c r="C343" s="56"/>
    </row>
    <row r="344" spans="2:3" ht="15" customHeight="1" x14ac:dyDescent="0.2">
      <c r="B344" s="56"/>
      <c r="C344" s="56"/>
    </row>
    <row r="345" spans="2:3" ht="15" customHeight="1" x14ac:dyDescent="0.2">
      <c r="B345" s="56"/>
      <c r="C345" s="56"/>
    </row>
    <row r="346" spans="2:3" ht="15" customHeight="1" x14ac:dyDescent="0.2">
      <c r="B346" s="56"/>
      <c r="C346" s="56"/>
    </row>
    <row r="347" spans="2:3" ht="15" customHeight="1" x14ac:dyDescent="0.2">
      <c r="B347" s="56"/>
      <c r="C347" s="56"/>
    </row>
    <row r="348" spans="2:3" ht="15" customHeight="1" x14ac:dyDescent="0.2">
      <c r="B348" s="56"/>
      <c r="C348" s="56"/>
    </row>
    <row r="349" spans="2:3" ht="15" customHeight="1" x14ac:dyDescent="0.2">
      <c r="B349" s="56"/>
      <c r="C349" s="56"/>
    </row>
    <row r="350" spans="2:3" ht="15" customHeight="1" x14ac:dyDescent="0.2">
      <c r="B350" s="56"/>
      <c r="C350" s="56"/>
    </row>
    <row r="351" spans="2:3" ht="15" customHeight="1" x14ac:dyDescent="0.2">
      <c r="B351" s="56"/>
      <c r="C351" s="56"/>
    </row>
    <row r="352" spans="2:3" ht="15" customHeight="1" x14ac:dyDescent="0.2">
      <c r="B352" s="56"/>
      <c r="C352" s="56"/>
    </row>
    <row r="353" spans="2:3" ht="15" customHeight="1" x14ac:dyDescent="0.2">
      <c r="B353" s="56"/>
      <c r="C353" s="56"/>
    </row>
    <row r="354" spans="2:3" ht="15" customHeight="1" x14ac:dyDescent="0.2">
      <c r="B354" s="56"/>
      <c r="C354" s="56"/>
    </row>
    <row r="355" spans="2:3" ht="15" customHeight="1" x14ac:dyDescent="0.2">
      <c r="B355" s="56"/>
      <c r="C355" s="56"/>
    </row>
    <row r="356" spans="2:3" ht="15" customHeight="1" x14ac:dyDescent="0.2">
      <c r="B356" s="56"/>
      <c r="C356" s="56"/>
    </row>
    <row r="357" spans="2:3" ht="15" customHeight="1" x14ac:dyDescent="0.2">
      <c r="B357" s="56"/>
      <c r="C357" s="56"/>
    </row>
    <row r="358" spans="2:3" ht="15" customHeight="1" x14ac:dyDescent="0.2">
      <c r="B358" s="56"/>
      <c r="C358" s="56"/>
    </row>
    <row r="359" spans="2:3" ht="15" customHeight="1" x14ac:dyDescent="0.2">
      <c r="B359" s="56"/>
      <c r="C359" s="56"/>
    </row>
    <row r="360" spans="2:3" ht="15" customHeight="1" x14ac:dyDescent="0.2">
      <c r="B360" s="56"/>
      <c r="C360" s="56"/>
    </row>
    <row r="361" spans="2:3" ht="15" customHeight="1" x14ac:dyDescent="0.2">
      <c r="B361" s="56"/>
      <c r="C361" s="56"/>
    </row>
    <row r="362" spans="2:3" ht="15" customHeight="1" x14ac:dyDescent="0.2">
      <c r="B362" s="56"/>
      <c r="C362" s="56"/>
    </row>
    <row r="363" spans="2:3" ht="15" customHeight="1" x14ac:dyDescent="0.2">
      <c r="B363" s="56"/>
      <c r="C363" s="56"/>
    </row>
    <row r="364" spans="2:3" ht="15" customHeight="1" x14ac:dyDescent="0.2">
      <c r="B364" s="56"/>
      <c r="C364" s="56"/>
    </row>
    <row r="365" spans="2:3" ht="15" customHeight="1" x14ac:dyDescent="0.2">
      <c r="B365" s="56"/>
      <c r="C365" s="56"/>
    </row>
    <row r="366" spans="2:3" ht="15" customHeight="1" x14ac:dyDescent="0.2">
      <c r="B366" s="56"/>
      <c r="C366" s="56"/>
    </row>
    <row r="367" spans="2:3" ht="15" customHeight="1" x14ac:dyDescent="0.2">
      <c r="B367" s="56"/>
      <c r="C367" s="56"/>
    </row>
    <row r="368" spans="2:3" ht="15" customHeight="1" x14ac:dyDescent="0.2">
      <c r="B368" s="56"/>
      <c r="C368" s="56"/>
    </row>
    <row r="369" spans="2:3" ht="15" customHeight="1" x14ac:dyDescent="0.2">
      <c r="B369" s="56"/>
      <c r="C369" s="56"/>
    </row>
    <row r="370" spans="2:3" ht="15" customHeight="1" x14ac:dyDescent="0.2">
      <c r="B370" s="56"/>
      <c r="C370" s="56"/>
    </row>
    <row r="371" spans="2:3" ht="15" customHeight="1" x14ac:dyDescent="0.2">
      <c r="B371" s="56"/>
      <c r="C371" s="56"/>
    </row>
    <row r="372" spans="2:3" ht="15" customHeight="1" x14ac:dyDescent="0.2">
      <c r="B372" s="56"/>
      <c r="C372" s="56"/>
    </row>
    <row r="373" spans="2:3" ht="15" customHeight="1" x14ac:dyDescent="0.2">
      <c r="B373" s="56"/>
      <c r="C373" s="56"/>
    </row>
    <row r="374" spans="2:3" ht="15" customHeight="1" x14ac:dyDescent="0.2">
      <c r="B374" s="56"/>
      <c r="C374" s="56"/>
    </row>
    <row r="375" spans="2:3" ht="15" customHeight="1" x14ac:dyDescent="0.2">
      <c r="B375" s="56"/>
      <c r="C375" s="56"/>
    </row>
    <row r="376" spans="2:3" ht="15" customHeight="1" x14ac:dyDescent="0.2">
      <c r="B376" s="56"/>
      <c r="C376" s="56"/>
    </row>
    <row r="377" spans="2:3" ht="15" customHeight="1" x14ac:dyDescent="0.2">
      <c r="B377" s="56"/>
      <c r="C377" s="56"/>
    </row>
    <row r="378" spans="2:3" ht="15" customHeight="1" x14ac:dyDescent="0.2">
      <c r="B378" s="56"/>
      <c r="C378" s="56"/>
    </row>
    <row r="379" spans="2:3" ht="15" customHeight="1" x14ac:dyDescent="0.2">
      <c r="B379" s="56"/>
      <c r="C379" s="56"/>
    </row>
    <row r="380" spans="2:3" ht="15" customHeight="1" x14ac:dyDescent="0.2">
      <c r="B380" s="56"/>
      <c r="C380" s="56"/>
    </row>
    <row r="381" spans="2:3" ht="15" customHeight="1" x14ac:dyDescent="0.2">
      <c r="B381" s="56"/>
      <c r="C381" s="56"/>
    </row>
    <row r="382" spans="2:3" ht="15" customHeight="1" x14ac:dyDescent="0.2">
      <c r="B382" s="56"/>
      <c r="C382" s="56"/>
    </row>
    <row r="383" spans="2:3" ht="15" customHeight="1" x14ac:dyDescent="0.2">
      <c r="B383" s="56"/>
      <c r="C383" s="56"/>
    </row>
    <row r="384" spans="2:3" ht="15" customHeight="1" x14ac:dyDescent="0.2">
      <c r="B384" s="56"/>
      <c r="C384" s="56"/>
    </row>
    <row r="385" spans="2:3" ht="15" customHeight="1" x14ac:dyDescent="0.2">
      <c r="B385" s="56"/>
      <c r="C385" s="56"/>
    </row>
    <row r="386" spans="2:3" ht="15" customHeight="1" x14ac:dyDescent="0.2">
      <c r="B386" s="56"/>
      <c r="C386" s="56"/>
    </row>
    <row r="387" spans="2:3" ht="15" customHeight="1" x14ac:dyDescent="0.2">
      <c r="B387" s="56"/>
      <c r="C387" s="56"/>
    </row>
    <row r="388" spans="2:3" ht="15" customHeight="1" x14ac:dyDescent="0.2">
      <c r="B388" s="56"/>
      <c r="C388" s="56"/>
    </row>
    <row r="389" spans="2:3" ht="15" customHeight="1" x14ac:dyDescent="0.2">
      <c r="B389" s="56"/>
      <c r="C389" s="56"/>
    </row>
    <row r="390" spans="2:3" ht="15" customHeight="1" x14ac:dyDescent="0.2">
      <c r="B390" s="56"/>
      <c r="C390" s="56"/>
    </row>
    <row r="391" spans="2:3" ht="15" customHeight="1" x14ac:dyDescent="0.2">
      <c r="B391" s="56"/>
      <c r="C391" s="56"/>
    </row>
    <row r="392" spans="2:3" ht="15" customHeight="1" x14ac:dyDescent="0.2">
      <c r="B392" s="56"/>
      <c r="C392" s="56"/>
    </row>
    <row r="393" spans="2:3" ht="15" customHeight="1" x14ac:dyDescent="0.2">
      <c r="B393" s="56"/>
      <c r="C393" s="56"/>
    </row>
    <row r="394" spans="2:3" ht="15" customHeight="1" x14ac:dyDescent="0.2">
      <c r="B394" s="56"/>
      <c r="C394" s="56"/>
    </row>
    <row r="395" spans="2:3" ht="15" customHeight="1" x14ac:dyDescent="0.2">
      <c r="B395" s="56"/>
      <c r="C395" s="56"/>
    </row>
    <row r="396" spans="2:3" ht="15" customHeight="1" x14ac:dyDescent="0.2">
      <c r="B396" s="56"/>
      <c r="C396" s="56"/>
    </row>
    <row r="397" spans="2:3" ht="15" customHeight="1" x14ac:dyDescent="0.2">
      <c r="B397" s="56"/>
      <c r="C397" s="56"/>
    </row>
    <row r="398" spans="2:3" ht="15" customHeight="1" x14ac:dyDescent="0.2">
      <c r="B398" s="56"/>
      <c r="C398" s="56"/>
    </row>
    <row r="399" spans="2:3" ht="15" customHeight="1" x14ac:dyDescent="0.2">
      <c r="B399" s="56"/>
      <c r="C399" s="56"/>
    </row>
    <row r="400" spans="2:3" ht="15" customHeight="1" x14ac:dyDescent="0.2">
      <c r="B400" s="56"/>
      <c r="C400" s="56"/>
    </row>
    <row r="401" spans="2:3" ht="15" customHeight="1" x14ac:dyDescent="0.2">
      <c r="B401" s="56"/>
      <c r="C401" s="56"/>
    </row>
    <row r="402" spans="2:3" ht="15" customHeight="1" x14ac:dyDescent="0.2">
      <c r="B402" s="56"/>
      <c r="C402" s="56"/>
    </row>
    <row r="403" spans="2:3" ht="15" customHeight="1" x14ac:dyDescent="0.2">
      <c r="B403" s="56"/>
      <c r="C403" s="56"/>
    </row>
    <row r="404" spans="2:3" ht="15" customHeight="1" x14ac:dyDescent="0.2">
      <c r="B404" s="56"/>
      <c r="C404" s="56"/>
    </row>
    <row r="405" spans="2:3" ht="15" customHeight="1" x14ac:dyDescent="0.2">
      <c r="B405" s="56"/>
      <c r="C405" s="56"/>
    </row>
    <row r="406" spans="2:3" ht="15" customHeight="1" x14ac:dyDescent="0.2">
      <c r="B406" s="56"/>
      <c r="C406" s="56"/>
    </row>
    <row r="407" spans="2:3" ht="15" customHeight="1" x14ac:dyDescent="0.2">
      <c r="B407" s="56"/>
      <c r="C407" s="56"/>
    </row>
    <row r="408" spans="2:3" ht="15" customHeight="1" x14ac:dyDescent="0.2">
      <c r="B408" s="56"/>
      <c r="C408" s="56"/>
    </row>
    <row r="409" spans="2:3" ht="15" customHeight="1" x14ac:dyDescent="0.2">
      <c r="B409" s="56"/>
      <c r="C409" s="56"/>
    </row>
    <row r="410" spans="2:3" ht="15" customHeight="1" x14ac:dyDescent="0.2">
      <c r="B410" s="56"/>
      <c r="C410" s="56"/>
    </row>
    <row r="411" spans="2:3" ht="15" customHeight="1" x14ac:dyDescent="0.2">
      <c r="B411" s="56"/>
      <c r="C411" s="56"/>
    </row>
    <row r="412" spans="2:3" ht="15" customHeight="1" x14ac:dyDescent="0.2">
      <c r="B412" s="56"/>
      <c r="C412" s="56"/>
    </row>
    <row r="413" spans="2:3" ht="15" customHeight="1" x14ac:dyDescent="0.2">
      <c r="B413" s="56"/>
      <c r="C413" s="56"/>
    </row>
    <row r="414" spans="2:3" ht="15" customHeight="1" x14ac:dyDescent="0.2">
      <c r="B414" s="56"/>
      <c r="C414" s="56"/>
    </row>
    <row r="415" spans="2:3" ht="15" customHeight="1" x14ac:dyDescent="0.2">
      <c r="B415" s="56"/>
      <c r="C415" s="56"/>
    </row>
    <row r="416" spans="2:3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</sheetData>
  <mergeCells count="2">
    <mergeCell ref="A2:E2"/>
    <mergeCell ref="A3:E3"/>
  </mergeCells>
  <printOptions horizontalCentered="1"/>
  <pageMargins left="1.1811023622047245" right="0.78740157480314965" top="0.98425196850393704" bottom="0.78740157480314965" header="0.51181102362204722" footer="0.51181102362204722"/>
  <pageSetup paperSize="9" scale="92" orientation="portrait" r:id="rId1"/>
  <headerFooter alignWithMargins="0">
    <oddFooter>&amp;CStránka &amp;P</oddFooter>
  </headerFooter>
  <rowBreaks count="4" manualBreakCount="4">
    <brk id="58" max="4" man="1"/>
    <brk id="125" max="4" man="1"/>
    <brk id="191" max="4" man="1"/>
    <brk id="26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2017</vt:lpstr>
      <vt:lpstr>'2017'!Názvy_tisku</vt:lpstr>
      <vt:lpstr>'2017'!Oblast_tisku</vt:lpstr>
    </vt:vector>
  </TitlesOfParts>
  <Company>Krajský úřad, Královehradecký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841</dc:creator>
  <cp:lastModifiedBy>378</cp:lastModifiedBy>
  <cp:lastPrinted>2016-08-02T11:41:38Z</cp:lastPrinted>
  <dcterms:created xsi:type="dcterms:W3CDTF">2010-05-26T11:33:11Z</dcterms:created>
  <dcterms:modified xsi:type="dcterms:W3CDTF">2016-12-29T07:54:35Z</dcterms:modified>
</cp:coreProperties>
</file>