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4.ZR" sheetId="1" r:id="rId1"/>
  </sheets>
  <definedNames>
    <definedName name="_xlnm.Print_Titles" localSheetId="0">'4.ZR'!$8:$9</definedName>
    <definedName name="Z_39FD50E0_9911_4D32_8842_5A58F13D310F_.wvu.Cols" localSheetId="0" hidden="1">'4.ZR'!$C:$J,'4.ZR'!$M:$M,'4.ZR'!#REF!</definedName>
    <definedName name="Z_39FD50E0_9911_4D32_8842_5A58F13D310F_.wvu.PrintTitles" localSheetId="0" hidden="1">'4.ZR'!$8:$9</definedName>
    <definedName name="Z_39FD50E0_9911_4D32_8842_5A58F13D310F_.wvu.Rows" localSheetId="0" hidden="1">'4.ZR'!$308:$308</definedName>
  </definedNames>
  <calcPr fullCalcOnLoad="1"/>
</workbook>
</file>

<file path=xl/sharedStrings.xml><?xml version="1.0" encoding="utf-8"?>
<sst xmlns="http://schemas.openxmlformats.org/spreadsheetml/2006/main" count="483" uniqueCount="298">
  <si>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</si>
  <si>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</si>
  <si>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</si>
  <si>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</si>
  <si>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</si>
  <si>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</si>
  <si>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</si>
  <si>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</si>
  <si>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</si>
  <si>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</si>
  <si>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</si>
  <si>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</si>
  <si>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</si>
  <si>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</si>
  <si>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</si>
  <si>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</si>
  <si>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</si>
  <si>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</si>
  <si>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</si>
  <si>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</si>
  <si>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</si>
  <si>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</si>
  <si>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</si>
  <si>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</si>
  <si>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</si>
  <si>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</si>
  <si>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 xml:space="preserve">platby za odebr. mn.podzemní vody </t>
  </si>
  <si>
    <t>nedaňové příjmy odvětví školství</t>
  </si>
  <si>
    <t>nedaňové příjmy odv.evropské integrace</t>
  </si>
  <si>
    <t>nedaňové příjmy odv.zdravotnictví</t>
  </si>
  <si>
    <t>nedaňové příjmy odvětví dopravy</t>
  </si>
  <si>
    <t>nedaňové příjmy odvětví kultury</t>
  </si>
  <si>
    <t>nedaňové příjmy odvětví krajského úřadu</t>
  </si>
  <si>
    <t>nedaňové příjmy odvětví životního prostředí</t>
  </si>
  <si>
    <t>nedaňové příjmy odvětví soc.věcí</t>
  </si>
  <si>
    <t>odvody PO</t>
  </si>
  <si>
    <t xml:space="preserve">    v tom odvětví: školství</t>
  </si>
  <si>
    <t xml:space="preserve">                        dopravy</t>
  </si>
  <si>
    <t xml:space="preserve">                        zdravotnictví</t>
  </si>
  <si>
    <t xml:space="preserve">                        kultury</t>
  </si>
  <si>
    <t xml:space="preserve">                        soc.věcí</t>
  </si>
  <si>
    <t>kapitálové příjmy</t>
  </si>
  <si>
    <t xml:space="preserve">  odvětví školství</t>
  </si>
  <si>
    <t xml:space="preserve">  odvětví dopravy</t>
  </si>
  <si>
    <t xml:space="preserve">  odvětví soc.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</si>
  <si>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</si>
  <si>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</si>
  <si>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</si>
  <si>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</si>
  <si>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</si>
  <si>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</si>
  <si>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</si>
  <si>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</si>
  <si>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</si>
  <si>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</si>
  <si>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</si>
  <si>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</si>
  <si>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</si>
  <si>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</si>
  <si>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</si>
  <si>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</si>
  <si>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</si>
  <si>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</si>
  <si>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</si>
  <si>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</si>
  <si>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</si>
  <si>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</si>
  <si>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</si>
  <si>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</si>
  <si>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</si>
  <si>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</si>
  <si>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</si>
  <si>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</si>
  <si>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</si>
  <si>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</si>
  <si>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</si>
  <si>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</si>
  <si>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</si>
  <si>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</si>
  <si>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</si>
  <si>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</si>
  <si>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</si>
  <si>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</si>
  <si>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</si>
  <si>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</si>
  <si>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</si>
  <si>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</si>
  <si>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</si>
  <si>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</si>
  <si>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</si>
  <si>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</si>
  <si>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</si>
  <si>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</si>
  <si>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</si>
  <si>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</si>
  <si>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</si>
  <si>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neinvestiční půjčené prostředky</t>
  </si>
  <si>
    <t>náhr.škod způs.zvl.chráněnými živočichy - SR</t>
  </si>
  <si>
    <t>kofinancování a předfinancování - pro CEP</t>
  </si>
  <si>
    <t>grantové a dílčí programy a samostat.projekty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</si>
  <si>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</si>
  <si>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</si>
  <si>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</si>
  <si>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</si>
  <si>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</si>
  <si>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</si>
  <si>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</si>
  <si>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</si>
  <si>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</si>
  <si>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</si>
  <si>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</si>
  <si>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</si>
  <si>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</si>
  <si>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</si>
  <si>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</si>
  <si>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obnova silničního majetku - z půjčky SFDI</t>
  </si>
  <si>
    <t>ROP silnice a mosty - dotace z RRRS SV</t>
  </si>
  <si>
    <t>komunikace v rámci průmyslové zóny - SR</t>
  </si>
  <si>
    <t xml:space="preserve">kap. 11 - cestovní ruch </t>
  </si>
  <si>
    <t>kap. 12 - správa majetku kraje</t>
  </si>
  <si>
    <t>soustředěné pojištění majetku kraje</t>
  </si>
  <si>
    <t>kap. 13 - evropská integrace</t>
  </si>
  <si>
    <t>neinv.transfer Regionální radě regionu soudržnosti SV</t>
  </si>
  <si>
    <t>GS 3.2-Integr.obtíž.zaměst.skupin obyv.-SR</t>
  </si>
  <si>
    <t>GS 4.1.2-Medializace turistické nabídky - SR</t>
  </si>
  <si>
    <t>GS 4.2.2-Moder.a rozš.ubytovacích kapacit KHK-SR</t>
  </si>
  <si>
    <t>FM EHP/Norska - CZ-0037 - SR</t>
  </si>
  <si>
    <t>FM EHP/Norska - CZ-0037-sub-projekty - SR</t>
  </si>
  <si>
    <t>program obnovy venkova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</si>
  <si>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</si>
  <si>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</si>
  <si>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</si>
  <si>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</si>
  <si>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</si>
  <si>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regionální rozvoj</t>
  </si>
  <si>
    <t>GS 1.1 podpora podnikání ve vybraných obl. - SR</t>
  </si>
  <si>
    <t>Technická pomoc - SR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</si>
  <si>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</si>
  <si>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</si>
  <si>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</si>
  <si>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</si>
  <si>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</si>
  <si>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ESF - SR</t>
  </si>
  <si>
    <t>preventivní programy - SR</t>
  </si>
  <si>
    <t>zpřístupnění DVPP ZŠ 1.st. - SR</t>
  </si>
  <si>
    <t>podpora DVPP v regionech - SR</t>
  </si>
  <si>
    <t>podp.výuky méně vyuč.cizích jazyků - SR</t>
  </si>
  <si>
    <t>podpora čtenářství v zákl.školách - SR</t>
  </si>
  <si>
    <t>fin.asistentů pedagoga - SR</t>
  </si>
  <si>
    <t>vzdělávání dětí azylantů a cizinců - SR</t>
  </si>
  <si>
    <t>podpora romských žáků SŠ - SR</t>
  </si>
  <si>
    <t>zvýšení nenárokových složek platů pedagogů - SR</t>
  </si>
  <si>
    <t>kompenzační pomůcky - SR</t>
  </si>
  <si>
    <t>podpora EVVO ve školách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</si>
  <si>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</si>
  <si>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</si>
  <si>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</si>
  <si>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</si>
  <si>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</si>
  <si>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</si>
  <si>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</si>
  <si>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inv.dot.HZS KHK na výst.Centrál.pož.st.a stř.ZZS v HK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</si>
  <si>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</si>
  <si>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</si>
  <si>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</si>
  <si>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</si>
  <si>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</si>
  <si>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koncepce prev.kriminality na r.2009-2011 v KHK-SR</t>
  </si>
  <si>
    <t>zařízení pro děti vyžadující okamžitou pomoc - SR</t>
  </si>
  <si>
    <t>kap. 39 - regionální rozvoj</t>
  </si>
  <si>
    <t>vyhledávání budov se zvýš.výskytem radonu - SR</t>
  </si>
  <si>
    <t>protiradonová opatření - SR</t>
  </si>
  <si>
    <t>výdaje jednotek sborů dobrovolných hasičů obcí-SR</t>
  </si>
  <si>
    <t xml:space="preserve">kap. 40 - územní plánování </t>
  </si>
  <si>
    <t>kap. 41 - rezerva a ost.výd.netýk.se odvětví</t>
  </si>
  <si>
    <t xml:space="preserve">rezerva 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</si>
  <si>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</si>
  <si>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</si>
  <si>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</si>
  <si>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</si>
  <si>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</si>
  <si>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</si>
  <si>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</si>
  <si>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</si>
  <si>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</si>
  <si>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</si>
  <si>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</si>
  <si>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</si>
  <si>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</si>
  <si>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</si>
  <si>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</si>
  <si>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</si>
  <si>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</si>
  <si>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</si>
  <si>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</si>
  <si>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</si>
  <si>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</si>
  <si>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</si>
  <si>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</si>
  <si>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</si>
  <si>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</si>
  <si>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</si>
  <si>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</si>
  <si>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</si>
  <si>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</si>
  <si>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</si>
  <si>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</si>
  <si>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</si>
  <si>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</si>
  <si>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</si>
  <si>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</si>
  <si>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</si>
  <si>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</si>
  <si>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</si>
  <si>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neinvestiční dotace městu Trutnov na činnost muzea</t>
  </si>
  <si>
    <t>řešení mezir.snížení žáků a spec.problémů reg.šk.-SR</t>
  </si>
  <si>
    <t>posílení úrovně odměňování nepedagog.prac. - SR</t>
  </si>
  <si>
    <t>Příloha č. 1</t>
  </si>
  <si>
    <t>odměny vč. refundací a náhrad mezd v době nemoci</t>
  </si>
  <si>
    <t>platy zam.a ost.pl.za prov.práci vč.náhr.mezd v době nem.</t>
  </si>
  <si>
    <t>NA ROK 2010</t>
  </si>
  <si>
    <t>neinvestiční půjčené prostředky PO</t>
  </si>
  <si>
    <t>prům.zóna Solnice-Kvasiny-ostat.kap.výd.</t>
  </si>
  <si>
    <t>splátky úvěru</t>
  </si>
  <si>
    <t>GG 1.1.OPVK-Zvyšování kvality ve vzděl.- SR r.2009</t>
  </si>
  <si>
    <t>GG 1.2.OPVK-Rovné příl.dětí a ž.se sp.potř.-SR r.2009</t>
  </si>
  <si>
    <t>GG1.3.OPVK-Další vzděl.prac.škol a zař. - SR r.2009</t>
  </si>
  <si>
    <t>FM EHP/Norska - CZ-0037 z r.2009- SR</t>
  </si>
  <si>
    <t xml:space="preserve">  z toho: Centrum EP, PO</t>
  </si>
  <si>
    <t xml:space="preserve">  v tom pro odvětví: životní prostředí a zemědělství</t>
  </si>
  <si>
    <t>GG 1.1.OPVK-Zvyšování kvality ve vzdělávání - SR r.2009</t>
  </si>
  <si>
    <t>GG 1.2.OPVK-Rovné přílež.dětí a ž.se sp.potř.- SRr.2009</t>
  </si>
  <si>
    <t>OPLZZ Vzd.poskyt.a zadavat. soc.sl.KHK III.- SR r.2009</t>
  </si>
  <si>
    <t>OP LZZ Služby soc.prevence v KHK - SR r. 2009</t>
  </si>
  <si>
    <t>OP LZZ Podpora soc.integr.obyv.vylouč.lok.v KHK - SR</t>
  </si>
  <si>
    <t>OPVK-rozvoj kompet.říd.prac.škol v KHK - SR</t>
  </si>
  <si>
    <t>GG VK 3.2 - Podpora nabídky dalšího vzdělávání - SR</t>
  </si>
  <si>
    <t>Projekt technické pomoci OPPS ČR-PR 2007-2013 - SR</t>
  </si>
  <si>
    <t>OP VK 5.1. - Technické zajištění, hodnotitelé,mzdy - SR</t>
  </si>
  <si>
    <t>OP VK 5. 2. - Publicita a informovanost - SR</t>
  </si>
  <si>
    <t>OP VK 5.3. - Podpora tvorby a přípravy projektů - SR</t>
  </si>
  <si>
    <t>podpora výuky cizích jazyků - SR</t>
  </si>
  <si>
    <t>příspěvek PO na provoz - Centrum EP</t>
  </si>
  <si>
    <t>projekt Regionální inst.ambul.psychos.sl.- RRRS SV</t>
  </si>
  <si>
    <t xml:space="preserve">  z MDO</t>
  </si>
  <si>
    <t>úhrada ztráty ve veřejné železniční os.dopravě - SR</t>
  </si>
  <si>
    <t xml:space="preserve">OPLZZ Vzd.poskyt.a zadavat. soc.sl.KHK III.- SR </t>
  </si>
  <si>
    <t xml:space="preserve">OP LZZ Rozvoj dostup.a kvality soc.sl.v KHK - SR </t>
  </si>
  <si>
    <t xml:space="preserve">OP LZZ Služby soc.prevence v KHK - SR </t>
  </si>
  <si>
    <t>grant. a dílčí progr.a samost.projekty - odvětví cestovní ruch</t>
  </si>
  <si>
    <t>investiční transfery PO - Centrum EP</t>
  </si>
  <si>
    <t>projekt Přístavba Muzea války 1866 na Chlumu - RRRS SV</t>
  </si>
  <si>
    <t>investiční půjčené prostředky obcím</t>
  </si>
  <si>
    <t>OPVK-spolupr.VOŠ,VŠ a zam.při vzděl.prog.zdrav.VOŠ-SR</t>
  </si>
  <si>
    <t>projekty RRRS SV</t>
  </si>
  <si>
    <t>OPVK-Zvyš.kval.vzděl.zlepšováním říd.procesů ve školách-SR</t>
  </si>
  <si>
    <t>OPVK-Cizí jazyky v podm.Společ.evr.refer.rámce - SR</t>
  </si>
  <si>
    <t>krajský program prevence kriminality - SR</t>
  </si>
  <si>
    <t>volby do Poslanecké sněmovny Parlamentu ČR - SR</t>
  </si>
  <si>
    <t>prům.zóna Solnice-Kvasiny - SR</t>
  </si>
  <si>
    <t>zapojení zůstatku sociálního fondu z min. let</t>
  </si>
  <si>
    <t>školní vybavení pro žáky 1.ročníku zákl.vzdělávání - SR</t>
  </si>
  <si>
    <t>grant. a dílčí progr.a samost.projekty - odvětví reg.rozvoj</t>
  </si>
  <si>
    <t>OP VK 5.1. - Techn.zajištění, hodnotitelé,mzdy - SR r. 2009</t>
  </si>
  <si>
    <t>OP VK 5. 2. - Publicita a informovanost - SR r. 2009</t>
  </si>
  <si>
    <t>OP VK 5.3. - Podpora tvorby a přípravy projektů - SR r. 2009</t>
  </si>
  <si>
    <t>OP LZZ - vzdělávání  v eGON centrech krajů - SR</t>
  </si>
  <si>
    <t>peněžitý vklad do a.s.</t>
  </si>
  <si>
    <t>kap. 49 - Regionální inovační fond</t>
  </si>
  <si>
    <t xml:space="preserve">  ze SFŽP</t>
  </si>
  <si>
    <t xml:space="preserve">  z MŽP</t>
  </si>
  <si>
    <t>podpora v rámci programu OPŽP - SR</t>
  </si>
  <si>
    <t>OP - Přeshraniční spolupráce - SR</t>
  </si>
  <si>
    <t>úhrada odměn za čekání řidičů mezi spoji - SR</t>
  </si>
  <si>
    <t>refundace výdajů na výkupy pozemků - SR</t>
  </si>
  <si>
    <t>projekt LABEL - dotace ze zahraničí</t>
  </si>
  <si>
    <t>inkluzívní vzděl.a vzděl.žáků se sociok.znevýh. - SR</t>
  </si>
  <si>
    <t>odstranění havar.stavu ozdravoven - SR</t>
  </si>
  <si>
    <t>Česko-polský inovační portál - SR</t>
  </si>
  <si>
    <t>nedaňové příjmy odvětví cestovního ruchu</t>
  </si>
  <si>
    <t>dotace posk.prostř.čerpacích účtů - SR</t>
  </si>
  <si>
    <t>volby do Senátu Parlamentu ČR a zast.obcí - SR</t>
  </si>
  <si>
    <t xml:space="preserve">GG 1.2.OPVK-Rovné příl.dětí a ž.se sp.potř.-SR </t>
  </si>
  <si>
    <t xml:space="preserve">GG1.3.OPVK-Další vzděl.prac.škol a zař. - SR </t>
  </si>
  <si>
    <t>podpora aktivit v oblasti integrace cizinců - SR</t>
  </si>
  <si>
    <t>zajištění podm.bezpl.přípr.k začlenění žáků cizinců do ZŠ-SR</t>
  </si>
  <si>
    <t>OPVK-Zlepšení podmínek pro vzdělávání na ZŠ - SR</t>
  </si>
  <si>
    <t xml:space="preserve">GG 1.1.OPVK-Zvyšování kvality ve vzděl.- SR </t>
  </si>
  <si>
    <t>GG OPVK 3.2 - Podpora nabídky dalšího vzdělávání - SR</t>
  </si>
  <si>
    <t>GG OPVK 3.2 - Podpora nabídky dalšího vzdělávání - SR 2009</t>
  </si>
  <si>
    <t>podpora činnosti informačních center pro děti - SR</t>
  </si>
  <si>
    <t>pokusné ověřování nové formy ukončení stř.vzděl.-SR</t>
  </si>
  <si>
    <t>výdaje na sčítání lidu, domů a bytů - SR</t>
  </si>
  <si>
    <t>dotace ze zahraničí - projekt ERANET</t>
  </si>
  <si>
    <t>grant. a dílčí progr.a samost.projekty - odvětví životní prostř.</t>
  </si>
  <si>
    <t>OP LZZ - zvýš.kvality řízení v úřadech úz.veř.spr.-SR</t>
  </si>
  <si>
    <t>OP LZZ Rozvoj dostup.a kvality soc.sl.v KHK-SR r.2009</t>
  </si>
  <si>
    <t>OP LZZ Podpora soc.integr.obyv.vylouč.lok.v KHK-SR r.2009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</si>
</sst>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/>
      <bottom style="medium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9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2" fillId="0" borderId="12" xfId="38" applyNumberFormat="1" applyFont="1" applyBorder="1" applyAlignment="1">
      <alignment vertical="center"/>
    </xf>
    <xf numFmtId="166" fontId="6" fillId="0" borderId="10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7" fillId="0" borderId="10" xfId="38" applyNumberFormat="1" applyFont="1" applyBorder="1" applyAlignment="1">
      <alignment/>
    </xf>
    <xf numFmtId="166" fontId="0" fillId="0" borderId="14" xfId="38" applyNumberFormat="1" applyFont="1" applyBorder="1" applyAlignment="1">
      <alignment/>
    </xf>
    <xf numFmtId="166" fontId="4" fillId="0" borderId="15" xfId="38" applyNumberFormat="1" applyFont="1" applyBorder="1" applyAlignment="1">
      <alignment/>
    </xf>
    <xf numFmtId="166" fontId="3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4" fillId="0" borderId="16" xfId="38" applyNumberFormat="1" applyFont="1" applyBorder="1" applyAlignment="1">
      <alignment vertical="center"/>
    </xf>
    <xf numFmtId="166" fontId="4" fillId="0" borderId="17" xfId="38" applyNumberFormat="1" applyFont="1" applyBorder="1" applyAlignment="1">
      <alignment vertical="center"/>
    </xf>
    <xf numFmtId="166" fontId="2" fillId="0" borderId="16" xfId="38" applyNumberFormat="1" applyFont="1" applyBorder="1" applyAlignment="1">
      <alignment vertical="center"/>
    </xf>
    <xf numFmtId="166" fontId="2" fillId="0" borderId="17" xfId="38" applyNumberFormat="1" applyFont="1" applyBorder="1" applyAlignment="1">
      <alignment vertical="center"/>
    </xf>
    <xf numFmtId="166" fontId="3" fillId="0" borderId="18" xfId="38" applyNumberFormat="1" applyFont="1" applyBorder="1" applyAlignment="1">
      <alignment vertical="center"/>
    </xf>
    <xf numFmtId="166" fontId="3" fillId="0" borderId="19" xfId="38" applyNumberFormat="1" applyFont="1" applyBorder="1" applyAlignment="1">
      <alignment vertical="center"/>
    </xf>
    <xf numFmtId="166" fontId="3" fillId="0" borderId="20" xfId="38" applyNumberFormat="1" applyFont="1" applyBorder="1" applyAlignment="1">
      <alignment vertical="center"/>
    </xf>
    <xf numFmtId="166" fontId="3" fillId="0" borderId="10" xfId="38" applyNumberFormat="1" applyFont="1" applyBorder="1" applyAlignment="1">
      <alignment vertical="center"/>
    </xf>
    <xf numFmtId="166" fontId="3" fillId="0" borderId="21" xfId="38" applyNumberFormat="1" applyFont="1" applyBorder="1" applyAlignment="1">
      <alignment vertical="center"/>
    </xf>
    <xf numFmtId="166" fontId="3" fillId="0" borderId="22" xfId="38" applyNumberFormat="1" applyFont="1" applyBorder="1" applyAlignment="1">
      <alignment vertical="center"/>
    </xf>
    <xf numFmtId="166" fontId="3" fillId="0" borderId="12" xfId="38" applyNumberFormat="1" applyFont="1" applyBorder="1" applyAlignment="1">
      <alignment vertical="center"/>
    </xf>
    <xf numFmtId="166" fontId="3" fillId="0" borderId="23" xfId="38" applyNumberFormat="1" applyFont="1" applyBorder="1" applyAlignment="1">
      <alignment vertical="center"/>
    </xf>
    <xf numFmtId="166" fontId="3" fillId="0" borderId="24" xfId="38" applyNumberFormat="1" applyFont="1" applyBorder="1" applyAlignment="1">
      <alignment vertical="center"/>
    </xf>
    <xf numFmtId="166" fontId="2" fillId="0" borderId="18" xfId="38" applyNumberFormat="1" applyFont="1" applyBorder="1" applyAlignment="1">
      <alignment vertical="center"/>
    </xf>
    <xf numFmtId="166" fontId="2" fillId="0" borderId="19" xfId="38" applyNumberFormat="1" applyFont="1" applyBorder="1" applyAlignment="1">
      <alignment vertical="center"/>
    </xf>
    <xf numFmtId="166" fontId="2" fillId="0" borderId="20" xfId="38" applyNumberFormat="1" applyFont="1" applyBorder="1" applyAlignment="1">
      <alignment vertical="center"/>
    </xf>
    <xf numFmtId="166" fontId="2" fillId="0" borderId="25" xfId="38" applyNumberFormat="1" applyFont="1" applyBorder="1" applyAlignment="1">
      <alignment vertical="center"/>
    </xf>
    <xf numFmtId="166" fontId="2" fillId="0" borderId="10" xfId="38" applyNumberFormat="1" applyFont="1" applyBorder="1" applyAlignment="1">
      <alignment vertical="center"/>
    </xf>
    <xf numFmtId="166" fontId="8" fillId="0" borderId="26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3" fillId="0" borderId="27" xfId="38" applyNumberFormat="1" applyFont="1" applyBorder="1" applyAlignment="1">
      <alignment vertical="center"/>
    </xf>
    <xf numFmtId="166" fontId="4" fillId="0" borderId="27" xfId="38" applyNumberFormat="1" applyFont="1" applyBorder="1" applyAlignment="1">
      <alignment vertical="center"/>
    </xf>
    <xf numFmtId="166" fontId="2" fillId="0" borderId="22" xfId="38" applyNumberFormat="1" applyFont="1" applyBorder="1" applyAlignment="1">
      <alignment vertical="center"/>
    </xf>
    <xf numFmtId="166" fontId="8" fillId="0" borderId="22" xfId="38" applyNumberFormat="1" applyFont="1" applyBorder="1" applyAlignment="1">
      <alignment vertical="center"/>
    </xf>
    <xf numFmtId="165" fontId="4" fillId="0" borderId="20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65" fontId="4" fillId="0" borderId="19" xfId="38" applyNumberFormat="1" applyFont="1" applyBorder="1" applyAlignment="1">
      <alignment horizontal="center"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2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8" xfId="38" applyNumberFormat="1" applyFont="1" applyBorder="1" applyAlignment="1">
      <alignment/>
    </xf>
    <xf numFmtId="166" fontId="0" fillId="0" borderId="29" xfId="38" applyNumberFormat="1" applyFont="1" applyBorder="1" applyAlignment="1">
      <alignment/>
    </xf>
    <xf numFmtId="166" fontId="2" fillId="0" borderId="24" xfId="38" applyNumberFormat="1" applyFont="1" applyBorder="1" applyAlignment="1">
      <alignment vertical="center"/>
    </xf>
    <xf numFmtId="166" fontId="2" fillId="0" borderId="23" xfId="38" applyNumberFormat="1" applyFont="1" applyBorder="1" applyAlignment="1">
      <alignment vertical="center"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0" fillId="0" borderId="30" xfId="38" applyNumberFormat="1" applyFont="1" applyBorder="1" applyAlignment="1">
      <alignment/>
    </xf>
    <xf numFmtId="166" fontId="7" fillId="0" borderId="22" xfId="38" applyNumberFormat="1" applyFont="1" applyBorder="1" applyAlignment="1">
      <alignment/>
    </xf>
    <xf numFmtId="166" fontId="7" fillId="0" borderId="21" xfId="38" applyNumberFormat="1" applyFont="1" applyBorder="1" applyAlignment="1">
      <alignment/>
    </xf>
    <xf numFmtId="166" fontId="4" fillId="0" borderId="26" xfId="38" applyNumberFormat="1" applyFont="1" applyBorder="1" applyAlignment="1">
      <alignment/>
    </xf>
    <xf numFmtId="165" fontId="4" fillId="0" borderId="22" xfId="38" applyNumberFormat="1" applyFont="1" applyBorder="1" applyAlignment="1">
      <alignment horizontal="center"/>
    </xf>
    <xf numFmtId="166" fontId="0" fillId="0" borderId="22" xfId="38" applyNumberFormat="1" applyFont="1" applyFill="1" applyBorder="1" applyAlignment="1">
      <alignment/>
    </xf>
    <xf numFmtId="166" fontId="0" fillId="0" borderId="22" xfId="38" applyNumberFormat="1" applyFont="1" applyBorder="1" applyAlignment="1">
      <alignment/>
    </xf>
    <xf numFmtId="3" fontId="4" fillId="0" borderId="31" xfId="0" applyFont="1" applyBorder="1" applyAlignment="1">
      <alignment/>
    </xf>
    <xf numFmtId="3" fontId="5" fillId="0" borderId="31" xfId="0" applyFont="1" applyBorder="1" applyAlignment="1">
      <alignment/>
    </xf>
    <xf numFmtId="3" fontId="0" fillId="0" borderId="31" xfId="0" applyFont="1" applyBorder="1" applyAlignment="1">
      <alignment/>
    </xf>
    <xf numFmtId="3" fontId="0" fillId="0" borderId="31" xfId="0" applyBorder="1" applyAlignment="1">
      <alignment/>
    </xf>
    <xf numFmtId="3" fontId="4" fillId="0" borderId="31" xfId="0" applyFont="1" applyBorder="1" applyAlignment="1">
      <alignment/>
    </xf>
    <xf numFmtId="3" fontId="5" fillId="0" borderId="31" xfId="0" applyFont="1" applyBorder="1" applyAlignment="1">
      <alignment/>
    </xf>
    <xf numFmtId="3" fontId="0" fillId="0" borderId="32" xfId="0" applyBorder="1" applyAlignment="1">
      <alignment/>
    </xf>
    <xf numFmtId="3" fontId="0" fillId="0" borderId="31" xfId="0" applyFont="1" applyBorder="1" applyAlignment="1">
      <alignment/>
    </xf>
    <xf numFmtId="3" fontId="2" fillId="0" borderId="33" xfId="0" applyFont="1" applyBorder="1" applyAlignment="1">
      <alignment vertical="center"/>
    </xf>
    <xf numFmtId="3" fontId="6" fillId="0" borderId="31" xfId="0" applyFont="1" applyBorder="1" applyAlignment="1">
      <alignment/>
    </xf>
    <xf numFmtId="3" fontId="6" fillId="0" borderId="31" xfId="0" applyFont="1" applyBorder="1" applyAlignment="1">
      <alignment/>
    </xf>
    <xf numFmtId="3" fontId="0" fillId="0" borderId="32" xfId="0" applyFont="1" applyBorder="1" applyAlignment="1">
      <alignment/>
    </xf>
    <xf numFmtId="3" fontId="7" fillId="0" borderId="31" xfId="0" applyFont="1" applyBorder="1" applyAlignment="1">
      <alignment/>
    </xf>
    <xf numFmtId="3" fontId="7" fillId="0" borderId="32" xfId="0" applyFont="1" applyBorder="1" applyAlignment="1">
      <alignment/>
    </xf>
    <xf numFmtId="3" fontId="0" fillId="0" borderId="32" xfId="0" applyFont="1" applyBorder="1" applyAlignment="1">
      <alignment/>
    </xf>
    <xf numFmtId="3" fontId="4" fillId="0" borderId="31" xfId="0" applyFont="1" applyFill="1" applyBorder="1" applyAlignment="1">
      <alignment/>
    </xf>
    <xf numFmtId="3" fontId="0" fillId="0" borderId="31" xfId="0" applyFill="1" applyBorder="1" applyAlignment="1">
      <alignment/>
    </xf>
    <xf numFmtId="3" fontId="4" fillId="0" borderId="33" xfId="0" applyFont="1" applyBorder="1" applyAlignment="1">
      <alignment/>
    </xf>
    <xf numFmtId="3" fontId="3" fillId="0" borderId="34" xfId="0" applyFont="1" applyBorder="1" applyAlignment="1">
      <alignment vertical="center"/>
    </xf>
    <xf numFmtId="3" fontId="4" fillId="0" borderId="34" xfId="0" applyFont="1" applyBorder="1" applyAlignment="1">
      <alignment vertical="center"/>
    </xf>
    <xf numFmtId="3" fontId="2" fillId="0" borderId="34" xfId="0" applyFont="1" applyBorder="1" applyAlignment="1">
      <alignment vertical="center"/>
    </xf>
    <xf numFmtId="3" fontId="2" fillId="0" borderId="35" xfId="0" applyFont="1" applyBorder="1" applyAlignment="1">
      <alignment vertical="center"/>
    </xf>
    <xf numFmtId="3" fontId="2" fillId="0" borderId="31" xfId="0" applyFont="1" applyBorder="1" applyAlignment="1">
      <alignment vertical="center"/>
    </xf>
    <xf numFmtId="3" fontId="0" fillId="0" borderId="31" xfId="0" applyFont="1" applyBorder="1" applyAlignment="1">
      <alignment vertical="center"/>
    </xf>
    <xf numFmtId="3" fontId="0" fillId="0" borderId="31" xfId="0" applyBorder="1" applyAlignment="1">
      <alignment vertical="center"/>
    </xf>
    <xf numFmtId="3" fontId="0" fillId="0" borderId="33" xfId="0" applyFont="1" applyBorder="1" applyAlignment="1">
      <alignment vertical="center"/>
    </xf>
    <xf numFmtId="166" fontId="8" fillId="0" borderId="10" xfId="38" applyNumberFormat="1" applyFont="1" applyFill="1" applyBorder="1" applyAlignment="1">
      <alignment vertical="center"/>
    </xf>
    <xf numFmtId="3" fontId="7" fillId="0" borderId="31" xfId="0" applyFont="1" applyBorder="1" applyAlignment="1">
      <alignment/>
    </xf>
    <xf numFmtId="3" fontId="4" fillId="0" borderId="31" xfId="0" applyFont="1" applyBorder="1" applyAlignment="1">
      <alignment horizontal="left" vertical="center"/>
    </xf>
    <xf numFmtId="165" fontId="4" fillId="0" borderId="21" xfId="38" applyNumberFormat="1" applyFont="1" applyBorder="1" applyAlignment="1">
      <alignment horizontal="center"/>
    </xf>
    <xf numFmtId="165" fontId="4" fillId="0" borderId="24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6" fontId="0" fillId="0" borderId="15" xfId="38" applyNumberFormat="1" applyFont="1" applyBorder="1" applyAlignment="1">
      <alignment/>
    </xf>
    <xf numFmtId="166" fontId="3" fillId="0" borderId="36" xfId="38" applyNumberFormat="1" applyFont="1" applyBorder="1" applyAlignment="1">
      <alignment vertical="center"/>
    </xf>
    <xf numFmtId="166" fontId="4" fillId="0" borderId="36" xfId="38" applyNumberFormat="1" applyFont="1" applyBorder="1" applyAlignment="1">
      <alignment vertical="center"/>
    </xf>
    <xf numFmtId="166" fontId="2" fillId="0" borderId="36" xfId="38" applyNumberFormat="1" applyFont="1" applyBorder="1" applyAlignment="1">
      <alignment vertical="center"/>
    </xf>
    <xf numFmtId="166" fontId="3" fillId="0" borderId="37" xfId="38" applyNumberFormat="1" applyFont="1" applyBorder="1" applyAlignment="1">
      <alignment vertical="center"/>
    </xf>
    <xf numFmtId="166" fontId="3" fillId="0" borderId="30" xfId="38" applyNumberFormat="1" applyFont="1" applyBorder="1" applyAlignment="1">
      <alignment vertical="center"/>
    </xf>
    <xf numFmtId="166" fontId="3" fillId="0" borderId="38" xfId="38" applyNumberFormat="1" applyFont="1" applyBorder="1" applyAlignment="1">
      <alignment vertical="center"/>
    </xf>
    <xf numFmtId="166" fontId="2" fillId="0" borderId="37" xfId="38" applyNumberFormat="1" applyFont="1" applyBorder="1" applyAlignment="1">
      <alignment vertical="center"/>
    </xf>
    <xf numFmtId="166" fontId="2" fillId="0" borderId="30" xfId="38" applyNumberFormat="1" applyFont="1" applyBorder="1" applyAlignment="1">
      <alignment vertical="center"/>
    </xf>
    <xf numFmtId="166" fontId="4" fillId="0" borderId="13" xfId="38" applyNumberFormat="1" applyFont="1" applyBorder="1" applyAlignment="1">
      <alignment/>
    </xf>
    <xf numFmtId="166" fontId="4" fillId="0" borderId="39" xfId="38" applyNumberFormat="1" applyFont="1" applyBorder="1" applyAlignment="1">
      <alignment vertical="center"/>
    </xf>
    <xf numFmtId="166" fontId="3" fillId="0" borderId="40" xfId="38" applyNumberFormat="1" applyFont="1" applyBorder="1" applyAlignment="1">
      <alignment vertical="center"/>
    </xf>
    <xf numFmtId="166" fontId="2" fillId="0" borderId="0" xfId="38" applyNumberFormat="1" applyFont="1" applyBorder="1" applyAlignment="1">
      <alignment vertical="center"/>
    </xf>
    <xf numFmtId="166" fontId="8" fillId="0" borderId="21" xfId="38" applyNumberFormat="1" applyFont="1" applyBorder="1" applyAlignment="1">
      <alignment vertical="center"/>
    </xf>
    <xf numFmtId="3" fontId="43" fillId="0" borderId="0" xfId="0" applyFont="1" applyAlignment="1">
      <alignment/>
    </xf>
    <xf numFmtId="3" fontId="7" fillId="0" borderId="30" xfId="0" applyFont="1" applyBorder="1" applyAlignment="1">
      <alignment/>
    </xf>
    <xf numFmtId="165" fontId="4" fillId="0" borderId="41" xfId="38" applyNumberFormat="1" applyFont="1" applyBorder="1" applyAlignment="1">
      <alignment horizontal="center"/>
    </xf>
    <xf numFmtId="165" fontId="4" fillId="0" borderId="42" xfId="38" applyNumberFormat="1" applyFont="1" applyBorder="1" applyAlignment="1">
      <alignment horizontal="center"/>
    </xf>
    <xf numFmtId="165" fontId="4" fillId="0" borderId="15" xfId="38" applyNumberFormat="1" applyFont="1" applyBorder="1" applyAlignment="1">
      <alignment horizontal="center"/>
    </xf>
    <xf numFmtId="166" fontId="4" fillId="0" borderId="15" xfId="38" applyNumberFormat="1" applyFont="1" applyBorder="1" applyAlignment="1">
      <alignment/>
    </xf>
    <xf numFmtId="166" fontId="2" fillId="0" borderId="42" xfId="38" applyNumberFormat="1" applyFont="1" applyBorder="1" applyAlignment="1">
      <alignment vertical="center"/>
    </xf>
    <xf numFmtId="166" fontId="6" fillId="0" borderId="15" xfId="38" applyNumberFormat="1" applyFont="1" applyBorder="1" applyAlignment="1">
      <alignment/>
    </xf>
    <xf numFmtId="166" fontId="6" fillId="0" borderId="15" xfId="38" applyNumberFormat="1" applyFont="1" applyBorder="1" applyAlignment="1">
      <alignment/>
    </xf>
    <xf numFmtId="166" fontId="0" fillId="0" borderId="0" xfId="38" applyNumberFormat="1" applyFont="1" applyBorder="1" applyAlignment="1">
      <alignment/>
    </xf>
    <xf numFmtId="166" fontId="7" fillId="0" borderId="15" xfId="38" applyNumberFormat="1" applyFont="1" applyBorder="1" applyAlignment="1">
      <alignment/>
    </xf>
    <xf numFmtId="3" fontId="0" fillId="0" borderId="43" xfId="0" applyBorder="1" applyAlignment="1">
      <alignment/>
    </xf>
    <xf numFmtId="3" fontId="0" fillId="0" borderId="38" xfId="0" applyBorder="1" applyAlignment="1">
      <alignment/>
    </xf>
    <xf numFmtId="166" fontId="8" fillId="0" borderId="13" xfId="38" applyNumberFormat="1" applyFont="1" applyBorder="1" applyAlignment="1">
      <alignment vertical="center"/>
    </xf>
    <xf numFmtId="3" fontId="0" fillId="0" borderId="23" xfId="0" applyBorder="1" applyAlignment="1">
      <alignment/>
    </xf>
    <xf numFmtId="3" fontId="7" fillId="0" borderId="32" xfId="0" applyFont="1" applyBorder="1" applyAlignment="1">
      <alignment/>
    </xf>
    <xf numFmtId="166" fontId="4" fillId="0" borderId="44" xfId="38" applyNumberFormat="1" applyFont="1" applyBorder="1" applyAlignment="1">
      <alignment/>
    </xf>
    <xf numFmtId="166" fontId="8" fillId="0" borderId="23" xfId="38" applyNumberFormat="1" applyFont="1" applyBorder="1" applyAlignment="1">
      <alignment vertical="center"/>
    </xf>
    <xf numFmtId="166" fontId="6" fillId="0" borderId="0" xfId="38" applyNumberFormat="1" applyFont="1" applyBorder="1" applyAlignment="1">
      <alignment/>
    </xf>
    <xf numFmtId="166" fontId="6" fillId="0" borderId="0" xfId="38" applyNumberFormat="1" applyFont="1" applyBorder="1" applyAlignment="1">
      <alignment/>
    </xf>
    <xf numFmtId="166" fontId="4" fillId="0" borderId="30" xfId="38" applyNumberFormat="1" applyFont="1" applyBorder="1" applyAlignment="1">
      <alignment/>
    </xf>
    <xf numFmtId="3" fontId="5" fillId="0" borderId="22" xfId="0" applyFont="1" applyBorder="1" applyAlignment="1">
      <alignment/>
    </xf>
    <xf numFmtId="166" fontId="2" fillId="0" borderId="43" xfId="38" applyNumberFormat="1" applyFont="1" applyBorder="1" applyAlignment="1">
      <alignment vertical="center"/>
    </xf>
    <xf numFmtId="166" fontId="0" fillId="0" borderId="11" xfId="38" applyNumberFormat="1" applyFont="1" applyFill="1" applyBorder="1" applyAlignment="1">
      <alignment/>
    </xf>
    <xf numFmtId="166" fontId="8" fillId="0" borderId="30" xfId="38" applyNumberFormat="1" applyFont="1" applyBorder="1" applyAlignment="1">
      <alignment vertical="center"/>
    </xf>
    <xf numFmtId="166" fontId="8" fillId="0" borderId="38" xfId="38" applyNumberFormat="1" applyFont="1" applyBorder="1" applyAlignment="1">
      <alignment vertical="center"/>
    </xf>
    <xf numFmtId="3" fontId="0" fillId="0" borderId="12" xfId="0" applyBorder="1" applyAlignment="1">
      <alignment/>
    </xf>
    <xf numFmtId="166" fontId="6" fillId="0" borderId="13" xfId="38" applyNumberFormat="1" applyFont="1" applyBorder="1" applyAlignment="1">
      <alignment/>
    </xf>
    <xf numFmtId="166" fontId="6" fillId="0" borderId="30" xfId="38" applyNumberFormat="1" applyFont="1" applyBorder="1" applyAlignment="1">
      <alignment/>
    </xf>
    <xf numFmtId="166" fontId="4" fillId="0" borderId="45" xfId="38" applyNumberFormat="1" applyFont="1" applyBorder="1" applyAlignment="1">
      <alignment/>
    </xf>
    <xf numFmtId="166" fontId="4" fillId="0" borderId="46" xfId="38" applyNumberFormat="1" applyFont="1" applyBorder="1" applyAlignment="1">
      <alignment/>
    </xf>
    <xf numFmtId="166" fontId="0" fillId="0" borderId="47" xfId="38" applyNumberFormat="1" applyFont="1" applyBorder="1" applyAlignment="1">
      <alignment/>
    </xf>
    <xf numFmtId="166" fontId="3" fillId="0" borderId="48" xfId="38" applyNumberFormat="1" applyFont="1" applyBorder="1" applyAlignment="1">
      <alignment vertical="center"/>
    </xf>
    <xf numFmtId="166" fontId="2" fillId="0" borderId="13" xfId="38" applyNumberFormat="1" applyFont="1" applyBorder="1" applyAlignment="1">
      <alignment vertical="center"/>
    </xf>
    <xf numFmtId="3" fontId="0" fillId="0" borderId="49" xfId="0" applyBorder="1" applyAlignment="1">
      <alignment/>
    </xf>
    <xf numFmtId="166" fontId="3" fillId="0" borderId="13" xfId="38" applyNumberFormat="1" applyFont="1" applyBorder="1" applyAlignment="1">
      <alignment vertical="center"/>
    </xf>
    <xf numFmtId="166" fontId="3" fillId="0" borderId="49" xfId="38" applyNumberFormat="1" applyFont="1" applyBorder="1" applyAlignment="1">
      <alignment vertical="center"/>
    </xf>
    <xf numFmtId="166" fontId="2" fillId="0" borderId="48" xfId="38" applyNumberFormat="1" applyFont="1" applyBorder="1" applyAlignment="1">
      <alignment vertical="center"/>
    </xf>
    <xf numFmtId="166" fontId="8" fillId="0" borderId="49" xfId="38" applyNumberFormat="1" applyFont="1" applyBorder="1" applyAlignment="1">
      <alignment vertical="center"/>
    </xf>
    <xf numFmtId="165" fontId="4" fillId="0" borderId="48" xfId="38" applyNumberFormat="1" applyFont="1" applyBorder="1" applyAlignment="1">
      <alignment horizontal="center"/>
    </xf>
    <xf numFmtId="165" fontId="4" fillId="0" borderId="49" xfId="38" applyNumberFormat="1" applyFont="1" applyBorder="1" applyAlignment="1">
      <alignment horizontal="center"/>
    </xf>
    <xf numFmtId="165" fontId="4" fillId="0" borderId="13" xfId="38" applyNumberFormat="1" applyFont="1" applyBorder="1" applyAlignment="1">
      <alignment horizontal="center"/>
    </xf>
    <xf numFmtId="166" fontId="4" fillId="0" borderId="13" xfId="38" applyNumberFormat="1" applyFont="1" applyBorder="1" applyAlignment="1">
      <alignment/>
    </xf>
    <xf numFmtId="166" fontId="2" fillId="0" borderId="49" xfId="38" applyNumberFormat="1" applyFont="1" applyBorder="1" applyAlignment="1">
      <alignment vertical="center"/>
    </xf>
    <xf numFmtId="166" fontId="6" fillId="0" borderId="13" xfId="38" applyNumberFormat="1" applyFont="1" applyBorder="1" applyAlignment="1">
      <alignment/>
    </xf>
    <xf numFmtId="166" fontId="0" fillId="0" borderId="50" xfId="38" applyNumberFormat="1" applyFont="1" applyBorder="1" applyAlignment="1">
      <alignment/>
    </xf>
    <xf numFmtId="166" fontId="7" fillId="0" borderId="13" xfId="38" applyNumberFormat="1" applyFont="1" applyBorder="1" applyAlignment="1">
      <alignment/>
    </xf>
    <xf numFmtId="166" fontId="4" fillId="0" borderId="0" xfId="38" applyNumberFormat="1" applyFont="1" applyBorder="1" applyAlignment="1">
      <alignment/>
    </xf>
    <xf numFmtId="166" fontId="4" fillId="0" borderId="51" xfId="38" applyNumberFormat="1" applyFont="1" applyBorder="1" applyAlignment="1">
      <alignment/>
    </xf>
    <xf numFmtId="166" fontId="4" fillId="0" borderId="0" xfId="38" applyNumberFormat="1" applyFont="1" applyBorder="1" applyAlignment="1">
      <alignment/>
    </xf>
    <xf numFmtId="166" fontId="4" fillId="0" borderId="51" xfId="38" applyNumberFormat="1" applyFont="1" applyBorder="1" applyAlignment="1">
      <alignment/>
    </xf>
    <xf numFmtId="166" fontId="4" fillId="0" borderId="12" xfId="38" applyNumberFormat="1" applyFont="1" applyBorder="1" applyAlignment="1">
      <alignment/>
    </xf>
    <xf numFmtId="166" fontId="6" fillId="0" borderId="26" xfId="38" applyNumberFormat="1" applyFont="1" applyBorder="1" applyAlignment="1">
      <alignment/>
    </xf>
    <xf numFmtId="166" fontId="4" fillId="0" borderId="52" xfId="38" applyNumberFormat="1" applyFont="1" applyBorder="1" applyAlignment="1">
      <alignment/>
    </xf>
    <xf numFmtId="166" fontId="6" fillId="0" borderId="26" xfId="38" applyNumberFormat="1" applyFont="1" applyBorder="1" applyAlignment="1">
      <alignment/>
    </xf>
    <xf numFmtId="166" fontId="4" fillId="0" borderId="53" xfId="38" applyNumberFormat="1" applyFont="1" applyBorder="1" applyAlignment="1">
      <alignment/>
    </xf>
    <xf numFmtId="166" fontId="4" fillId="0" borderId="26" xfId="38" applyNumberFormat="1" applyFont="1" applyBorder="1" applyAlignment="1">
      <alignment/>
    </xf>
    <xf numFmtId="166" fontId="2" fillId="0" borderId="54" xfId="38" applyNumberFormat="1" applyFont="1" applyBorder="1" applyAlignment="1">
      <alignment vertical="center"/>
    </xf>
    <xf numFmtId="166" fontId="2" fillId="0" borderId="27" xfId="38" applyNumberFormat="1" applyFont="1" applyBorder="1" applyAlignment="1">
      <alignment vertical="center"/>
    </xf>
    <xf numFmtId="166" fontId="3" fillId="0" borderId="54" xfId="38" applyNumberFormat="1" applyFont="1" applyBorder="1" applyAlignment="1">
      <alignment vertical="center"/>
    </xf>
    <xf numFmtId="166" fontId="4" fillId="0" borderId="55" xfId="38" applyNumberFormat="1" applyFont="1" applyBorder="1" applyAlignment="1">
      <alignment vertical="center"/>
    </xf>
    <xf numFmtId="166" fontId="3" fillId="0" borderId="41" xfId="38" applyNumberFormat="1" applyFont="1" applyBorder="1" applyAlignment="1">
      <alignment vertical="center"/>
    </xf>
    <xf numFmtId="166" fontId="3" fillId="0" borderId="26" xfId="38" applyNumberFormat="1" applyFont="1" applyBorder="1" applyAlignment="1">
      <alignment vertical="center"/>
    </xf>
    <xf numFmtId="166" fontId="3" fillId="0" borderId="56" xfId="38" applyNumberFormat="1" applyFont="1" applyBorder="1" applyAlignment="1">
      <alignment vertical="center"/>
    </xf>
    <xf numFmtId="3" fontId="0" fillId="0" borderId="24" xfId="0" applyBorder="1" applyAlignment="1">
      <alignment/>
    </xf>
    <xf numFmtId="166" fontId="8" fillId="0" borderId="56" xfId="38" applyNumberFormat="1" applyFont="1" applyBorder="1" applyAlignment="1">
      <alignment vertical="center"/>
    </xf>
    <xf numFmtId="166" fontId="2" fillId="0" borderId="56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3" fontId="2" fillId="0" borderId="0" xfId="0" applyFont="1" applyAlignment="1">
      <alignment horizontal="center"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35" xfId="0" applyFont="1" applyBorder="1" applyAlignment="1">
      <alignment horizontal="center" vertical="center"/>
    </xf>
    <xf numFmtId="3" fontId="0" fillId="0" borderId="33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3"/>
  <sheetViews>
    <sheetView tabSelected="1" zoomScalePageLayoutView="0" workbookViewId="0" topLeftCell="A1">
      <pane xSplit="1" ySplit="9" topLeftCell="B33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61" sqref="A361"/>
    </sheetView>
  </sheetViews>
  <sheetFormatPr defaultColWidth="9.00390625" defaultRowHeight="12.75"/>
  <cols>
    <col min="1" max="1" width="42.75390625" style="0" customWidth="1"/>
    <col min="2" max="2" width="13.625" style="0" customWidth="1"/>
    <col min="3" max="3" width="15.75390625" style="0" hidden="1" customWidth="1"/>
    <col min="4" max="4" width="14.25390625" style="0" hidden="1" customWidth="1"/>
    <col min="5" max="6" width="13.625" style="0" hidden="1" customWidth="1"/>
    <col min="7" max="7" width="12.875" style="0" hidden="1" customWidth="1"/>
    <col min="8" max="8" width="13.875" style="0" hidden="1" customWidth="1"/>
    <col min="9" max="9" width="13.625" style="0" hidden="1" customWidth="1"/>
    <col min="10" max="10" width="13.00390625" style="0" hidden="1" customWidth="1"/>
    <col min="11" max="11" width="14.375" style="0" customWidth="1"/>
    <col min="12" max="12" width="14.00390625" style="0" customWidth="1"/>
    <col min="13" max="13" width="14.25390625" style="0" hidden="1" customWidth="1"/>
    <col min="14" max="14" width="16.00390625" style="0" customWidth="1"/>
  </cols>
  <sheetData>
    <row r="1" spans="2:14" ht="12.75">
      <c r="B1" s="1"/>
      <c r="C1" s="1"/>
      <c r="D1" s="1"/>
      <c r="E1" s="2"/>
      <c r="K1" s="2"/>
      <c r="N1" s="2" t="s">
        <v>217</v>
      </c>
    </row>
    <row r="2" spans="2:5" ht="12.75">
      <c r="B2" s="1"/>
      <c r="C2" s="1"/>
      <c r="D2" s="1"/>
      <c r="E2" s="2"/>
    </row>
    <row r="3" spans="1:14" ht="15.75">
      <c r="A3" s="183" t="s">
        <v>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5.75">
      <c r="A4" s="184" t="s">
        <v>220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14" ht="15">
      <c r="A5" s="185" t="s">
        <v>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4" ht="12.75">
      <c r="A6" s="186" t="s">
        <v>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12" ht="16.5" thickBot="1">
      <c r="A7" s="3"/>
      <c r="B7" s="4"/>
      <c r="C7" s="4"/>
      <c r="D7" s="4"/>
      <c r="E7" s="4"/>
      <c r="L7" s="115"/>
    </row>
    <row r="8" spans="1:14" ht="12.75">
      <c r="A8" s="187" t="s">
        <v>3</v>
      </c>
      <c r="B8" s="44" t="s">
        <v>4</v>
      </c>
      <c r="C8" s="45" t="s">
        <v>5</v>
      </c>
      <c r="D8" s="45" t="s">
        <v>6</v>
      </c>
      <c r="E8" s="46" t="s">
        <v>7</v>
      </c>
      <c r="F8" s="44" t="s">
        <v>8</v>
      </c>
      <c r="G8" s="117" t="s">
        <v>6</v>
      </c>
      <c r="H8" s="154" t="s">
        <v>7</v>
      </c>
      <c r="I8" s="45" t="s">
        <v>9</v>
      </c>
      <c r="J8" s="45" t="s">
        <v>6</v>
      </c>
      <c r="K8" s="46" t="s">
        <v>7</v>
      </c>
      <c r="L8" s="44" t="s">
        <v>10</v>
      </c>
      <c r="M8" s="45" t="s">
        <v>6</v>
      </c>
      <c r="N8" s="46" t="s">
        <v>7</v>
      </c>
    </row>
    <row r="9" spans="1:14" ht="13.5" thickBot="1">
      <c r="A9" s="188"/>
      <c r="B9" s="98" t="s">
        <v>11</v>
      </c>
      <c r="C9" s="99" t="s">
        <v>12</v>
      </c>
      <c r="D9" s="99" t="s">
        <v>13</v>
      </c>
      <c r="E9" s="100" t="s">
        <v>14</v>
      </c>
      <c r="F9" s="98" t="s">
        <v>12</v>
      </c>
      <c r="G9" s="118" t="s">
        <v>13</v>
      </c>
      <c r="H9" s="155" t="s">
        <v>15</v>
      </c>
      <c r="I9" s="99" t="s">
        <v>12</v>
      </c>
      <c r="J9" s="99" t="s">
        <v>13</v>
      </c>
      <c r="K9" s="100" t="s">
        <v>16</v>
      </c>
      <c r="L9" s="98" t="s">
        <v>12</v>
      </c>
      <c r="M9" s="99" t="s">
        <v>13</v>
      </c>
      <c r="N9" s="100" t="s">
        <v>17</v>
      </c>
    </row>
    <row r="10" spans="1:14" ht="12.75">
      <c r="A10" s="96" t="s">
        <v>18</v>
      </c>
      <c r="B10" s="65"/>
      <c r="C10" s="5"/>
      <c r="D10" s="5"/>
      <c r="E10" s="97"/>
      <c r="F10" s="65"/>
      <c r="G10" s="119"/>
      <c r="H10" s="156"/>
      <c r="I10" s="5"/>
      <c r="J10" s="5"/>
      <c r="K10" s="97"/>
      <c r="L10" s="65"/>
      <c r="M10" s="5"/>
      <c r="N10" s="97"/>
    </row>
    <row r="11" spans="1:14" ht="12.75">
      <c r="A11" s="68" t="s">
        <v>19</v>
      </c>
      <c r="B11" s="47">
        <v>2700000</v>
      </c>
      <c r="C11" s="6"/>
      <c r="D11" s="6"/>
      <c r="E11" s="48">
        <f>B11+C11+D11</f>
        <v>2700000</v>
      </c>
      <c r="F11" s="47">
        <f>40747.3+60170</f>
        <v>100917.3</v>
      </c>
      <c r="G11" s="120"/>
      <c r="H11" s="157">
        <f>E11+F11+G11</f>
        <v>2800917.3</v>
      </c>
      <c r="I11" s="6">
        <f>7450+1500+15000+2000+20650</f>
        <v>46600</v>
      </c>
      <c r="J11" s="6">
        <v>5000</v>
      </c>
      <c r="K11" s="48">
        <f>H11+I11+J11</f>
        <v>2852517.3</v>
      </c>
      <c r="L11" s="47"/>
      <c r="M11" s="6"/>
      <c r="N11" s="48">
        <f>K11+L11+M11</f>
        <v>2852517.3</v>
      </c>
    </row>
    <row r="12" spans="1:14" ht="12.75">
      <c r="A12" s="69" t="s">
        <v>20</v>
      </c>
      <c r="B12" s="47"/>
      <c r="C12" s="6"/>
      <c r="D12" s="6"/>
      <c r="E12" s="48"/>
      <c r="F12" s="47"/>
      <c r="G12" s="120"/>
      <c r="H12" s="157"/>
      <c r="I12" s="6"/>
      <c r="J12" s="6"/>
      <c r="K12" s="48"/>
      <c r="L12" s="47"/>
      <c r="M12" s="6"/>
      <c r="N12" s="48"/>
    </row>
    <row r="13" spans="1:14" ht="12.75">
      <c r="A13" s="70" t="s">
        <v>21</v>
      </c>
      <c r="B13" s="47"/>
      <c r="C13" s="6"/>
      <c r="D13" s="6"/>
      <c r="E13" s="48"/>
      <c r="F13" s="49">
        <v>40747.3</v>
      </c>
      <c r="G13" s="120"/>
      <c r="H13" s="14">
        <f>E13+F13+G13</f>
        <v>40747.3</v>
      </c>
      <c r="I13" s="7"/>
      <c r="J13" s="6"/>
      <c r="K13" s="50">
        <f>H13+I13+J13</f>
        <v>40747.3</v>
      </c>
      <c r="L13" s="49"/>
      <c r="M13" s="6"/>
      <c r="N13" s="50">
        <f>K13+L13+M13</f>
        <v>40747.3</v>
      </c>
    </row>
    <row r="14" spans="1:14" ht="12.75">
      <c r="A14" s="68" t="s">
        <v>22</v>
      </c>
      <c r="B14" s="47">
        <f>SUM(B16:B28)</f>
        <v>193247</v>
      </c>
      <c r="C14" s="6">
        <f aca="true" t="shared" si="0" ref="C14:N14">SUM(C16:C28)</f>
        <v>9309.2</v>
      </c>
      <c r="D14" s="6">
        <f t="shared" si="0"/>
        <v>2416.4</v>
      </c>
      <c r="E14" s="48">
        <f t="shared" si="0"/>
        <v>204972.6</v>
      </c>
      <c r="F14" s="47">
        <f t="shared" si="0"/>
        <v>47611.8</v>
      </c>
      <c r="G14" s="120">
        <f t="shared" si="0"/>
        <v>2049.5</v>
      </c>
      <c r="H14" s="157">
        <f t="shared" si="0"/>
        <v>254633.9</v>
      </c>
      <c r="I14" s="6">
        <f t="shared" si="0"/>
        <v>467.40000000000146</v>
      </c>
      <c r="J14" s="6">
        <f t="shared" si="0"/>
        <v>200</v>
      </c>
      <c r="K14" s="48">
        <f t="shared" si="0"/>
        <v>255301.3</v>
      </c>
      <c r="L14" s="47">
        <f t="shared" si="0"/>
        <v>18191.5</v>
      </c>
      <c r="M14" s="6">
        <f t="shared" si="0"/>
        <v>0</v>
      </c>
      <c r="N14" s="48">
        <f t="shared" si="0"/>
        <v>273492.80000000005</v>
      </c>
    </row>
    <row r="15" spans="1:14" ht="12.75">
      <c r="A15" s="69" t="s">
        <v>23</v>
      </c>
      <c r="B15" s="47"/>
      <c r="C15" s="6"/>
      <c r="D15" s="6"/>
      <c r="E15" s="48"/>
      <c r="F15" s="47"/>
      <c r="G15" s="120"/>
      <c r="H15" s="157"/>
      <c r="I15" s="6"/>
      <c r="J15" s="6"/>
      <c r="K15" s="48"/>
      <c r="L15" s="47"/>
      <c r="M15" s="6"/>
      <c r="N15" s="48"/>
    </row>
    <row r="16" spans="1:14" ht="12.75">
      <c r="A16" s="70" t="s">
        <v>24</v>
      </c>
      <c r="B16" s="49">
        <v>10000</v>
      </c>
      <c r="C16" s="7"/>
      <c r="D16" s="7"/>
      <c r="E16" s="50">
        <f>B16+C16+D16</f>
        <v>10000</v>
      </c>
      <c r="F16" s="49"/>
      <c r="G16" s="101"/>
      <c r="H16" s="14">
        <f>E16+F16+G16</f>
        <v>10000</v>
      </c>
      <c r="I16" s="7"/>
      <c r="J16" s="7"/>
      <c r="K16" s="50">
        <f>H16+I16+J16</f>
        <v>10000</v>
      </c>
      <c r="L16" s="49"/>
      <c r="M16" s="7"/>
      <c r="N16" s="50">
        <f>K16+L16+M16</f>
        <v>10000</v>
      </c>
    </row>
    <row r="17" spans="1:14" ht="12.75">
      <c r="A17" s="70" t="s">
        <v>25</v>
      </c>
      <c r="B17" s="49"/>
      <c r="C17" s="7"/>
      <c r="D17" s="7">
        <v>720</v>
      </c>
      <c r="E17" s="50">
        <f aca="true" t="shared" si="1" ref="E17:E27">B17+C17+D17</f>
        <v>720</v>
      </c>
      <c r="F17" s="49">
        <v>2000</v>
      </c>
      <c r="G17" s="101">
        <v>950</v>
      </c>
      <c r="H17" s="14">
        <f aca="true" t="shared" si="2" ref="H17:H27">E17+F17+G17</f>
        <v>3670</v>
      </c>
      <c r="I17" s="7"/>
      <c r="J17" s="7"/>
      <c r="K17" s="50">
        <f aca="true" t="shared" si="3" ref="K17:K27">H17+I17+J17</f>
        <v>3670</v>
      </c>
      <c r="L17" s="66">
        <v>8966</v>
      </c>
      <c r="M17" s="7"/>
      <c r="N17" s="50">
        <f aca="true" t="shared" si="4" ref="N17:N27">K17+L17+M17</f>
        <v>12636</v>
      </c>
    </row>
    <row r="18" spans="1:14" ht="12.75">
      <c r="A18" s="70" t="s">
        <v>26</v>
      </c>
      <c r="B18" s="49">
        <v>45000</v>
      </c>
      <c r="C18" s="7"/>
      <c r="D18" s="7"/>
      <c r="E18" s="50">
        <f t="shared" si="1"/>
        <v>45000</v>
      </c>
      <c r="F18" s="49"/>
      <c r="G18" s="101"/>
      <c r="H18" s="14">
        <f t="shared" si="2"/>
        <v>45000</v>
      </c>
      <c r="I18" s="7"/>
      <c r="J18" s="7"/>
      <c r="K18" s="50">
        <f t="shared" si="3"/>
        <v>45000</v>
      </c>
      <c r="L18" s="49"/>
      <c r="M18" s="7"/>
      <c r="N18" s="50">
        <f t="shared" si="4"/>
        <v>45000</v>
      </c>
    </row>
    <row r="19" spans="1:14" ht="12.75" hidden="1">
      <c r="A19" s="70" t="s">
        <v>27</v>
      </c>
      <c r="B19" s="49"/>
      <c r="C19" s="7"/>
      <c r="D19" s="7"/>
      <c r="E19" s="50">
        <f t="shared" si="1"/>
        <v>0</v>
      </c>
      <c r="F19" s="49"/>
      <c r="G19" s="101"/>
      <c r="H19" s="14">
        <f t="shared" si="2"/>
        <v>0</v>
      </c>
      <c r="I19" s="7"/>
      <c r="J19" s="7"/>
      <c r="K19" s="50">
        <f t="shared" si="3"/>
        <v>0</v>
      </c>
      <c r="L19" s="49"/>
      <c r="M19" s="7"/>
      <c r="N19" s="50">
        <f t="shared" si="4"/>
        <v>0</v>
      </c>
    </row>
    <row r="20" spans="1:14" ht="12.75">
      <c r="A20" s="70" t="s">
        <v>28</v>
      </c>
      <c r="B20" s="49"/>
      <c r="C20" s="7"/>
      <c r="D20" s="7"/>
      <c r="E20" s="50">
        <f t="shared" si="1"/>
        <v>0</v>
      </c>
      <c r="F20" s="49">
        <v>12.7</v>
      </c>
      <c r="G20" s="101"/>
      <c r="H20" s="14">
        <f t="shared" si="2"/>
        <v>12.7</v>
      </c>
      <c r="I20" s="7"/>
      <c r="J20" s="7"/>
      <c r="K20" s="50">
        <f t="shared" si="3"/>
        <v>12.7</v>
      </c>
      <c r="L20" s="49">
        <f>90+73.5</f>
        <v>163.5</v>
      </c>
      <c r="M20" s="7"/>
      <c r="N20" s="50">
        <f t="shared" si="4"/>
        <v>176.2</v>
      </c>
    </row>
    <row r="21" spans="1:14" ht="12.75" hidden="1">
      <c r="A21" s="70" t="s">
        <v>29</v>
      </c>
      <c r="B21" s="49"/>
      <c r="C21" s="7"/>
      <c r="D21" s="7"/>
      <c r="E21" s="50">
        <f t="shared" si="1"/>
        <v>0</v>
      </c>
      <c r="F21" s="49"/>
      <c r="G21" s="101"/>
      <c r="H21" s="14">
        <f t="shared" si="2"/>
        <v>0</v>
      </c>
      <c r="I21" s="7"/>
      <c r="J21" s="7"/>
      <c r="K21" s="50">
        <f t="shared" si="3"/>
        <v>0</v>
      </c>
      <c r="L21" s="49"/>
      <c r="M21" s="7"/>
      <c r="N21" s="50">
        <f t="shared" si="4"/>
        <v>0</v>
      </c>
    </row>
    <row r="22" spans="1:14" ht="12.75">
      <c r="A22" s="71" t="s">
        <v>30</v>
      </c>
      <c r="B22" s="49">
        <v>60000</v>
      </c>
      <c r="C22" s="7"/>
      <c r="D22" s="7"/>
      <c r="E22" s="50">
        <f t="shared" si="1"/>
        <v>60000</v>
      </c>
      <c r="F22" s="49">
        <f>898.1+19011</f>
        <v>19909.1</v>
      </c>
      <c r="G22" s="101"/>
      <c r="H22" s="14">
        <f t="shared" si="2"/>
        <v>79909.1</v>
      </c>
      <c r="I22" s="7">
        <v>-19011</v>
      </c>
      <c r="J22" s="7"/>
      <c r="K22" s="50">
        <f t="shared" si="3"/>
        <v>60898.100000000006</v>
      </c>
      <c r="L22" s="49">
        <f>-6000+47.4</f>
        <v>-5952.6</v>
      </c>
      <c r="M22" s="7"/>
      <c r="N22" s="50">
        <f t="shared" si="4"/>
        <v>54945.50000000001</v>
      </c>
    </row>
    <row r="23" spans="1:14" ht="12.75">
      <c r="A23" s="70" t="s">
        <v>31</v>
      </c>
      <c r="B23" s="49"/>
      <c r="C23" s="7"/>
      <c r="D23" s="7"/>
      <c r="E23" s="50">
        <f t="shared" si="1"/>
        <v>0</v>
      </c>
      <c r="F23" s="49"/>
      <c r="G23" s="101"/>
      <c r="H23" s="14">
        <f t="shared" si="2"/>
        <v>0</v>
      </c>
      <c r="I23" s="7">
        <v>37</v>
      </c>
      <c r="J23" s="7"/>
      <c r="K23" s="50">
        <f t="shared" si="3"/>
        <v>37</v>
      </c>
      <c r="L23" s="49"/>
      <c r="M23" s="7"/>
      <c r="N23" s="50">
        <f t="shared" si="4"/>
        <v>37</v>
      </c>
    </row>
    <row r="24" spans="1:14" ht="12.75">
      <c r="A24" s="71" t="s">
        <v>279</v>
      </c>
      <c r="B24" s="49"/>
      <c r="C24" s="7"/>
      <c r="D24" s="7"/>
      <c r="E24" s="50"/>
      <c r="F24" s="49"/>
      <c r="G24" s="101"/>
      <c r="H24" s="14">
        <f t="shared" si="2"/>
        <v>0</v>
      </c>
      <c r="I24" s="7">
        <v>430.4</v>
      </c>
      <c r="J24" s="7"/>
      <c r="K24" s="50">
        <f t="shared" si="3"/>
        <v>430.4</v>
      </c>
      <c r="L24" s="49"/>
      <c r="M24" s="7"/>
      <c r="N24" s="50">
        <f t="shared" si="4"/>
        <v>430.4</v>
      </c>
    </row>
    <row r="25" spans="1:14" ht="12.75" hidden="1">
      <c r="A25" s="71" t="s">
        <v>32</v>
      </c>
      <c r="B25" s="49"/>
      <c r="C25" s="7"/>
      <c r="D25" s="7"/>
      <c r="E25" s="50">
        <f t="shared" si="1"/>
        <v>0</v>
      </c>
      <c r="F25" s="49"/>
      <c r="G25" s="101"/>
      <c r="H25" s="14">
        <f t="shared" si="2"/>
        <v>0</v>
      </c>
      <c r="I25" s="7"/>
      <c r="J25" s="7"/>
      <c r="K25" s="50">
        <f t="shared" si="3"/>
        <v>0</v>
      </c>
      <c r="L25" s="49"/>
      <c r="M25" s="7"/>
      <c r="N25" s="50">
        <f t="shared" si="4"/>
        <v>0</v>
      </c>
    </row>
    <row r="26" spans="1:14" ht="12.75" hidden="1">
      <c r="A26" s="70" t="s">
        <v>33</v>
      </c>
      <c r="B26" s="49"/>
      <c r="C26" s="7"/>
      <c r="D26" s="7"/>
      <c r="E26" s="50">
        <f t="shared" si="1"/>
        <v>0</v>
      </c>
      <c r="F26" s="49"/>
      <c r="G26" s="101"/>
      <c r="H26" s="14">
        <f t="shared" si="2"/>
        <v>0</v>
      </c>
      <c r="I26" s="7"/>
      <c r="J26" s="7"/>
      <c r="K26" s="50">
        <f t="shared" si="3"/>
        <v>0</v>
      </c>
      <c r="L26" s="49"/>
      <c r="M26" s="7"/>
      <c r="N26" s="50">
        <f t="shared" si="4"/>
        <v>0</v>
      </c>
    </row>
    <row r="27" spans="1:14" ht="12.75" hidden="1">
      <c r="A27" s="70" t="s">
        <v>34</v>
      </c>
      <c r="B27" s="49"/>
      <c r="C27" s="7"/>
      <c r="D27" s="7"/>
      <c r="E27" s="50">
        <f t="shared" si="1"/>
        <v>0</v>
      </c>
      <c r="F27" s="49"/>
      <c r="G27" s="101"/>
      <c r="H27" s="14">
        <f t="shared" si="2"/>
        <v>0</v>
      </c>
      <c r="I27" s="7"/>
      <c r="J27" s="7"/>
      <c r="K27" s="50">
        <f t="shared" si="3"/>
        <v>0</v>
      </c>
      <c r="L27" s="49"/>
      <c r="M27" s="7"/>
      <c r="N27" s="50">
        <f t="shared" si="4"/>
        <v>0</v>
      </c>
    </row>
    <row r="28" spans="1:14" ht="12.75">
      <c r="A28" s="70" t="s">
        <v>35</v>
      </c>
      <c r="B28" s="49">
        <f>SUM(B29:B33)</f>
        <v>78247</v>
      </c>
      <c r="C28" s="7">
        <f aca="true" t="shared" si="5" ref="C28:N28">SUM(C29:C33)</f>
        <v>9309.2</v>
      </c>
      <c r="D28" s="7">
        <f t="shared" si="5"/>
        <v>1696.4</v>
      </c>
      <c r="E28" s="50">
        <f t="shared" si="5"/>
        <v>89252.6</v>
      </c>
      <c r="F28" s="49">
        <f t="shared" si="5"/>
        <v>25690</v>
      </c>
      <c r="G28" s="101">
        <f t="shared" si="5"/>
        <v>1099.5</v>
      </c>
      <c r="H28" s="14">
        <f t="shared" si="5"/>
        <v>116042.1</v>
      </c>
      <c r="I28" s="7">
        <f t="shared" si="5"/>
        <v>19011</v>
      </c>
      <c r="J28" s="7">
        <f t="shared" si="5"/>
        <v>200</v>
      </c>
      <c r="K28" s="50">
        <f t="shared" si="5"/>
        <v>135253.1</v>
      </c>
      <c r="L28" s="49">
        <f t="shared" si="5"/>
        <v>15014.6</v>
      </c>
      <c r="M28" s="7">
        <f t="shared" si="5"/>
        <v>0</v>
      </c>
      <c r="N28" s="50">
        <f t="shared" si="5"/>
        <v>150267.7</v>
      </c>
    </row>
    <row r="29" spans="1:14" ht="12.75">
      <c r="A29" s="70" t="s">
        <v>36</v>
      </c>
      <c r="B29" s="49">
        <v>26718</v>
      </c>
      <c r="C29" s="7">
        <v>1021.6</v>
      </c>
      <c r="D29" s="7">
        <v>1490.9</v>
      </c>
      <c r="E29" s="50">
        <f>B29+C29+D29</f>
        <v>29230.5</v>
      </c>
      <c r="F29" s="49"/>
      <c r="G29" s="101">
        <v>1099.5</v>
      </c>
      <c r="H29" s="14">
        <f>E29+F29+G29</f>
        <v>30330</v>
      </c>
      <c r="I29" s="7"/>
      <c r="J29" s="7">
        <v>200</v>
      </c>
      <c r="K29" s="50">
        <f>H29+I29+J29</f>
        <v>30530</v>
      </c>
      <c r="L29" s="49">
        <v>2014.6</v>
      </c>
      <c r="M29" s="7"/>
      <c r="N29" s="50">
        <f>K29+L29+M29</f>
        <v>32544.6</v>
      </c>
    </row>
    <row r="30" spans="1:14" ht="12.75">
      <c r="A30" s="70" t="s">
        <v>37</v>
      </c>
      <c r="B30" s="49"/>
      <c r="C30" s="7"/>
      <c r="D30" s="7"/>
      <c r="E30" s="50">
        <f>B30+C30+D30</f>
        <v>0</v>
      </c>
      <c r="F30" s="49">
        <v>25690</v>
      </c>
      <c r="G30" s="101"/>
      <c r="H30" s="14">
        <f>E30+F30+G30</f>
        <v>25690</v>
      </c>
      <c r="I30" s="7">
        <v>19011</v>
      </c>
      <c r="J30" s="7"/>
      <c r="K30" s="50">
        <f>H30+I30+J30</f>
        <v>44701</v>
      </c>
      <c r="L30" s="49">
        <v>13000</v>
      </c>
      <c r="M30" s="7"/>
      <c r="N30" s="50">
        <f>K30+L30+M30</f>
        <v>57701</v>
      </c>
    </row>
    <row r="31" spans="1:14" ht="12.75">
      <c r="A31" s="70" t="s">
        <v>38</v>
      </c>
      <c r="B31" s="49">
        <v>23685</v>
      </c>
      <c r="C31" s="7"/>
      <c r="D31" s="7"/>
      <c r="E31" s="50">
        <f>B31+C31+D31</f>
        <v>23685</v>
      </c>
      <c r="F31" s="49"/>
      <c r="G31" s="101"/>
      <c r="H31" s="14">
        <f>E31+F31+G31</f>
        <v>23685</v>
      </c>
      <c r="I31" s="7"/>
      <c r="J31" s="7"/>
      <c r="K31" s="50">
        <f>H31+I31+J31</f>
        <v>23685</v>
      </c>
      <c r="L31" s="49"/>
      <c r="M31" s="7"/>
      <c r="N31" s="50">
        <f>K31+L31+M31</f>
        <v>23685</v>
      </c>
    </row>
    <row r="32" spans="1:14" ht="12.75">
      <c r="A32" s="70" t="s">
        <v>39</v>
      </c>
      <c r="B32" s="49">
        <v>10243</v>
      </c>
      <c r="C32" s="7"/>
      <c r="D32" s="7"/>
      <c r="E32" s="50">
        <f>B32+C32+D32</f>
        <v>10243</v>
      </c>
      <c r="F32" s="49"/>
      <c r="G32" s="101"/>
      <c r="H32" s="14">
        <f>E32+F32+G32</f>
        <v>10243</v>
      </c>
      <c r="I32" s="7"/>
      <c r="J32" s="7"/>
      <c r="K32" s="50">
        <f>H32+I32+J32</f>
        <v>10243</v>
      </c>
      <c r="L32" s="49"/>
      <c r="M32" s="7"/>
      <c r="N32" s="50">
        <f>K32+L32+M32</f>
        <v>10243</v>
      </c>
    </row>
    <row r="33" spans="1:14" ht="12.75">
      <c r="A33" s="70" t="s">
        <v>40</v>
      </c>
      <c r="B33" s="49">
        <v>17601</v>
      </c>
      <c r="C33" s="7">
        <f>7667+620.6</f>
        <v>8287.6</v>
      </c>
      <c r="D33" s="7">
        <v>205.5</v>
      </c>
      <c r="E33" s="50">
        <f>B33+C33+D33</f>
        <v>26094.1</v>
      </c>
      <c r="F33" s="49"/>
      <c r="G33" s="101"/>
      <c r="H33" s="14">
        <f>E33+F33+G33</f>
        <v>26094.1</v>
      </c>
      <c r="I33" s="7"/>
      <c r="J33" s="7"/>
      <c r="K33" s="50">
        <f>H33+I33+J33</f>
        <v>26094.1</v>
      </c>
      <c r="L33" s="49"/>
      <c r="M33" s="7"/>
      <c r="N33" s="50">
        <f>K33+L33+M33</f>
        <v>26094.1</v>
      </c>
    </row>
    <row r="34" spans="1:14" ht="12.75">
      <c r="A34" s="72" t="s">
        <v>41</v>
      </c>
      <c r="B34" s="51">
        <f>SUM(B36:B39)</f>
        <v>0</v>
      </c>
      <c r="C34" s="8">
        <f aca="true" t="shared" si="6" ref="C34:N34">SUM(C36:C39)</f>
        <v>0</v>
      </c>
      <c r="D34" s="8">
        <f t="shared" si="6"/>
        <v>0</v>
      </c>
      <c r="E34" s="52">
        <f t="shared" si="6"/>
        <v>0</v>
      </c>
      <c r="F34" s="51">
        <f t="shared" si="6"/>
        <v>0</v>
      </c>
      <c r="G34" s="17">
        <f t="shared" si="6"/>
        <v>0</v>
      </c>
      <c r="H34" s="110">
        <f t="shared" si="6"/>
        <v>0</v>
      </c>
      <c r="I34" s="8">
        <f t="shared" si="6"/>
        <v>0</v>
      </c>
      <c r="J34" s="8">
        <f t="shared" si="6"/>
        <v>1806.9</v>
      </c>
      <c r="K34" s="52">
        <f t="shared" si="6"/>
        <v>1806.9</v>
      </c>
      <c r="L34" s="51">
        <f t="shared" si="6"/>
        <v>37412</v>
      </c>
      <c r="M34" s="8">
        <f t="shared" si="6"/>
        <v>0</v>
      </c>
      <c r="N34" s="52">
        <f t="shared" si="6"/>
        <v>39218.9</v>
      </c>
    </row>
    <row r="35" spans="1:14" ht="12.75">
      <c r="A35" s="69" t="s">
        <v>23</v>
      </c>
      <c r="B35" s="49"/>
      <c r="C35" s="7"/>
      <c r="D35" s="7"/>
      <c r="E35" s="50"/>
      <c r="F35" s="49"/>
      <c r="G35" s="101"/>
      <c r="H35" s="14"/>
      <c r="I35" s="7"/>
      <c r="J35" s="7"/>
      <c r="K35" s="50"/>
      <c r="L35" s="49"/>
      <c r="M35" s="7"/>
      <c r="N35" s="50"/>
    </row>
    <row r="36" spans="1:14" ht="12.75">
      <c r="A36" s="70" t="s">
        <v>42</v>
      </c>
      <c r="B36" s="49"/>
      <c r="C36" s="7"/>
      <c r="D36" s="7"/>
      <c r="E36" s="50">
        <f>B36+C36+D36</f>
        <v>0</v>
      </c>
      <c r="F36" s="49"/>
      <c r="G36" s="101"/>
      <c r="H36" s="14">
        <f>E36+F36+G36</f>
        <v>0</v>
      </c>
      <c r="I36" s="7"/>
      <c r="J36" s="7">
        <v>1806.9</v>
      </c>
      <c r="K36" s="50">
        <f>H36+I36+J36</f>
        <v>1806.9</v>
      </c>
      <c r="L36" s="49"/>
      <c r="M36" s="7"/>
      <c r="N36" s="50">
        <f>K36+L36+M36</f>
        <v>1806.9</v>
      </c>
    </row>
    <row r="37" spans="1:14" ht="12.75">
      <c r="A37" s="70" t="s">
        <v>43</v>
      </c>
      <c r="B37" s="49"/>
      <c r="C37" s="7"/>
      <c r="D37" s="7"/>
      <c r="E37" s="50">
        <f>B37+C37+D37</f>
        <v>0</v>
      </c>
      <c r="F37" s="49"/>
      <c r="G37" s="101"/>
      <c r="H37" s="14">
        <f>E37+F37+G37</f>
        <v>0</v>
      </c>
      <c r="I37" s="9"/>
      <c r="J37" s="7"/>
      <c r="K37" s="50">
        <f>H37+I37+J37</f>
        <v>0</v>
      </c>
      <c r="L37" s="66">
        <v>37412</v>
      </c>
      <c r="M37" s="7"/>
      <c r="N37" s="50">
        <f>K37+L37+M37</f>
        <v>37412</v>
      </c>
    </row>
    <row r="38" spans="1:14" ht="12.75" hidden="1">
      <c r="A38" s="70" t="s">
        <v>44</v>
      </c>
      <c r="B38" s="49"/>
      <c r="C38" s="7"/>
      <c r="D38" s="7"/>
      <c r="E38" s="50">
        <f>B38+C38+D38</f>
        <v>0</v>
      </c>
      <c r="F38" s="49"/>
      <c r="G38" s="101"/>
      <c r="H38" s="14">
        <f>E38+F38+G38</f>
        <v>0</v>
      </c>
      <c r="I38" s="9"/>
      <c r="J38" s="7"/>
      <c r="K38" s="50">
        <f>H38+I38+J38</f>
        <v>0</v>
      </c>
      <c r="L38" s="66"/>
      <c r="M38" s="7"/>
      <c r="N38" s="50">
        <f>K38+L38+M38</f>
        <v>0</v>
      </c>
    </row>
    <row r="39" spans="1:14" ht="12.75" hidden="1">
      <c r="A39" s="70" t="s">
        <v>45</v>
      </c>
      <c r="B39" s="49"/>
      <c r="C39" s="7"/>
      <c r="D39" s="7"/>
      <c r="E39" s="50">
        <f>B39+C39+D39</f>
        <v>0</v>
      </c>
      <c r="F39" s="49"/>
      <c r="G39" s="101"/>
      <c r="H39" s="14">
        <f>E39+F39+G39</f>
        <v>0</v>
      </c>
      <c r="I39" s="7"/>
      <c r="J39" s="7"/>
      <c r="K39" s="50">
        <f>H39+I39+J39</f>
        <v>0</v>
      </c>
      <c r="L39" s="49"/>
      <c r="M39" s="7"/>
      <c r="N39" s="50">
        <f>K39+L39+M39</f>
        <v>0</v>
      </c>
    </row>
    <row r="40" spans="1:14" ht="12.75">
      <c r="A40" s="68" t="s">
        <v>46</v>
      </c>
      <c r="B40" s="47">
        <f>SUM(B42:B59)</f>
        <v>81932</v>
      </c>
      <c r="C40" s="6">
        <f aca="true" t="shared" si="7" ref="C40:N40">SUM(C42:C59)</f>
        <v>1449734.2000000002</v>
      </c>
      <c r="D40" s="6">
        <f t="shared" si="7"/>
        <v>0</v>
      </c>
      <c r="E40" s="48">
        <f t="shared" si="7"/>
        <v>1531666.2000000002</v>
      </c>
      <c r="F40" s="47">
        <f t="shared" si="7"/>
        <v>1133383.2000000002</v>
      </c>
      <c r="G40" s="120">
        <f t="shared" si="7"/>
        <v>0</v>
      </c>
      <c r="H40" s="157">
        <f t="shared" si="7"/>
        <v>2665049.4</v>
      </c>
      <c r="I40" s="6">
        <f t="shared" si="7"/>
        <v>1145254.0999999999</v>
      </c>
      <c r="J40" s="6">
        <f t="shared" si="7"/>
        <v>0</v>
      </c>
      <c r="K40" s="48">
        <f t="shared" si="7"/>
        <v>3810303.4999999995</v>
      </c>
      <c r="L40" s="47">
        <f t="shared" si="7"/>
        <v>1198257.4000000001</v>
      </c>
      <c r="M40" s="6">
        <f t="shared" si="7"/>
        <v>0</v>
      </c>
      <c r="N40" s="48">
        <f t="shared" si="7"/>
        <v>5008560.899999999</v>
      </c>
    </row>
    <row r="41" spans="1:14" ht="12.75">
      <c r="A41" s="73" t="s">
        <v>47</v>
      </c>
      <c r="B41" s="49"/>
      <c r="C41" s="7"/>
      <c r="D41" s="7"/>
      <c r="E41" s="50"/>
      <c r="F41" s="49"/>
      <c r="G41" s="101"/>
      <c r="H41" s="14"/>
      <c r="I41" s="7"/>
      <c r="J41" s="7"/>
      <c r="K41" s="50"/>
      <c r="L41" s="49"/>
      <c r="M41" s="7"/>
      <c r="N41" s="50"/>
    </row>
    <row r="42" spans="1:14" ht="12.75">
      <c r="A42" s="71" t="s">
        <v>48</v>
      </c>
      <c r="B42" s="49">
        <v>81782</v>
      </c>
      <c r="C42" s="7"/>
      <c r="D42" s="7"/>
      <c r="E42" s="50">
        <f>B42+C42+D42</f>
        <v>81782</v>
      </c>
      <c r="F42" s="49"/>
      <c r="G42" s="101"/>
      <c r="H42" s="14">
        <f>E42+F42+G42</f>
        <v>81782</v>
      </c>
      <c r="I42" s="7"/>
      <c r="J42" s="7"/>
      <c r="K42" s="50">
        <f>H42+I42+J42</f>
        <v>81782</v>
      </c>
      <c r="L42" s="49"/>
      <c r="M42" s="7"/>
      <c r="N42" s="50">
        <f>K42+L42+M42</f>
        <v>81782</v>
      </c>
    </row>
    <row r="43" spans="1:14" ht="12.75">
      <c r="A43" s="71" t="s">
        <v>49</v>
      </c>
      <c r="B43" s="49"/>
      <c r="C43" s="7">
        <f>75.9+150+397.1</f>
        <v>623</v>
      </c>
      <c r="D43" s="7"/>
      <c r="E43" s="50">
        <f aca="true" t="shared" si="8" ref="E43:E59">B43+C43+D43</f>
        <v>623</v>
      </c>
      <c r="F43" s="49">
        <f>100+565.5+62</f>
        <v>727.5</v>
      </c>
      <c r="G43" s="101"/>
      <c r="H43" s="14">
        <f aca="true" t="shared" si="9" ref="H43:H59">E43+F43+G43</f>
        <v>1350.5</v>
      </c>
      <c r="I43" s="7">
        <f>267.7+61.9+444.6+61.5+133.2</f>
        <v>968.9000000000001</v>
      </c>
      <c r="J43" s="7"/>
      <c r="K43" s="50">
        <f aca="true" t="shared" si="10" ref="K43:K59">H43+I43+J43</f>
        <v>2319.4</v>
      </c>
      <c r="L43" s="14">
        <f>276.4+100+281.7</f>
        <v>658.0999999999999</v>
      </c>
      <c r="M43" s="7"/>
      <c r="N43" s="50">
        <f aca="true" t="shared" si="11" ref="N43:N59">K43+L43+M43</f>
        <v>2977.5</v>
      </c>
    </row>
    <row r="44" spans="1:14" ht="12.75">
      <c r="A44" s="71" t="s">
        <v>50</v>
      </c>
      <c r="B44" s="49"/>
      <c r="C44" s="7">
        <f>1117914+37831+1413</f>
        <v>1157158</v>
      </c>
      <c r="D44" s="7"/>
      <c r="E44" s="50">
        <f t="shared" si="8"/>
        <v>1157158</v>
      </c>
      <c r="F44" s="49">
        <f>2.2+3379.8+9879.2+8665.8+1007578+50721+4083.9+196.7+1527+108.1+23.3+285.5+3089.1+4351</f>
        <v>1093890.6</v>
      </c>
      <c r="G44" s="101"/>
      <c r="H44" s="14">
        <f t="shared" si="9"/>
        <v>2251048.6</v>
      </c>
      <c r="I44" s="7">
        <f>26.7+21110+1851+399.1+397.6+203.1+1014337+51840+1779.3</f>
        <v>1091943.8</v>
      </c>
      <c r="J44" s="7"/>
      <c r="K44" s="50">
        <f t="shared" si="10"/>
        <v>3342992.4000000004</v>
      </c>
      <c r="L44" s="14">
        <f>1023676+140+139.9+38.7+1871.1+2606+524.9+30+40.8+1944-80.1+7834.7+1750.5+2894.9+3459.6+1756.2+347.4+6227.6+6896.6+973.2+4501.1+5665.9+4558.1+2089.9+396.4+676+2357.7+1002.9+51478+2577</f>
        <v>1138374.9999999998</v>
      </c>
      <c r="M44" s="7"/>
      <c r="N44" s="50">
        <f t="shared" si="11"/>
        <v>4481367.4</v>
      </c>
    </row>
    <row r="45" spans="1:14" ht="12.75">
      <c r="A45" s="71" t="s">
        <v>51</v>
      </c>
      <c r="B45" s="49"/>
      <c r="C45" s="7">
        <f>445.2+22692.1+3670.4+5277.6+3189.5</f>
        <v>35274.8</v>
      </c>
      <c r="D45" s="7"/>
      <c r="E45" s="50">
        <f t="shared" si="8"/>
        <v>35274.8</v>
      </c>
      <c r="F45" s="49">
        <f>174.4+2368+17297.8+4226.8+2920</f>
        <v>26987</v>
      </c>
      <c r="G45" s="101"/>
      <c r="H45" s="14">
        <f t="shared" si="9"/>
        <v>62261.8</v>
      </c>
      <c r="I45" s="7">
        <f>287.6+475.3+305.2+380.8+21124.3+1927.3+4757.3+5016.3</f>
        <v>34274.1</v>
      </c>
      <c r="J45" s="7"/>
      <c r="K45" s="50">
        <f t="shared" si="10"/>
        <v>96535.9</v>
      </c>
      <c r="L45" s="14">
        <f>440.5+18107.8+1957.6+468+356.8</f>
        <v>21330.699999999997</v>
      </c>
      <c r="M45" s="7"/>
      <c r="N45" s="50">
        <f t="shared" si="11"/>
        <v>117866.59999999999</v>
      </c>
    </row>
    <row r="46" spans="1:14" ht="12.75">
      <c r="A46" s="71" t="s">
        <v>52</v>
      </c>
      <c r="B46" s="49"/>
      <c r="C46" s="7"/>
      <c r="D46" s="7"/>
      <c r="E46" s="50">
        <f t="shared" si="8"/>
        <v>0</v>
      </c>
      <c r="F46" s="49">
        <v>10.3</v>
      </c>
      <c r="G46" s="101"/>
      <c r="H46" s="14">
        <f t="shared" si="9"/>
        <v>10.3</v>
      </c>
      <c r="I46" s="7"/>
      <c r="J46" s="7"/>
      <c r="K46" s="50">
        <f t="shared" si="10"/>
        <v>10.3</v>
      </c>
      <c r="L46" s="49">
        <v>8.9</v>
      </c>
      <c r="M46" s="7"/>
      <c r="N46" s="50">
        <f t="shared" si="11"/>
        <v>19.200000000000003</v>
      </c>
    </row>
    <row r="47" spans="1:14" ht="12.75">
      <c r="A47" s="71" t="s">
        <v>270</v>
      </c>
      <c r="B47" s="49"/>
      <c r="C47" s="7"/>
      <c r="D47" s="7"/>
      <c r="E47" s="50"/>
      <c r="F47" s="49"/>
      <c r="G47" s="101"/>
      <c r="H47" s="14">
        <f t="shared" si="9"/>
        <v>0</v>
      </c>
      <c r="I47" s="7">
        <v>1453.5</v>
      </c>
      <c r="J47" s="7"/>
      <c r="K47" s="50">
        <f t="shared" si="10"/>
        <v>1453.5</v>
      </c>
      <c r="L47" s="49">
        <v>3879.6</v>
      </c>
      <c r="M47" s="7"/>
      <c r="N47" s="50">
        <f t="shared" si="11"/>
        <v>5333.1</v>
      </c>
    </row>
    <row r="48" spans="1:14" ht="12.75">
      <c r="A48" s="71" t="s">
        <v>53</v>
      </c>
      <c r="B48" s="49"/>
      <c r="C48" s="7"/>
      <c r="D48" s="7"/>
      <c r="E48" s="50">
        <f t="shared" si="8"/>
        <v>0</v>
      </c>
      <c r="F48" s="49"/>
      <c r="G48" s="101"/>
      <c r="H48" s="14">
        <f t="shared" si="9"/>
        <v>0</v>
      </c>
      <c r="I48" s="7">
        <f>97+99</f>
        <v>196</v>
      </c>
      <c r="J48" s="7"/>
      <c r="K48" s="50">
        <f t="shared" si="10"/>
        <v>196</v>
      </c>
      <c r="L48" s="49">
        <v>121</v>
      </c>
      <c r="M48" s="7"/>
      <c r="N48" s="50">
        <f t="shared" si="11"/>
        <v>317</v>
      </c>
    </row>
    <row r="49" spans="1:14" ht="12.75" hidden="1">
      <c r="A49" s="71" t="s">
        <v>54</v>
      </c>
      <c r="B49" s="49"/>
      <c r="C49" s="7"/>
      <c r="D49" s="7"/>
      <c r="E49" s="50">
        <f t="shared" si="8"/>
        <v>0</v>
      </c>
      <c r="F49" s="49"/>
      <c r="G49" s="101"/>
      <c r="H49" s="14">
        <f t="shared" si="9"/>
        <v>0</v>
      </c>
      <c r="I49" s="7"/>
      <c r="J49" s="7"/>
      <c r="K49" s="50">
        <f t="shared" si="10"/>
        <v>0</v>
      </c>
      <c r="L49" s="49"/>
      <c r="M49" s="7"/>
      <c r="N49" s="50">
        <f t="shared" si="11"/>
        <v>0</v>
      </c>
    </row>
    <row r="50" spans="1:14" ht="12.75">
      <c r="A50" s="71" t="s">
        <v>55</v>
      </c>
      <c r="B50" s="49"/>
      <c r="C50" s="7"/>
      <c r="D50" s="7"/>
      <c r="E50" s="50">
        <f t="shared" si="8"/>
        <v>0</v>
      </c>
      <c r="F50" s="49">
        <f>7842+1089.7+364.9</f>
        <v>9296.6</v>
      </c>
      <c r="G50" s="101"/>
      <c r="H50" s="14">
        <f t="shared" si="9"/>
        <v>9296.6</v>
      </c>
      <c r="I50" s="7">
        <f>131.7+330.1+40+3062.6+43</f>
        <v>3607.4</v>
      </c>
      <c r="J50" s="7"/>
      <c r="K50" s="50">
        <f t="shared" si="10"/>
        <v>12904</v>
      </c>
      <c r="L50" s="49">
        <v>-1568</v>
      </c>
      <c r="M50" s="7"/>
      <c r="N50" s="50">
        <f t="shared" si="11"/>
        <v>11336</v>
      </c>
    </row>
    <row r="51" spans="1:14" ht="12.75">
      <c r="A51" s="71" t="s">
        <v>244</v>
      </c>
      <c r="B51" s="49"/>
      <c r="C51" s="7">
        <v>254602.6</v>
      </c>
      <c r="D51" s="7"/>
      <c r="E51" s="50">
        <f t="shared" si="8"/>
        <v>254602.6</v>
      </c>
      <c r="F51" s="49"/>
      <c r="G51" s="101"/>
      <c r="H51" s="14">
        <f t="shared" si="9"/>
        <v>254602.6</v>
      </c>
      <c r="I51" s="7">
        <v>8284.8</v>
      </c>
      <c r="J51" s="7"/>
      <c r="K51" s="50">
        <f t="shared" si="10"/>
        <v>262887.4</v>
      </c>
      <c r="L51" s="49">
        <v>443.8</v>
      </c>
      <c r="M51" s="7"/>
      <c r="N51" s="50">
        <f t="shared" si="11"/>
        <v>263331.2</v>
      </c>
    </row>
    <row r="52" spans="1:14" ht="12.75">
      <c r="A52" s="71" t="s">
        <v>56</v>
      </c>
      <c r="B52" s="49"/>
      <c r="C52" s="7"/>
      <c r="D52" s="7"/>
      <c r="E52" s="50">
        <f t="shared" si="8"/>
        <v>0</v>
      </c>
      <c r="F52" s="49">
        <f>141.7+176.3</f>
        <v>318</v>
      </c>
      <c r="G52" s="101"/>
      <c r="H52" s="14">
        <f t="shared" si="9"/>
        <v>318</v>
      </c>
      <c r="I52" s="7">
        <f>431.3+751.9+23.5+16.6</f>
        <v>1223.3</v>
      </c>
      <c r="J52" s="7"/>
      <c r="K52" s="50">
        <f t="shared" si="10"/>
        <v>1541.3</v>
      </c>
      <c r="L52" s="49">
        <v>152.1</v>
      </c>
      <c r="M52" s="7"/>
      <c r="N52" s="50">
        <f t="shared" si="11"/>
        <v>1693.3999999999999</v>
      </c>
    </row>
    <row r="53" spans="1:14" ht="12.75">
      <c r="A53" s="71" t="s">
        <v>57</v>
      </c>
      <c r="B53" s="49"/>
      <c r="C53" s="7"/>
      <c r="D53" s="7"/>
      <c r="E53" s="50">
        <f t="shared" si="8"/>
        <v>0</v>
      </c>
      <c r="F53" s="66">
        <v>250</v>
      </c>
      <c r="G53" s="101"/>
      <c r="H53" s="14">
        <f t="shared" si="9"/>
        <v>250</v>
      </c>
      <c r="I53" s="9">
        <v>100</v>
      </c>
      <c r="J53" s="7"/>
      <c r="K53" s="50">
        <f t="shared" si="10"/>
        <v>350</v>
      </c>
      <c r="L53" s="49"/>
      <c r="M53" s="7"/>
      <c r="N53" s="50">
        <f t="shared" si="11"/>
        <v>350</v>
      </c>
    </row>
    <row r="54" spans="1:14" ht="12.75" hidden="1">
      <c r="A54" s="71" t="s">
        <v>58</v>
      </c>
      <c r="B54" s="49"/>
      <c r="C54" s="7"/>
      <c r="D54" s="7"/>
      <c r="E54" s="50">
        <f t="shared" si="8"/>
        <v>0</v>
      </c>
      <c r="F54" s="49"/>
      <c r="G54" s="101"/>
      <c r="H54" s="14">
        <f t="shared" si="9"/>
        <v>0</v>
      </c>
      <c r="I54" s="7"/>
      <c r="J54" s="7"/>
      <c r="K54" s="50">
        <f t="shared" si="10"/>
        <v>0</v>
      </c>
      <c r="L54" s="49"/>
      <c r="M54" s="7"/>
      <c r="N54" s="50">
        <f t="shared" si="11"/>
        <v>0</v>
      </c>
    </row>
    <row r="55" spans="1:14" ht="12.75">
      <c r="A55" s="71" t="s">
        <v>69</v>
      </c>
      <c r="B55" s="49"/>
      <c r="C55" s="7">
        <f>92.5+92.5+0.8+1150+740</f>
        <v>2075.8</v>
      </c>
      <c r="D55" s="7"/>
      <c r="E55" s="50">
        <f t="shared" si="8"/>
        <v>2075.8</v>
      </c>
      <c r="F55" s="49">
        <f>37.6+425.9+11.3+127.8+12.2+138.3+12.4+140.5+7.5+85+904.4+0.3</f>
        <v>1903.2</v>
      </c>
      <c r="G55" s="101"/>
      <c r="H55" s="14">
        <f t="shared" si="9"/>
        <v>3979</v>
      </c>
      <c r="I55" s="7">
        <f>1.3+14.9+92.9+1052.7+100+1133.3+0.4+111.3+417.6</f>
        <v>2924.4</v>
      </c>
      <c r="J55" s="7"/>
      <c r="K55" s="50">
        <f t="shared" si="10"/>
        <v>6903.4</v>
      </c>
      <c r="L55" s="49">
        <f>181.4+188</f>
        <v>369.4</v>
      </c>
      <c r="M55" s="7"/>
      <c r="N55" s="50">
        <f t="shared" si="11"/>
        <v>7272.799999999999</v>
      </c>
    </row>
    <row r="56" spans="1:14" ht="12.75">
      <c r="A56" s="71" t="s">
        <v>59</v>
      </c>
      <c r="B56" s="49"/>
      <c r="C56" s="7"/>
      <c r="D56" s="7"/>
      <c r="E56" s="50">
        <f t="shared" si="8"/>
        <v>0</v>
      </c>
      <c r="F56" s="49"/>
      <c r="G56" s="101"/>
      <c r="H56" s="14">
        <f t="shared" si="9"/>
        <v>0</v>
      </c>
      <c r="I56" s="7"/>
      <c r="J56" s="7"/>
      <c r="K56" s="50">
        <f t="shared" si="10"/>
        <v>0</v>
      </c>
      <c r="L56" s="49">
        <f>11493.9+4020.1+15902.1</f>
        <v>31416.1</v>
      </c>
      <c r="M56" s="7"/>
      <c r="N56" s="50">
        <f t="shared" si="11"/>
        <v>31416.1</v>
      </c>
    </row>
    <row r="57" spans="1:14" ht="12.75">
      <c r="A57" s="71" t="s">
        <v>269</v>
      </c>
      <c r="B57" s="49"/>
      <c r="C57" s="7"/>
      <c r="D57" s="7"/>
      <c r="E57" s="50"/>
      <c r="F57" s="49"/>
      <c r="G57" s="101"/>
      <c r="H57" s="14">
        <f t="shared" si="9"/>
        <v>0</v>
      </c>
      <c r="I57" s="7">
        <v>256.5</v>
      </c>
      <c r="J57" s="7"/>
      <c r="K57" s="50">
        <f t="shared" si="10"/>
        <v>256.5</v>
      </c>
      <c r="L57" s="49">
        <v>684.6</v>
      </c>
      <c r="M57" s="7"/>
      <c r="N57" s="50">
        <f t="shared" si="11"/>
        <v>941.1</v>
      </c>
    </row>
    <row r="58" spans="1:14" ht="12.75">
      <c r="A58" s="71" t="s">
        <v>60</v>
      </c>
      <c r="B58" s="49"/>
      <c r="C58" s="7"/>
      <c r="D58" s="7"/>
      <c r="E58" s="50">
        <f t="shared" si="8"/>
        <v>0</v>
      </c>
      <c r="F58" s="49"/>
      <c r="G58" s="101"/>
      <c r="H58" s="14">
        <f t="shared" si="9"/>
        <v>0</v>
      </c>
      <c r="I58" s="7">
        <v>21.4</v>
      </c>
      <c r="J58" s="7"/>
      <c r="K58" s="50">
        <f t="shared" si="10"/>
        <v>21.4</v>
      </c>
      <c r="L58" s="49">
        <v>350.8</v>
      </c>
      <c r="M58" s="7"/>
      <c r="N58" s="50">
        <f t="shared" si="11"/>
        <v>372.2</v>
      </c>
    </row>
    <row r="59" spans="1:14" ht="12.75">
      <c r="A59" s="71" t="s">
        <v>61</v>
      </c>
      <c r="B59" s="49">
        <v>150</v>
      </c>
      <c r="C59" s="7"/>
      <c r="D59" s="7"/>
      <c r="E59" s="50">
        <f t="shared" si="8"/>
        <v>150</v>
      </c>
      <c r="F59" s="49"/>
      <c r="G59" s="101"/>
      <c r="H59" s="14">
        <f t="shared" si="9"/>
        <v>150</v>
      </c>
      <c r="I59" s="7"/>
      <c r="J59" s="7"/>
      <c r="K59" s="50">
        <f t="shared" si="10"/>
        <v>150</v>
      </c>
      <c r="L59" s="49">
        <v>2035.3</v>
      </c>
      <c r="M59" s="7"/>
      <c r="N59" s="50">
        <f t="shared" si="11"/>
        <v>2185.3</v>
      </c>
    </row>
    <row r="60" spans="1:14" ht="12.75" hidden="1">
      <c r="A60" s="72" t="s">
        <v>62</v>
      </c>
      <c r="B60" s="51">
        <f>SUM(B62:B64)</f>
        <v>0</v>
      </c>
      <c r="C60" s="8">
        <f aca="true" t="shared" si="12" ref="C60:N60">SUM(C62:C64)</f>
        <v>0</v>
      </c>
      <c r="D60" s="8">
        <f t="shared" si="12"/>
        <v>0</v>
      </c>
      <c r="E60" s="52">
        <f t="shared" si="12"/>
        <v>0</v>
      </c>
      <c r="F60" s="51">
        <f t="shared" si="12"/>
        <v>0</v>
      </c>
      <c r="G60" s="17">
        <f t="shared" si="12"/>
        <v>0</v>
      </c>
      <c r="H60" s="110">
        <f t="shared" si="12"/>
        <v>0</v>
      </c>
      <c r="I60" s="8">
        <f t="shared" si="12"/>
        <v>0</v>
      </c>
      <c r="J60" s="8">
        <f t="shared" si="12"/>
        <v>0</v>
      </c>
      <c r="K60" s="52">
        <f t="shared" si="12"/>
        <v>0</v>
      </c>
      <c r="L60" s="51">
        <f t="shared" si="12"/>
        <v>0</v>
      </c>
      <c r="M60" s="8">
        <f t="shared" si="12"/>
        <v>0</v>
      </c>
      <c r="N60" s="52">
        <f t="shared" si="12"/>
        <v>0</v>
      </c>
    </row>
    <row r="61" spans="1:14" ht="12.75" hidden="1">
      <c r="A61" s="69" t="s">
        <v>47</v>
      </c>
      <c r="B61" s="49"/>
      <c r="C61" s="7"/>
      <c r="D61" s="7"/>
      <c r="E61" s="50"/>
      <c r="F61" s="49"/>
      <c r="G61" s="101"/>
      <c r="H61" s="14"/>
      <c r="I61" s="7"/>
      <c r="J61" s="7"/>
      <c r="K61" s="50"/>
      <c r="L61" s="49"/>
      <c r="M61" s="7"/>
      <c r="N61" s="50">
        <f>K61+L61+M61</f>
        <v>0</v>
      </c>
    </row>
    <row r="62" spans="1:14" ht="12.75" hidden="1">
      <c r="A62" s="71" t="s">
        <v>63</v>
      </c>
      <c r="B62" s="49"/>
      <c r="C62" s="7"/>
      <c r="D62" s="7"/>
      <c r="E62" s="50">
        <f>B62+C62+D62</f>
        <v>0</v>
      </c>
      <c r="F62" s="49"/>
      <c r="G62" s="101"/>
      <c r="H62" s="14">
        <f>E62+F62+G62</f>
        <v>0</v>
      </c>
      <c r="I62" s="7"/>
      <c r="J62" s="7"/>
      <c r="K62" s="50">
        <f>H62+I62+J62</f>
        <v>0</v>
      </c>
      <c r="L62" s="49"/>
      <c r="M62" s="7"/>
      <c r="N62" s="50">
        <f>K62+L62+M62</f>
        <v>0</v>
      </c>
    </row>
    <row r="63" spans="1:14" ht="12.75" hidden="1">
      <c r="A63" s="71" t="s">
        <v>64</v>
      </c>
      <c r="B63" s="49"/>
      <c r="C63" s="7"/>
      <c r="D63" s="7"/>
      <c r="E63" s="50">
        <f>B63+C63+D63</f>
        <v>0</v>
      </c>
      <c r="F63" s="49"/>
      <c r="G63" s="101"/>
      <c r="H63" s="14">
        <f>E63+F63+G63</f>
        <v>0</v>
      </c>
      <c r="I63" s="7"/>
      <c r="J63" s="7"/>
      <c r="K63" s="50">
        <f>H63+I63+J63</f>
        <v>0</v>
      </c>
      <c r="L63" s="49"/>
      <c r="M63" s="7"/>
      <c r="N63" s="50">
        <f>K63+L63+M63</f>
        <v>0</v>
      </c>
    </row>
    <row r="64" spans="1:14" ht="12.75" hidden="1">
      <c r="A64" s="71" t="s">
        <v>65</v>
      </c>
      <c r="B64" s="49"/>
      <c r="C64" s="7"/>
      <c r="D64" s="7"/>
      <c r="E64" s="50">
        <f>B64+C64+D64</f>
        <v>0</v>
      </c>
      <c r="F64" s="49"/>
      <c r="G64" s="101"/>
      <c r="H64" s="14">
        <f>E64+F64+G64</f>
        <v>0</v>
      </c>
      <c r="I64" s="7"/>
      <c r="J64" s="7"/>
      <c r="K64" s="50">
        <f>H64+I64+J64</f>
        <v>0</v>
      </c>
      <c r="L64" s="49"/>
      <c r="M64" s="10"/>
      <c r="N64" s="50">
        <f>K64+L64+M64</f>
        <v>0</v>
      </c>
    </row>
    <row r="65" spans="1:14" ht="12.75">
      <c r="A65" s="68" t="s">
        <v>66</v>
      </c>
      <c r="B65" s="47">
        <f>SUM(B67:B76)</f>
        <v>0</v>
      </c>
      <c r="C65" s="6">
        <f>SUM(C67:C75)</f>
        <v>43367.700000000004</v>
      </c>
      <c r="D65" s="6">
        <f>SUM(D67:D75)</f>
        <v>0</v>
      </c>
      <c r="E65" s="48">
        <f>SUM(E67:E76)</f>
        <v>43367.700000000004</v>
      </c>
      <c r="F65" s="135">
        <f>SUM(F67:F76)</f>
        <v>114661.20000000001</v>
      </c>
      <c r="G65" s="6">
        <f>SUM(G67:G76)</f>
        <v>2408</v>
      </c>
      <c r="H65" s="157">
        <f>SUM(H67:H76)</f>
        <v>160436.9</v>
      </c>
      <c r="I65" s="6">
        <f>SUM(I67:I76)</f>
        <v>71019.90000000001</v>
      </c>
      <c r="J65" s="6">
        <f>SUM(J67:J75)</f>
        <v>0</v>
      </c>
      <c r="K65" s="48">
        <f>SUM(K67:K76)</f>
        <v>231456.8</v>
      </c>
      <c r="L65" s="47">
        <f>SUM(L67:L76)</f>
        <v>159804.4</v>
      </c>
      <c r="M65" s="171">
        <f>SUM(M67:M76)</f>
        <v>0</v>
      </c>
      <c r="N65" s="48">
        <f>SUM(N67:N76)</f>
        <v>391261.2</v>
      </c>
    </row>
    <row r="66" spans="1:14" ht="12.75">
      <c r="A66" s="73" t="s">
        <v>47</v>
      </c>
      <c r="B66" s="49"/>
      <c r="C66" s="7"/>
      <c r="D66" s="7"/>
      <c r="E66" s="50"/>
      <c r="F66" s="49"/>
      <c r="G66" s="101"/>
      <c r="H66" s="14"/>
      <c r="I66" s="7"/>
      <c r="J66" s="7"/>
      <c r="K66" s="50"/>
      <c r="L66" s="49"/>
      <c r="M66" s="7"/>
      <c r="N66" s="50"/>
    </row>
    <row r="67" spans="1:14" ht="12.75">
      <c r="A67" s="71" t="s">
        <v>50</v>
      </c>
      <c r="B67" s="49"/>
      <c r="C67" s="7"/>
      <c r="D67" s="7"/>
      <c r="E67" s="50">
        <f>B67+C67+D67</f>
        <v>0</v>
      </c>
      <c r="F67" s="49">
        <f>92+2840</f>
        <v>2932</v>
      </c>
      <c r="G67" s="101"/>
      <c r="H67" s="14">
        <f>E67+F67+G67</f>
        <v>2932</v>
      </c>
      <c r="I67" s="7"/>
      <c r="J67" s="7"/>
      <c r="K67" s="50">
        <f>H67+I67+J67</f>
        <v>2932</v>
      </c>
      <c r="L67" s="49"/>
      <c r="M67" s="7"/>
      <c r="N67" s="50">
        <f>K67+L67+M67</f>
        <v>2932</v>
      </c>
    </row>
    <row r="68" spans="1:14" ht="12.75" hidden="1">
      <c r="A68" s="75" t="s">
        <v>51</v>
      </c>
      <c r="B68" s="49"/>
      <c r="C68" s="7"/>
      <c r="D68" s="7"/>
      <c r="E68" s="50">
        <f aca="true" t="shared" si="13" ref="E68:E76">B68+C68+D68</f>
        <v>0</v>
      </c>
      <c r="F68" s="49"/>
      <c r="G68" s="101"/>
      <c r="H68" s="14">
        <f aca="true" t="shared" si="14" ref="H68:H76">E68+F68+G68</f>
        <v>0</v>
      </c>
      <c r="I68" s="7"/>
      <c r="J68" s="7"/>
      <c r="K68" s="50">
        <f aca="true" t="shared" si="15" ref="K68:K76">H68+I68+J68</f>
        <v>0</v>
      </c>
      <c r="L68" s="49"/>
      <c r="M68" s="7"/>
      <c r="N68" s="50">
        <f aca="true" t="shared" si="16" ref="N68:N76">K68+L68+M68</f>
        <v>0</v>
      </c>
    </row>
    <row r="69" spans="1:14" ht="12.75">
      <c r="A69" s="75" t="s">
        <v>49</v>
      </c>
      <c r="B69" s="49"/>
      <c r="C69" s="7"/>
      <c r="D69" s="7"/>
      <c r="E69" s="50">
        <f t="shared" si="13"/>
        <v>0</v>
      </c>
      <c r="F69" s="49"/>
      <c r="G69" s="101"/>
      <c r="H69" s="14">
        <f t="shared" si="14"/>
        <v>0</v>
      </c>
      <c r="I69" s="7">
        <v>1699.4</v>
      </c>
      <c r="J69" s="7"/>
      <c r="K69" s="50">
        <f t="shared" si="15"/>
        <v>1699.4</v>
      </c>
      <c r="L69" s="49"/>
      <c r="M69" s="7"/>
      <c r="N69" s="50">
        <f t="shared" si="16"/>
        <v>1699.4</v>
      </c>
    </row>
    <row r="70" spans="1:14" ht="12.75">
      <c r="A70" s="75" t="s">
        <v>67</v>
      </c>
      <c r="B70" s="49"/>
      <c r="C70" s="7"/>
      <c r="D70" s="7"/>
      <c r="E70" s="50">
        <f t="shared" si="13"/>
        <v>0</v>
      </c>
      <c r="F70" s="49">
        <f>39351.3+3381.6</f>
        <v>42732.9</v>
      </c>
      <c r="G70" s="101"/>
      <c r="H70" s="14">
        <f t="shared" si="14"/>
        <v>42732.9</v>
      </c>
      <c r="I70" s="7">
        <f>9478.2+14952.1+6942.4</f>
        <v>31372.700000000004</v>
      </c>
      <c r="J70" s="7"/>
      <c r="K70" s="50">
        <f t="shared" si="15"/>
        <v>74105.6</v>
      </c>
      <c r="L70" s="7">
        <f>25070.1+41662.3+50533.7</f>
        <v>117266.09999999999</v>
      </c>
      <c r="M70" s="7"/>
      <c r="N70" s="50">
        <f t="shared" si="16"/>
        <v>191371.7</v>
      </c>
    </row>
    <row r="71" spans="1:14" ht="12.75" hidden="1">
      <c r="A71" s="71" t="s">
        <v>52</v>
      </c>
      <c r="B71" s="49"/>
      <c r="C71" s="7"/>
      <c r="D71" s="7"/>
      <c r="E71" s="50">
        <f t="shared" si="13"/>
        <v>0</v>
      </c>
      <c r="F71" s="49"/>
      <c r="G71" s="101"/>
      <c r="H71" s="14">
        <f t="shared" si="14"/>
        <v>0</v>
      </c>
      <c r="I71" s="7"/>
      <c r="J71" s="7"/>
      <c r="K71" s="50">
        <f t="shared" si="15"/>
        <v>0</v>
      </c>
      <c r="L71" s="49"/>
      <c r="M71" s="7"/>
      <c r="N71" s="50">
        <f t="shared" si="16"/>
        <v>0</v>
      </c>
    </row>
    <row r="72" spans="1:14" ht="12.75">
      <c r="A72" s="71" t="s">
        <v>68</v>
      </c>
      <c r="B72" s="49"/>
      <c r="C72" s="7"/>
      <c r="D72" s="7"/>
      <c r="E72" s="50">
        <f t="shared" si="13"/>
        <v>0</v>
      </c>
      <c r="F72" s="49"/>
      <c r="G72" s="101"/>
      <c r="H72" s="14">
        <f t="shared" si="14"/>
        <v>0</v>
      </c>
      <c r="I72" s="7">
        <f>1227.2+3189.8</f>
        <v>4417</v>
      </c>
      <c r="J72" s="7"/>
      <c r="K72" s="50">
        <f t="shared" si="15"/>
        <v>4417</v>
      </c>
      <c r="L72" s="49"/>
      <c r="M72" s="7"/>
      <c r="N72" s="50">
        <f t="shared" si="16"/>
        <v>4417</v>
      </c>
    </row>
    <row r="73" spans="1:14" ht="12.75">
      <c r="A73" s="71" t="s">
        <v>69</v>
      </c>
      <c r="B73" s="49"/>
      <c r="C73" s="7">
        <f>15007.7+22822.8+1567.8+3969.4</f>
        <v>43367.700000000004</v>
      </c>
      <c r="D73" s="7"/>
      <c r="E73" s="50">
        <f t="shared" si="13"/>
        <v>43367.700000000004</v>
      </c>
      <c r="F73" s="49">
        <f>376.5+4267.4+2009.5+22773.6+1216.3+13784.4+1106+12535.3+10727.3</f>
        <v>68796.3</v>
      </c>
      <c r="G73" s="101"/>
      <c r="H73" s="14">
        <f t="shared" si="14"/>
        <v>112164</v>
      </c>
      <c r="I73" s="7">
        <f>89.7+1016.5+11362.1+1002.5+5018+953.7</f>
        <v>19442.500000000004</v>
      </c>
      <c r="J73" s="7"/>
      <c r="K73" s="50">
        <f t="shared" si="15"/>
        <v>131606.5</v>
      </c>
      <c r="L73" s="7">
        <f>19727.2+3868+18943.1</f>
        <v>42538.3</v>
      </c>
      <c r="M73" s="7"/>
      <c r="N73" s="50">
        <f t="shared" si="16"/>
        <v>174144.8</v>
      </c>
    </row>
    <row r="74" spans="1:14" ht="12.75">
      <c r="A74" s="71" t="s">
        <v>70</v>
      </c>
      <c r="B74" s="49"/>
      <c r="C74" s="7"/>
      <c r="D74" s="7"/>
      <c r="E74" s="50">
        <f t="shared" si="13"/>
        <v>0</v>
      </c>
      <c r="F74" s="49"/>
      <c r="G74" s="101"/>
      <c r="H74" s="14">
        <f t="shared" si="14"/>
        <v>0</v>
      </c>
      <c r="I74" s="7">
        <v>7500</v>
      </c>
      <c r="J74" s="7"/>
      <c r="K74" s="50">
        <f t="shared" si="15"/>
        <v>7500</v>
      </c>
      <c r="L74" s="49"/>
      <c r="M74" s="7"/>
      <c r="N74" s="50">
        <f t="shared" si="16"/>
        <v>7500</v>
      </c>
    </row>
    <row r="75" spans="1:14" ht="12.75">
      <c r="A75" s="71" t="s">
        <v>56</v>
      </c>
      <c r="B75" s="49"/>
      <c r="C75" s="7"/>
      <c r="D75" s="7"/>
      <c r="E75" s="50">
        <f t="shared" si="13"/>
        <v>0</v>
      </c>
      <c r="F75" s="49"/>
      <c r="G75" s="101"/>
      <c r="H75" s="14">
        <f t="shared" si="14"/>
        <v>0</v>
      </c>
      <c r="I75" s="7">
        <f>6584.2+3.2+0.9</f>
        <v>6588.299999999999</v>
      </c>
      <c r="J75" s="7"/>
      <c r="K75" s="50">
        <f t="shared" si="15"/>
        <v>6588.299999999999</v>
      </c>
      <c r="L75" s="49"/>
      <c r="M75" s="7"/>
      <c r="N75" s="50">
        <f t="shared" si="16"/>
        <v>6588.299999999999</v>
      </c>
    </row>
    <row r="76" spans="1:14" ht="12.75">
      <c r="A76" s="74" t="s">
        <v>61</v>
      </c>
      <c r="B76" s="53"/>
      <c r="C76" s="10"/>
      <c r="D76" s="10"/>
      <c r="E76" s="54">
        <f t="shared" si="13"/>
        <v>0</v>
      </c>
      <c r="F76" s="53">
        <v>200</v>
      </c>
      <c r="G76" s="16">
        <v>2408</v>
      </c>
      <c r="H76" s="160">
        <f t="shared" si="14"/>
        <v>2608</v>
      </c>
      <c r="I76" s="10"/>
      <c r="J76" s="10"/>
      <c r="K76" s="54">
        <f t="shared" si="15"/>
        <v>2608</v>
      </c>
      <c r="L76" s="53"/>
      <c r="M76" s="10"/>
      <c r="N76" s="54">
        <f t="shared" si="16"/>
        <v>2608</v>
      </c>
    </row>
    <row r="77" spans="1:14" ht="12.75">
      <c r="A77" s="72" t="s">
        <v>71</v>
      </c>
      <c r="B77" s="51">
        <f aca="true" t="shared" si="17" ref="B77:N77">SUM(B79:B79)</f>
        <v>0</v>
      </c>
      <c r="C77" s="8">
        <f t="shared" si="17"/>
        <v>0</v>
      </c>
      <c r="D77" s="8">
        <f t="shared" si="17"/>
        <v>0</v>
      </c>
      <c r="E77" s="52">
        <f t="shared" si="17"/>
        <v>0</v>
      </c>
      <c r="F77" s="51">
        <f t="shared" si="17"/>
        <v>0</v>
      </c>
      <c r="G77" s="17">
        <f t="shared" si="17"/>
        <v>0</v>
      </c>
      <c r="H77" s="110">
        <f t="shared" si="17"/>
        <v>0</v>
      </c>
      <c r="I77" s="8">
        <f t="shared" si="17"/>
        <v>20379.8</v>
      </c>
      <c r="J77" s="8">
        <f t="shared" si="17"/>
        <v>0</v>
      </c>
      <c r="K77" s="52">
        <f t="shared" si="17"/>
        <v>20379.8</v>
      </c>
      <c r="L77" s="51">
        <f t="shared" si="17"/>
        <v>26935.7</v>
      </c>
      <c r="M77" s="8">
        <f t="shared" si="17"/>
        <v>0</v>
      </c>
      <c r="N77" s="52">
        <f t="shared" si="17"/>
        <v>47315.5</v>
      </c>
    </row>
    <row r="78" spans="1:14" ht="12.75">
      <c r="A78" s="69" t="s">
        <v>47</v>
      </c>
      <c r="B78" s="49"/>
      <c r="C78" s="7"/>
      <c r="D78" s="7"/>
      <c r="E78" s="50"/>
      <c r="F78" s="49"/>
      <c r="G78" s="101"/>
      <c r="H78" s="14"/>
      <c r="I78" s="7"/>
      <c r="J78" s="7"/>
      <c r="K78" s="50"/>
      <c r="L78" s="49"/>
      <c r="M78" s="7"/>
      <c r="N78" s="50"/>
    </row>
    <row r="79" spans="1:14" ht="12.75">
      <c r="A79" s="71" t="s">
        <v>72</v>
      </c>
      <c r="B79" s="49"/>
      <c r="C79" s="7"/>
      <c r="D79" s="7"/>
      <c r="E79" s="50">
        <f>B79+C79+D79</f>
        <v>0</v>
      </c>
      <c r="F79" s="49"/>
      <c r="G79" s="101"/>
      <c r="H79" s="14">
        <f>E79+F79+G79</f>
        <v>0</v>
      </c>
      <c r="I79" s="7">
        <f>12322.1+8057.7</f>
        <v>20379.8</v>
      </c>
      <c r="J79" s="7"/>
      <c r="K79" s="50">
        <f>H79+I79+J79</f>
        <v>20379.8</v>
      </c>
      <c r="L79" s="14">
        <v>26935.7</v>
      </c>
      <c r="M79" s="7"/>
      <c r="N79" s="50">
        <f>K79+L79+M79</f>
        <v>47315.5</v>
      </c>
    </row>
    <row r="80" spans="1:14" ht="12.75">
      <c r="A80" s="72" t="s">
        <v>73</v>
      </c>
      <c r="B80" s="51"/>
      <c r="C80" s="8"/>
      <c r="D80" s="8"/>
      <c r="E80" s="52">
        <f>B80+C80+D80</f>
        <v>0</v>
      </c>
      <c r="F80" s="51"/>
      <c r="G80" s="17">
        <f>8006-53.7</f>
        <v>7952.3</v>
      </c>
      <c r="H80" s="110">
        <f>E80+F80+G80</f>
        <v>7952.3</v>
      </c>
      <c r="I80" s="8"/>
      <c r="J80" s="8"/>
      <c r="K80" s="52">
        <f>H80+I80+J80</f>
        <v>7952.3</v>
      </c>
      <c r="L80" s="51">
        <f>729.8+6898.9</f>
        <v>7628.7</v>
      </c>
      <c r="M80" s="8"/>
      <c r="N80" s="52">
        <f>K80+L80+M80</f>
        <v>15581</v>
      </c>
    </row>
    <row r="81" spans="1:14" ht="16.5" thickBot="1">
      <c r="A81" s="76" t="s">
        <v>74</v>
      </c>
      <c r="B81" s="121">
        <f>B11+B14+B40+B80+B65+B34+B77</f>
        <v>2975179</v>
      </c>
      <c r="C81" s="11">
        <f>C11+C14+C40+C80+C65+C34</f>
        <v>1502411.1</v>
      </c>
      <c r="D81" s="11">
        <f>D11+D14+D40+D80+D65+D34</f>
        <v>2416.4</v>
      </c>
      <c r="E81" s="137">
        <f>E11+E14+E40+E80+E65+E34+E77</f>
        <v>4480006.500000001</v>
      </c>
      <c r="F81" s="55">
        <f>F11+F14+F40+F80+F65+F34+F77</f>
        <v>1396573.5000000002</v>
      </c>
      <c r="G81" s="121">
        <f>G11+G14+G40+G80+G65+G34+G77</f>
        <v>12409.8</v>
      </c>
      <c r="H81" s="158">
        <f>H11+H14+H40+H80+H65+H34+H77</f>
        <v>5888989.8</v>
      </c>
      <c r="I81" s="11">
        <f>I11+I14+I40+I80+I65+I34+I77</f>
        <v>1283721.1999999997</v>
      </c>
      <c r="J81" s="11">
        <f>J11+J14+J40+J80+J65+J34</f>
        <v>7006.9</v>
      </c>
      <c r="K81" s="56">
        <f>K11+K14+K40+K80+K65+K34+K77</f>
        <v>7179717.899999999</v>
      </c>
      <c r="L81" s="55">
        <f>L11+L14+L40+L80+L65+L34+L77</f>
        <v>1448229.7</v>
      </c>
      <c r="M81" s="181">
        <f>M11+M14+M40+M80+M65+M34+M77</f>
        <v>0</v>
      </c>
      <c r="N81" s="56">
        <f>N11+N14+N40+N80+N65+N34+N77</f>
        <v>8627947.6</v>
      </c>
    </row>
    <row r="82" spans="1:14" ht="12.75">
      <c r="A82" s="68" t="s">
        <v>75</v>
      </c>
      <c r="B82" s="47"/>
      <c r="C82" s="7"/>
      <c r="D82" s="7"/>
      <c r="E82" s="50"/>
      <c r="F82" s="49"/>
      <c r="G82" s="101"/>
      <c r="H82" s="14"/>
      <c r="I82" s="7"/>
      <c r="J82" s="7"/>
      <c r="K82" s="50"/>
      <c r="L82" s="49"/>
      <c r="M82" s="7"/>
      <c r="N82" s="50"/>
    </row>
    <row r="83" spans="1:14" ht="12.75">
      <c r="A83" s="68" t="s">
        <v>76</v>
      </c>
      <c r="B83" s="47">
        <f>B84+B92</f>
        <v>41579</v>
      </c>
      <c r="C83" s="6">
        <f aca="true" t="shared" si="18" ref="C83:N83">C84+C92</f>
        <v>6350</v>
      </c>
      <c r="D83" s="6">
        <f t="shared" si="18"/>
        <v>0</v>
      </c>
      <c r="E83" s="48">
        <f t="shared" si="18"/>
        <v>47929</v>
      </c>
      <c r="F83" s="47">
        <f t="shared" si="18"/>
        <v>2000</v>
      </c>
      <c r="G83" s="120">
        <f t="shared" si="18"/>
        <v>2000</v>
      </c>
      <c r="H83" s="157">
        <f t="shared" si="18"/>
        <v>51929</v>
      </c>
      <c r="I83" s="6">
        <f t="shared" si="18"/>
        <v>1974</v>
      </c>
      <c r="J83" s="6">
        <f t="shared" si="18"/>
        <v>0</v>
      </c>
      <c r="K83" s="48">
        <f t="shared" si="18"/>
        <v>53903</v>
      </c>
      <c r="L83" s="47">
        <f t="shared" si="18"/>
        <v>0</v>
      </c>
      <c r="M83" s="6">
        <f t="shared" si="18"/>
        <v>0</v>
      </c>
      <c r="N83" s="48">
        <f t="shared" si="18"/>
        <v>53903</v>
      </c>
    </row>
    <row r="84" spans="1:14" ht="12.75">
      <c r="A84" s="77" t="s">
        <v>77</v>
      </c>
      <c r="B84" s="57">
        <f aca="true" t="shared" si="19" ref="B84:N84">SUM(B86:B91)</f>
        <v>41579</v>
      </c>
      <c r="C84" s="12">
        <f t="shared" si="19"/>
        <v>6350</v>
      </c>
      <c r="D84" s="12">
        <f t="shared" si="19"/>
        <v>0</v>
      </c>
      <c r="E84" s="58">
        <f t="shared" si="19"/>
        <v>47929</v>
      </c>
      <c r="F84" s="57">
        <f t="shared" si="19"/>
        <v>2000</v>
      </c>
      <c r="G84" s="122">
        <f t="shared" si="19"/>
        <v>2000</v>
      </c>
      <c r="H84" s="159">
        <f t="shared" si="19"/>
        <v>51929</v>
      </c>
      <c r="I84" s="12">
        <f t="shared" si="19"/>
        <v>1974</v>
      </c>
      <c r="J84" s="12">
        <f t="shared" si="19"/>
        <v>0</v>
      </c>
      <c r="K84" s="58">
        <f t="shared" si="19"/>
        <v>53903</v>
      </c>
      <c r="L84" s="57">
        <f t="shared" si="19"/>
        <v>-105</v>
      </c>
      <c r="M84" s="12">
        <f t="shared" si="19"/>
        <v>0</v>
      </c>
      <c r="N84" s="58">
        <f t="shared" si="19"/>
        <v>53798</v>
      </c>
    </row>
    <row r="85" spans="1:14" ht="12.75">
      <c r="A85" s="73" t="s">
        <v>47</v>
      </c>
      <c r="B85" s="49"/>
      <c r="C85" s="7"/>
      <c r="D85" s="7"/>
      <c r="E85" s="50"/>
      <c r="F85" s="49"/>
      <c r="G85" s="101"/>
      <c r="H85" s="14"/>
      <c r="I85" s="7"/>
      <c r="J85" s="7"/>
      <c r="K85" s="50"/>
      <c r="L85" s="49"/>
      <c r="M85" s="7"/>
      <c r="N85" s="50"/>
    </row>
    <row r="86" spans="1:14" ht="12.75">
      <c r="A86" s="71" t="s">
        <v>218</v>
      </c>
      <c r="B86" s="49">
        <v>18746.2</v>
      </c>
      <c r="C86" s="7"/>
      <c r="D86" s="7"/>
      <c r="E86" s="50">
        <f>B86+C86</f>
        <v>18746.2</v>
      </c>
      <c r="F86" s="49"/>
      <c r="G86" s="101"/>
      <c r="H86" s="14">
        <f aca="true" t="shared" si="20" ref="H86:H91">E86+F86+G86</f>
        <v>18746.2</v>
      </c>
      <c r="I86" s="7"/>
      <c r="J86" s="7"/>
      <c r="K86" s="50">
        <f aca="true" t="shared" si="21" ref="K86:K91">H86+I86+J86</f>
        <v>18746.2</v>
      </c>
      <c r="L86" s="49">
        <v>-1500</v>
      </c>
      <c r="M86" s="7"/>
      <c r="N86" s="50">
        <f aca="true" t="shared" si="22" ref="N86:N91">K86+L86+M86</f>
        <v>17246.2</v>
      </c>
    </row>
    <row r="87" spans="1:14" ht="12.75">
      <c r="A87" s="71" t="s">
        <v>78</v>
      </c>
      <c r="B87" s="49">
        <v>4767</v>
      </c>
      <c r="C87" s="7"/>
      <c r="D87" s="7"/>
      <c r="E87" s="50">
        <f>B87+C87</f>
        <v>4767</v>
      </c>
      <c r="F87" s="49"/>
      <c r="G87" s="101"/>
      <c r="H87" s="14">
        <f t="shared" si="20"/>
        <v>4767</v>
      </c>
      <c r="I87" s="7"/>
      <c r="J87" s="7"/>
      <c r="K87" s="50">
        <f t="shared" si="21"/>
        <v>4767</v>
      </c>
      <c r="L87" s="49"/>
      <c r="M87" s="7"/>
      <c r="N87" s="50">
        <f t="shared" si="22"/>
        <v>4767</v>
      </c>
    </row>
    <row r="88" spans="1:14" ht="12.75">
      <c r="A88" s="71" t="s">
        <v>79</v>
      </c>
      <c r="B88" s="49">
        <v>1206</v>
      </c>
      <c r="C88" s="7"/>
      <c r="D88" s="7"/>
      <c r="E88" s="50">
        <f>B88+C88+D88</f>
        <v>1206</v>
      </c>
      <c r="F88" s="49"/>
      <c r="G88" s="101"/>
      <c r="H88" s="14">
        <f t="shared" si="20"/>
        <v>1206</v>
      </c>
      <c r="I88" s="7"/>
      <c r="J88" s="7"/>
      <c r="K88" s="50">
        <f t="shared" si="21"/>
        <v>1206</v>
      </c>
      <c r="L88" s="49"/>
      <c r="M88" s="7"/>
      <c r="N88" s="50">
        <f t="shared" si="22"/>
        <v>1206</v>
      </c>
    </row>
    <row r="89" spans="1:14" ht="12.75">
      <c r="A89" s="71" t="s">
        <v>80</v>
      </c>
      <c r="B89" s="49">
        <v>8104.8</v>
      </c>
      <c r="C89" s="7">
        <v>3300</v>
      </c>
      <c r="D89" s="7"/>
      <c r="E89" s="50">
        <f>B89+C89+D89</f>
        <v>11404.8</v>
      </c>
      <c r="F89" s="49"/>
      <c r="G89" s="101"/>
      <c r="H89" s="14">
        <f t="shared" si="20"/>
        <v>11404.8</v>
      </c>
      <c r="I89" s="7">
        <v>-26</v>
      </c>
      <c r="J89" s="7"/>
      <c r="K89" s="50">
        <f t="shared" si="21"/>
        <v>11378.8</v>
      </c>
      <c r="L89" s="49">
        <v>1200</v>
      </c>
      <c r="M89" s="7"/>
      <c r="N89" s="50">
        <f t="shared" si="22"/>
        <v>12578.8</v>
      </c>
    </row>
    <row r="90" spans="1:14" ht="12.75">
      <c r="A90" s="71" t="s">
        <v>81</v>
      </c>
      <c r="B90" s="49">
        <v>2000</v>
      </c>
      <c r="C90" s="7"/>
      <c r="D90" s="7"/>
      <c r="E90" s="50">
        <f>SUM(B90:D90)</f>
        <v>2000</v>
      </c>
      <c r="F90" s="49"/>
      <c r="G90" s="101"/>
      <c r="H90" s="14">
        <f t="shared" si="20"/>
        <v>2000</v>
      </c>
      <c r="I90" s="7"/>
      <c r="J90" s="7"/>
      <c r="K90" s="50">
        <f t="shared" si="21"/>
        <v>2000</v>
      </c>
      <c r="L90" s="49"/>
      <c r="M90" s="7"/>
      <c r="N90" s="50">
        <f t="shared" si="22"/>
        <v>2000</v>
      </c>
    </row>
    <row r="91" spans="1:14" ht="12.75">
      <c r="A91" s="71" t="s">
        <v>82</v>
      </c>
      <c r="B91" s="49">
        <v>6755</v>
      </c>
      <c r="C91" s="7">
        <v>3050</v>
      </c>
      <c r="D91" s="7"/>
      <c r="E91" s="50">
        <f>SUM(B91:D91)</f>
        <v>9805</v>
      </c>
      <c r="F91" s="49">
        <v>2000</v>
      </c>
      <c r="G91" s="101">
        <v>2000</v>
      </c>
      <c r="H91" s="14">
        <f t="shared" si="20"/>
        <v>13805</v>
      </c>
      <c r="I91" s="7">
        <v>2000</v>
      </c>
      <c r="J91" s="7"/>
      <c r="K91" s="50">
        <f t="shared" si="21"/>
        <v>15805</v>
      </c>
      <c r="L91" s="49">
        <f>300-105</f>
        <v>195</v>
      </c>
      <c r="M91" s="7"/>
      <c r="N91" s="50">
        <f t="shared" si="22"/>
        <v>16000</v>
      </c>
    </row>
    <row r="92" spans="1:14" ht="12.75">
      <c r="A92" s="78" t="s">
        <v>83</v>
      </c>
      <c r="B92" s="59">
        <f>SUM(B94:B95)</f>
        <v>0</v>
      </c>
      <c r="C92" s="13">
        <f aca="true" t="shared" si="23" ref="C92:N92">SUM(C94:C95)</f>
        <v>0</v>
      </c>
      <c r="D92" s="13">
        <f t="shared" si="23"/>
        <v>0</v>
      </c>
      <c r="E92" s="60">
        <f t="shared" si="23"/>
        <v>0</v>
      </c>
      <c r="F92" s="59">
        <f t="shared" si="23"/>
        <v>0</v>
      </c>
      <c r="G92" s="123">
        <f t="shared" si="23"/>
        <v>0</v>
      </c>
      <c r="H92" s="142">
        <f t="shared" si="23"/>
        <v>0</v>
      </c>
      <c r="I92" s="13">
        <f t="shared" si="23"/>
        <v>0</v>
      </c>
      <c r="J92" s="13">
        <f t="shared" si="23"/>
        <v>0</v>
      </c>
      <c r="K92" s="60">
        <f t="shared" si="23"/>
        <v>0</v>
      </c>
      <c r="L92" s="59">
        <f t="shared" si="23"/>
        <v>105</v>
      </c>
      <c r="M92" s="13">
        <f t="shared" si="23"/>
        <v>0</v>
      </c>
      <c r="N92" s="60">
        <f t="shared" si="23"/>
        <v>105</v>
      </c>
    </row>
    <row r="93" spans="1:14" ht="12.75">
      <c r="A93" s="69" t="s">
        <v>47</v>
      </c>
      <c r="B93" s="51"/>
      <c r="C93" s="8"/>
      <c r="D93" s="8"/>
      <c r="E93" s="52"/>
      <c r="F93" s="51"/>
      <c r="G93" s="17"/>
      <c r="H93" s="110"/>
      <c r="I93" s="8"/>
      <c r="J93" s="8"/>
      <c r="K93" s="52"/>
      <c r="L93" s="51"/>
      <c r="M93" s="8"/>
      <c r="N93" s="52"/>
    </row>
    <row r="94" spans="1:14" ht="12.75" hidden="1">
      <c r="A94" s="70" t="s">
        <v>84</v>
      </c>
      <c r="B94" s="49"/>
      <c r="C94" s="7"/>
      <c r="D94" s="7"/>
      <c r="E94" s="50">
        <f>B94+C94</f>
        <v>0</v>
      </c>
      <c r="F94" s="49"/>
      <c r="G94" s="101"/>
      <c r="H94" s="14">
        <f>E94+F94+G94</f>
        <v>0</v>
      </c>
      <c r="I94" s="7"/>
      <c r="J94" s="7"/>
      <c r="K94" s="50">
        <f>H94+I94+J94</f>
        <v>0</v>
      </c>
      <c r="L94" s="49"/>
      <c r="M94" s="7"/>
      <c r="N94" s="50">
        <f>K94+L94+M94</f>
        <v>0</v>
      </c>
    </row>
    <row r="95" spans="1:14" ht="12.75">
      <c r="A95" s="74" t="s">
        <v>82</v>
      </c>
      <c r="B95" s="53"/>
      <c r="C95" s="10"/>
      <c r="D95" s="10"/>
      <c r="E95" s="54">
        <f>SUM(B95:D95)</f>
        <v>0</v>
      </c>
      <c r="F95" s="53"/>
      <c r="G95" s="16"/>
      <c r="H95" s="160">
        <f>E95+F95+G95</f>
        <v>0</v>
      </c>
      <c r="I95" s="10"/>
      <c r="J95" s="10"/>
      <c r="K95" s="54">
        <f>H95+I95+J95</f>
        <v>0</v>
      </c>
      <c r="L95" s="53">
        <v>105</v>
      </c>
      <c r="M95" s="10"/>
      <c r="N95" s="54">
        <f>K95+L95+M95</f>
        <v>105</v>
      </c>
    </row>
    <row r="96" spans="1:14" ht="12.75">
      <c r="A96" s="68" t="s">
        <v>85</v>
      </c>
      <c r="B96" s="47">
        <f aca="true" t="shared" si="24" ref="B96:N96">B97+B115</f>
        <v>289093</v>
      </c>
      <c r="C96" s="6">
        <f t="shared" si="24"/>
        <v>10440.8</v>
      </c>
      <c r="D96" s="6">
        <f t="shared" si="24"/>
        <v>500</v>
      </c>
      <c r="E96" s="48">
        <f t="shared" si="24"/>
        <v>300033.8</v>
      </c>
      <c r="F96" s="47">
        <f t="shared" si="24"/>
        <v>1074.9</v>
      </c>
      <c r="G96" s="120">
        <f t="shared" si="24"/>
        <v>0</v>
      </c>
      <c r="H96" s="157">
        <f t="shared" si="24"/>
        <v>301108.7</v>
      </c>
      <c r="I96" s="6">
        <f t="shared" si="24"/>
        <v>3062.6</v>
      </c>
      <c r="J96" s="6">
        <f t="shared" si="24"/>
        <v>-6439.700000000001</v>
      </c>
      <c r="K96" s="48">
        <f t="shared" si="24"/>
        <v>297731.6</v>
      </c>
      <c r="L96" s="47">
        <f t="shared" si="24"/>
        <v>381.7</v>
      </c>
      <c r="M96" s="6">
        <f t="shared" si="24"/>
        <v>0</v>
      </c>
      <c r="N96" s="48">
        <f t="shared" si="24"/>
        <v>298113.3</v>
      </c>
    </row>
    <row r="97" spans="1:14" ht="12.75">
      <c r="A97" s="77" t="s">
        <v>77</v>
      </c>
      <c r="B97" s="57">
        <f>SUM(B99:B114)</f>
        <v>289093</v>
      </c>
      <c r="C97" s="12">
        <f aca="true" t="shared" si="25" ref="C97:N97">SUM(C99:C114)</f>
        <v>6134</v>
      </c>
      <c r="D97" s="12">
        <f t="shared" si="25"/>
        <v>0</v>
      </c>
      <c r="E97" s="58">
        <f t="shared" si="25"/>
        <v>295227</v>
      </c>
      <c r="F97" s="57">
        <f t="shared" si="25"/>
        <v>714.9</v>
      </c>
      <c r="G97" s="122">
        <f t="shared" si="25"/>
        <v>0</v>
      </c>
      <c r="H97" s="159">
        <f t="shared" si="25"/>
        <v>295941.9</v>
      </c>
      <c r="I97" s="12">
        <f t="shared" si="25"/>
        <v>3062.6</v>
      </c>
      <c r="J97" s="12">
        <f t="shared" si="25"/>
        <v>-3432.9</v>
      </c>
      <c r="K97" s="58">
        <f t="shared" si="25"/>
        <v>295571.6</v>
      </c>
      <c r="L97" s="57">
        <f t="shared" si="25"/>
        <v>381.7</v>
      </c>
      <c r="M97" s="12">
        <f t="shared" si="25"/>
        <v>0</v>
      </c>
      <c r="N97" s="58">
        <f t="shared" si="25"/>
        <v>295953.3</v>
      </c>
    </row>
    <row r="98" spans="1:14" ht="12.75">
      <c r="A98" s="73" t="s">
        <v>47</v>
      </c>
      <c r="B98" s="49"/>
      <c r="C98" s="7"/>
      <c r="D98" s="7"/>
      <c r="E98" s="50"/>
      <c r="F98" s="49"/>
      <c r="G98" s="101"/>
      <c r="H98" s="14"/>
      <c r="I98" s="7"/>
      <c r="J98" s="7"/>
      <c r="K98" s="50"/>
      <c r="L98" s="49"/>
      <c r="M98" s="7"/>
      <c r="N98" s="50"/>
    </row>
    <row r="99" spans="1:14" ht="12.75">
      <c r="A99" s="69" t="s">
        <v>219</v>
      </c>
      <c r="B99" s="49">
        <v>134207</v>
      </c>
      <c r="C99" s="7"/>
      <c r="D99" s="7"/>
      <c r="E99" s="50">
        <f>B99+C99+D99</f>
        <v>134207</v>
      </c>
      <c r="F99" s="49"/>
      <c r="G99" s="101"/>
      <c r="H99" s="14">
        <f>E99+F99+G99</f>
        <v>134207</v>
      </c>
      <c r="I99" s="7"/>
      <c r="J99" s="7"/>
      <c r="K99" s="50">
        <f>H99+I99+J99</f>
        <v>134207</v>
      </c>
      <c r="L99" s="49"/>
      <c r="M99" s="7"/>
      <c r="N99" s="50">
        <f>K99+L99+M99</f>
        <v>134207</v>
      </c>
    </row>
    <row r="100" spans="1:14" ht="12.75">
      <c r="A100" s="71" t="s">
        <v>78</v>
      </c>
      <c r="B100" s="49">
        <v>45436</v>
      </c>
      <c r="C100" s="7"/>
      <c r="D100" s="7"/>
      <c r="E100" s="50">
        <f aca="true" t="shared" si="26" ref="E100:E114">B100+C100+D100</f>
        <v>45436</v>
      </c>
      <c r="F100" s="49"/>
      <c r="G100" s="101"/>
      <c r="H100" s="14">
        <f aca="true" t="shared" si="27" ref="H100:H114">E100+F100+G100</f>
        <v>45436</v>
      </c>
      <c r="I100" s="7"/>
      <c r="J100" s="7"/>
      <c r="K100" s="50">
        <f aca="true" t="shared" si="28" ref="K100:K114">H100+I100+J100</f>
        <v>45436</v>
      </c>
      <c r="L100" s="49"/>
      <c r="M100" s="7"/>
      <c r="N100" s="50">
        <f aca="true" t="shared" si="29" ref="N100:N114">K100+L100+M100</f>
        <v>45436</v>
      </c>
    </row>
    <row r="101" spans="1:14" ht="12.75">
      <c r="A101" s="71" t="s">
        <v>86</v>
      </c>
      <c r="B101" s="49">
        <v>200</v>
      </c>
      <c r="C101" s="7"/>
      <c r="D101" s="7"/>
      <c r="E101" s="50">
        <f t="shared" si="26"/>
        <v>200</v>
      </c>
      <c r="F101" s="49"/>
      <c r="G101" s="101"/>
      <c r="H101" s="14">
        <f t="shared" si="27"/>
        <v>200</v>
      </c>
      <c r="I101" s="7"/>
      <c r="J101" s="7"/>
      <c r="K101" s="50">
        <f t="shared" si="28"/>
        <v>200</v>
      </c>
      <c r="L101" s="49"/>
      <c r="M101" s="7"/>
      <c r="N101" s="50">
        <f t="shared" si="29"/>
        <v>200</v>
      </c>
    </row>
    <row r="102" spans="1:14" ht="12.75">
      <c r="A102" s="71" t="s">
        <v>80</v>
      </c>
      <c r="B102" s="49">
        <v>35808</v>
      </c>
      <c r="C102" s="7">
        <v>800</v>
      </c>
      <c r="D102" s="7"/>
      <c r="E102" s="50">
        <f t="shared" si="26"/>
        <v>36608</v>
      </c>
      <c r="F102" s="49"/>
      <c r="G102" s="101"/>
      <c r="H102" s="14">
        <f t="shared" si="27"/>
        <v>36608</v>
      </c>
      <c r="I102" s="7"/>
      <c r="J102" s="7"/>
      <c r="K102" s="50">
        <f t="shared" si="28"/>
        <v>36608</v>
      </c>
      <c r="L102" s="49"/>
      <c r="M102" s="7"/>
      <c r="N102" s="50">
        <f t="shared" si="29"/>
        <v>36608</v>
      </c>
    </row>
    <row r="103" spans="1:14" ht="12.75">
      <c r="A103" s="71" t="s">
        <v>87</v>
      </c>
      <c r="B103" s="49">
        <v>152</v>
      </c>
      <c r="C103" s="7"/>
      <c r="D103" s="7"/>
      <c r="E103" s="50">
        <f t="shared" si="26"/>
        <v>152</v>
      </c>
      <c r="F103" s="49"/>
      <c r="G103" s="101"/>
      <c r="H103" s="14">
        <f t="shared" si="27"/>
        <v>152</v>
      </c>
      <c r="I103" s="7"/>
      <c r="J103" s="7"/>
      <c r="K103" s="50">
        <f t="shared" si="28"/>
        <v>152</v>
      </c>
      <c r="L103" s="49"/>
      <c r="M103" s="7"/>
      <c r="N103" s="50">
        <f t="shared" si="29"/>
        <v>152</v>
      </c>
    </row>
    <row r="104" spans="1:14" ht="12.75">
      <c r="A104" s="71" t="s">
        <v>88</v>
      </c>
      <c r="B104" s="49">
        <v>40</v>
      </c>
      <c r="C104" s="7"/>
      <c r="D104" s="7"/>
      <c r="E104" s="50">
        <f t="shared" si="26"/>
        <v>40</v>
      </c>
      <c r="F104" s="49"/>
      <c r="G104" s="101"/>
      <c r="H104" s="14">
        <f t="shared" si="27"/>
        <v>40</v>
      </c>
      <c r="I104" s="7"/>
      <c r="J104" s="7"/>
      <c r="K104" s="50">
        <f t="shared" si="28"/>
        <v>40</v>
      </c>
      <c r="L104" s="49"/>
      <c r="M104" s="7"/>
      <c r="N104" s="50">
        <f t="shared" si="29"/>
        <v>40</v>
      </c>
    </row>
    <row r="105" spans="1:14" ht="12.75">
      <c r="A105" s="71" t="s">
        <v>89</v>
      </c>
      <c r="B105" s="49">
        <v>73250</v>
      </c>
      <c r="C105" s="7"/>
      <c r="D105" s="7"/>
      <c r="E105" s="50">
        <f t="shared" si="26"/>
        <v>73250</v>
      </c>
      <c r="F105" s="49"/>
      <c r="G105" s="101"/>
      <c r="H105" s="14">
        <f t="shared" si="27"/>
        <v>73250</v>
      </c>
      <c r="I105" s="7"/>
      <c r="J105" s="7"/>
      <c r="K105" s="50">
        <f t="shared" si="28"/>
        <v>73250</v>
      </c>
      <c r="L105" s="49"/>
      <c r="M105" s="7"/>
      <c r="N105" s="50">
        <f t="shared" si="29"/>
        <v>73250</v>
      </c>
    </row>
    <row r="106" spans="1:14" ht="12.75">
      <c r="A106" s="71" t="s">
        <v>113</v>
      </c>
      <c r="B106" s="49"/>
      <c r="C106" s="7">
        <f>150+5184</f>
        <v>5334</v>
      </c>
      <c r="D106" s="7"/>
      <c r="E106" s="50">
        <f t="shared" si="26"/>
        <v>5334</v>
      </c>
      <c r="F106" s="49"/>
      <c r="G106" s="101"/>
      <c r="H106" s="14">
        <f t="shared" si="27"/>
        <v>5334</v>
      </c>
      <c r="I106" s="7"/>
      <c r="J106" s="7">
        <v>-3432.9</v>
      </c>
      <c r="K106" s="50">
        <f t="shared" si="28"/>
        <v>1901.1</v>
      </c>
      <c r="L106" s="49"/>
      <c r="M106" s="7"/>
      <c r="N106" s="50">
        <f t="shared" si="29"/>
        <v>1901.1</v>
      </c>
    </row>
    <row r="107" spans="1:14" ht="12.75" hidden="1">
      <c r="A107" s="71" t="s">
        <v>90</v>
      </c>
      <c r="B107" s="49"/>
      <c r="C107" s="7"/>
      <c r="D107" s="7"/>
      <c r="E107" s="50">
        <f t="shared" si="26"/>
        <v>0</v>
      </c>
      <c r="F107" s="49">
        <v>0</v>
      </c>
      <c r="G107" s="101"/>
      <c r="H107" s="14">
        <f t="shared" si="27"/>
        <v>0</v>
      </c>
      <c r="I107" s="7"/>
      <c r="J107" s="7"/>
      <c r="K107" s="50">
        <f t="shared" si="28"/>
        <v>0</v>
      </c>
      <c r="L107" s="49"/>
      <c r="M107" s="7"/>
      <c r="N107" s="50">
        <f t="shared" si="29"/>
        <v>0</v>
      </c>
    </row>
    <row r="108" spans="1:14" ht="12.75" hidden="1">
      <c r="A108" s="71" t="s">
        <v>91</v>
      </c>
      <c r="B108" s="49"/>
      <c r="C108" s="7"/>
      <c r="D108" s="7"/>
      <c r="E108" s="50">
        <f t="shared" si="26"/>
        <v>0</v>
      </c>
      <c r="F108" s="49"/>
      <c r="G108" s="101"/>
      <c r="H108" s="14">
        <f t="shared" si="27"/>
        <v>0</v>
      </c>
      <c r="I108" s="7"/>
      <c r="J108" s="7"/>
      <c r="K108" s="50">
        <f t="shared" si="28"/>
        <v>0</v>
      </c>
      <c r="L108" s="49"/>
      <c r="M108" s="7"/>
      <c r="N108" s="50">
        <f t="shared" si="29"/>
        <v>0</v>
      </c>
    </row>
    <row r="109" spans="1:14" ht="12.75">
      <c r="A109" s="71" t="s">
        <v>266</v>
      </c>
      <c r="B109" s="49"/>
      <c r="C109" s="7"/>
      <c r="D109" s="7"/>
      <c r="E109" s="50">
        <f t="shared" si="26"/>
        <v>0</v>
      </c>
      <c r="F109" s="49">
        <v>364.9</v>
      </c>
      <c r="G109" s="101"/>
      <c r="H109" s="14">
        <f t="shared" si="27"/>
        <v>364.9</v>
      </c>
      <c r="I109" s="7"/>
      <c r="J109" s="7"/>
      <c r="K109" s="50">
        <f t="shared" si="28"/>
        <v>364.9</v>
      </c>
      <c r="L109" s="49"/>
      <c r="M109" s="7"/>
      <c r="N109" s="50">
        <f t="shared" si="29"/>
        <v>364.9</v>
      </c>
    </row>
    <row r="110" spans="1:14" ht="12.75">
      <c r="A110" s="80" t="s">
        <v>295</v>
      </c>
      <c r="B110" s="49"/>
      <c r="C110" s="7"/>
      <c r="D110" s="7"/>
      <c r="E110" s="50"/>
      <c r="F110" s="49"/>
      <c r="G110" s="101"/>
      <c r="H110" s="14">
        <f t="shared" si="27"/>
        <v>0</v>
      </c>
      <c r="I110" s="7">
        <v>3062.6</v>
      </c>
      <c r="J110" s="7"/>
      <c r="K110" s="50">
        <f t="shared" si="28"/>
        <v>3062.6</v>
      </c>
      <c r="L110" s="49"/>
      <c r="M110" s="7"/>
      <c r="N110" s="50">
        <f t="shared" si="29"/>
        <v>3062.6</v>
      </c>
    </row>
    <row r="111" spans="1:14" ht="12.75">
      <c r="A111" s="80" t="s">
        <v>258</v>
      </c>
      <c r="B111" s="49"/>
      <c r="C111" s="7"/>
      <c r="D111" s="7"/>
      <c r="E111" s="50">
        <f t="shared" si="26"/>
        <v>0</v>
      </c>
      <c r="F111" s="49">
        <v>100</v>
      </c>
      <c r="G111" s="101"/>
      <c r="H111" s="14">
        <f t="shared" si="27"/>
        <v>100</v>
      </c>
      <c r="I111" s="7"/>
      <c r="J111" s="7"/>
      <c r="K111" s="50">
        <f t="shared" si="28"/>
        <v>100</v>
      </c>
      <c r="L111" s="49"/>
      <c r="M111" s="7"/>
      <c r="N111" s="50">
        <f t="shared" si="29"/>
        <v>100</v>
      </c>
    </row>
    <row r="112" spans="1:14" ht="12.75">
      <c r="A112" s="71" t="s">
        <v>281</v>
      </c>
      <c r="B112" s="49"/>
      <c r="C112" s="7"/>
      <c r="D112" s="7"/>
      <c r="E112" s="50"/>
      <c r="F112" s="49"/>
      <c r="G112" s="101"/>
      <c r="H112" s="14"/>
      <c r="I112" s="7"/>
      <c r="J112" s="7"/>
      <c r="K112" s="50">
        <f t="shared" si="28"/>
        <v>0</v>
      </c>
      <c r="L112" s="49">
        <v>100</v>
      </c>
      <c r="M112" s="7"/>
      <c r="N112" s="50">
        <f t="shared" si="29"/>
        <v>100</v>
      </c>
    </row>
    <row r="113" spans="1:14" ht="12.75">
      <c r="A113" s="71" t="s">
        <v>292</v>
      </c>
      <c r="B113" s="49"/>
      <c r="C113" s="7"/>
      <c r="D113" s="7"/>
      <c r="E113" s="50"/>
      <c r="F113" s="49"/>
      <c r="G113" s="101"/>
      <c r="H113" s="14"/>
      <c r="I113" s="7"/>
      <c r="J113" s="7"/>
      <c r="K113" s="50">
        <f t="shared" si="28"/>
        <v>0</v>
      </c>
      <c r="L113" s="49">
        <v>281.7</v>
      </c>
      <c r="M113" s="7"/>
      <c r="N113" s="50">
        <f t="shared" si="29"/>
        <v>281.7</v>
      </c>
    </row>
    <row r="114" spans="1:14" ht="12.75">
      <c r="A114" s="71" t="s">
        <v>92</v>
      </c>
      <c r="B114" s="49"/>
      <c r="C114" s="7"/>
      <c r="D114" s="7"/>
      <c r="E114" s="50">
        <f t="shared" si="26"/>
        <v>0</v>
      </c>
      <c r="F114" s="49">
        <v>250</v>
      </c>
      <c r="G114" s="101"/>
      <c r="H114" s="14">
        <f t="shared" si="27"/>
        <v>250</v>
      </c>
      <c r="I114" s="7"/>
      <c r="J114" s="7"/>
      <c r="K114" s="50">
        <f t="shared" si="28"/>
        <v>250</v>
      </c>
      <c r="L114" s="49"/>
      <c r="M114" s="7"/>
      <c r="N114" s="50">
        <f t="shared" si="29"/>
        <v>250</v>
      </c>
    </row>
    <row r="115" spans="1:14" ht="12.75">
      <c r="A115" s="77" t="s">
        <v>83</v>
      </c>
      <c r="B115" s="57">
        <f>B118+B117</f>
        <v>0</v>
      </c>
      <c r="C115" s="12">
        <f aca="true" t="shared" si="30" ref="C115:J115">C118</f>
        <v>4306.8</v>
      </c>
      <c r="D115" s="12">
        <f t="shared" si="30"/>
        <v>500</v>
      </c>
      <c r="E115" s="58">
        <f>E118+E117</f>
        <v>4806.8</v>
      </c>
      <c r="F115" s="57">
        <f>F118+F117</f>
        <v>360</v>
      </c>
      <c r="G115" s="122">
        <f t="shared" si="30"/>
        <v>0</v>
      </c>
      <c r="H115" s="159">
        <f>H118+H117</f>
        <v>5166.8</v>
      </c>
      <c r="I115" s="12">
        <f>I118+I117</f>
        <v>0</v>
      </c>
      <c r="J115" s="12">
        <f t="shared" si="30"/>
        <v>-3006.8</v>
      </c>
      <c r="K115" s="58">
        <f>K118+K117</f>
        <v>2160</v>
      </c>
      <c r="L115" s="57">
        <f>L118+L117</f>
        <v>0</v>
      </c>
      <c r="M115" s="169">
        <f>M118+M117</f>
        <v>0</v>
      </c>
      <c r="N115" s="58">
        <f>N118+N117</f>
        <v>2160</v>
      </c>
    </row>
    <row r="116" spans="1:14" ht="12.75">
      <c r="A116" s="73" t="s">
        <v>47</v>
      </c>
      <c r="B116" s="49"/>
      <c r="C116" s="7"/>
      <c r="D116" s="7"/>
      <c r="E116" s="48"/>
      <c r="F116" s="49"/>
      <c r="G116" s="101"/>
      <c r="H116" s="157"/>
      <c r="I116" s="7"/>
      <c r="J116" s="7"/>
      <c r="K116" s="48"/>
      <c r="L116" s="49"/>
      <c r="M116" s="7"/>
      <c r="N116" s="48"/>
    </row>
    <row r="117" spans="1:14" ht="12.75">
      <c r="A117" s="75" t="s">
        <v>84</v>
      </c>
      <c r="B117" s="49"/>
      <c r="C117" s="7"/>
      <c r="D117" s="7"/>
      <c r="E117" s="50">
        <f>B117+C117+D117</f>
        <v>0</v>
      </c>
      <c r="F117" s="49">
        <v>360</v>
      </c>
      <c r="G117" s="101"/>
      <c r="H117" s="14">
        <f>E117+F117+G117</f>
        <v>360</v>
      </c>
      <c r="I117" s="7"/>
      <c r="J117" s="7"/>
      <c r="K117" s="50">
        <f>H117+I117+J117</f>
        <v>360</v>
      </c>
      <c r="L117" s="49"/>
      <c r="M117" s="7"/>
      <c r="N117" s="50">
        <f>K117+L117+M117</f>
        <v>360</v>
      </c>
    </row>
    <row r="118" spans="1:14" ht="12.75">
      <c r="A118" s="74" t="s">
        <v>114</v>
      </c>
      <c r="B118" s="53"/>
      <c r="C118" s="10">
        <f>1300+3006.8</f>
        <v>4306.8</v>
      </c>
      <c r="D118" s="10">
        <v>500</v>
      </c>
      <c r="E118" s="54">
        <f>B118+C118+D118</f>
        <v>4806.8</v>
      </c>
      <c r="F118" s="53"/>
      <c r="G118" s="16"/>
      <c r="H118" s="160">
        <f>E118+F118+G118</f>
        <v>4806.8</v>
      </c>
      <c r="I118" s="10"/>
      <c r="J118" s="10">
        <v>-3006.8</v>
      </c>
      <c r="K118" s="54">
        <f>H118+I118+J118</f>
        <v>1800</v>
      </c>
      <c r="L118" s="53"/>
      <c r="M118" s="10"/>
      <c r="N118" s="54">
        <f>K118+L118+M118</f>
        <v>1800</v>
      </c>
    </row>
    <row r="119" spans="1:14" ht="12.75">
      <c r="A119" s="68" t="s">
        <v>93</v>
      </c>
      <c r="B119" s="47">
        <f aca="true" t="shared" si="31" ref="B119:N119">B120+B130</f>
        <v>130113</v>
      </c>
      <c r="C119" s="6">
        <f t="shared" si="31"/>
        <v>35857.1</v>
      </c>
      <c r="D119" s="6">
        <f t="shared" si="31"/>
        <v>0</v>
      </c>
      <c r="E119" s="48">
        <f t="shared" si="31"/>
        <v>165970.1</v>
      </c>
      <c r="F119" s="47">
        <f t="shared" si="31"/>
        <v>765.5</v>
      </c>
      <c r="G119" s="120">
        <f t="shared" si="31"/>
        <v>26155.9</v>
      </c>
      <c r="H119" s="157">
        <f t="shared" si="31"/>
        <v>192891.5</v>
      </c>
      <c r="I119" s="6">
        <f t="shared" si="31"/>
        <v>21101.1</v>
      </c>
      <c r="J119" s="6">
        <f t="shared" si="31"/>
        <v>-3457</v>
      </c>
      <c r="K119" s="48">
        <f t="shared" si="31"/>
        <v>210535.6</v>
      </c>
      <c r="L119" s="47">
        <f t="shared" si="31"/>
        <v>0</v>
      </c>
      <c r="M119" s="6">
        <f t="shared" si="31"/>
        <v>0</v>
      </c>
      <c r="N119" s="48">
        <f t="shared" si="31"/>
        <v>210535.6</v>
      </c>
    </row>
    <row r="120" spans="1:14" ht="12.75">
      <c r="A120" s="77" t="s">
        <v>77</v>
      </c>
      <c r="B120" s="57">
        <f aca="true" t="shared" si="32" ref="B120:N120">SUM(B122:B128)</f>
        <v>85113</v>
      </c>
      <c r="C120" s="12">
        <f t="shared" si="32"/>
        <v>16423</v>
      </c>
      <c r="D120" s="12">
        <f t="shared" si="32"/>
        <v>438</v>
      </c>
      <c r="E120" s="58">
        <f t="shared" si="32"/>
        <v>101974</v>
      </c>
      <c r="F120" s="57">
        <f t="shared" si="32"/>
        <v>565.5</v>
      </c>
      <c r="G120" s="122">
        <f t="shared" si="32"/>
        <v>326</v>
      </c>
      <c r="H120" s="159">
        <f t="shared" si="32"/>
        <v>102865.5</v>
      </c>
      <c r="I120" s="12">
        <f t="shared" si="32"/>
        <v>1911.1</v>
      </c>
      <c r="J120" s="12">
        <f t="shared" si="32"/>
        <v>-3448</v>
      </c>
      <c r="K120" s="58">
        <f t="shared" si="32"/>
        <v>101328.6</v>
      </c>
      <c r="L120" s="57">
        <f t="shared" si="32"/>
        <v>-8835</v>
      </c>
      <c r="M120" s="12">
        <f t="shared" si="32"/>
        <v>0</v>
      </c>
      <c r="N120" s="58">
        <f t="shared" si="32"/>
        <v>92493.6</v>
      </c>
    </row>
    <row r="121" spans="1:14" ht="12.75">
      <c r="A121" s="73" t="s">
        <v>47</v>
      </c>
      <c r="B121" s="49"/>
      <c r="C121" s="7"/>
      <c r="D121" s="7"/>
      <c r="E121" s="48"/>
      <c r="F121" s="49"/>
      <c r="G121" s="101"/>
      <c r="H121" s="157"/>
      <c r="I121" s="7"/>
      <c r="J121" s="7"/>
      <c r="K121" s="48"/>
      <c r="L121" s="49"/>
      <c r="M121" s="7"/>
      <c r="N121" s="48"/>
    </row>
    <row r="122" spans="1:14" ht="12.75">
      <c r="A122" s="75" t="s">
        <v>94</v>
      </c>
      <c r="B122" s="61">
        <v>43213</v>
      </c>
      <c r="C122" s="14"/>
      <c r="D122" s="14"/>
      <c r="E122" s="50">
        <f>B122+C122+D122</f>
        <v>43213</v>
      </c>
      <c r="F122" s="49"/>
      <c r="G122" s="124"/>
      <c r="H122" s="14">
        <f>E122+F122+G122</f>
        <v>43213</v>
      </c>
      <c r="I122" s="7"/>
      <c r="J122" s="14"/>
      <c r="K122" s="50">
        <f>H122+I122+J122</f>
        <v>43213</v>
      </c>
      <c r="L122" s="61"/>
      <c r="M122" s="14"/>
      <c r="N122" s="50">
        <f>K122+L122+M122</f>
        <v>43213</v>
      </c>
    </row>
    <row r="123" spans="1:14" ht="12.75">
      <c r="A123" s="71" t="s">
        <v>80</v>
      </c>
      <c r="B123" s="49">
        <v>41900</v>
      </c>
      <c r="C123" s="7"/>
      <c r="D123" s="7"/>
      <c r="E123" s="50">
        <f aca="true" t="shared" si="33" ref="E123:E129">B123+C123+D123</f>
        <v>41900</v>
      </c>
      <c r="F123" s="49"/>
      <c r="G123" s="101">
        <f>-700-70</f>
        <v>-770</v>
      </c>
      <c r="H123" s="14">
        <f aca="true" t="shared" si="34" ref="H123:H129">E123+F123+G123</f>
        <v>41130</v>
      </c>
      <c r="I123" s="7">
        <v>-190</v>
      </c>
      <c r="J123" s="7">
        <f>-160-2812</f>
        <v>-2972</v>
      </c>
      <c r="K123" s="50">
        <f aca="true" t="shared" si="35" ref="K123:K129">H123+I123+J123</f>
        <v>37968</v>
      </c>
      <c r="L123" s="49">
        <f>-975-7860</f>
        <v>-8835</v>
      </c>
      <c r="M123" s="7"/>
      <c r="N123" s="50">
        <f aca="true" t="shared" si="36" ref="N123:N129">K123+L123+M123</f>
        <v>29133</v>
      </c>
    </row>
    <row r="124" spans="1:14" ht="12.75">
      <c r="A124" s="71" t="s">
        <v>95</v>
      </c>
      <c r="B124" s="49"/>
      <c r="C124" s="7"/>
      <c r="D124" s="7"/>
      <c r="E124" s="50">
        <f t="shared" si="33"/>
        <v>0</v>
      </c>
      <c r="F124" s="49"/>
      <c r="G124" s="101">
        <f>100+70</f>
        <v>170</v>
      </c>
      <c r="H124" s="14">
        <f t="shared" si="34"/>
        <v>170</v>
      </c>
      <c r="I124" s="7"/>
      <c r="J124" s="7">
        <f>160+2812</f>
        <v>2972</v>
      </c>
      <c r="K124" s="50">
        <f t="shared" si="35"/>
        <v>3142</v>
      </c>
      <c r="L124" s="49"/>
      <c r="M124" s="7"/>
      <c r="N124" s="50">
        <f t="shared" si="36"/>
        <v>3142</v>
      </c>
    </row>
    <row r="125" spans="1:14" ht="12.75">
      <c r="A125" s="71" t="s">
        <v>97</v>
      </c>
      <c r="B125" s="49"/>
      <c r="C125" s="7"/>
      <c r="D125" s="7"/>
      <c r="E125" s="50">
        <f t="shared" si="33"/>
        <v>0</v>
      </c>
      <c r="F125" s="49">
        <v>565.5</v>
      </c>
      <c r="G125" s="101"/>
      <c r="H125" s="14">
        <f t="shared" si="34"/>
        <v>565.5</v>
      </c>
      <c r="I125" s="7">
        <f>267.7+61.9+61.5</f>
        <v>391.09999999999997</v>
      </c>
      <c r="J125" s="7"/>
      <c r="K125" s="50">
        <f t="shared" si="35"/>
        <v>956.5999999999999</v>
      </c>
      <c r="L125" s="49"/>
      <c r="M125" s="7"/>
      <c r="N125" s="50">
        <f t="shared" si="36"/>
        <v>956.5999999999999</v>
      </c>
    </row>
    <row r="126" spans="1:14" ht="12.75">
      <c r="A126" s="71" t="s">
        <v>271</v>
      </c>
      <c r="B126" s="49"/>
      <c r="C126" s="7"/>
      <c r="D126" s="7"/>
      <c r="E126" s="50"/>
      <c r="F126" s="49"/>
      <c r="G126" s="101"/>
      <c r="H126" s="14">
        <f t="shared" si="34"/>
        <v>0</v>
      </c>
      <c r="I126" s="7">
        <f>256.5+1453.5</f>
        <v>1710</v>
      </c>
      <c r="J126" s="7"/>
      <c r="K126" s="50">
        <f t="shared" si="35"/>
        <v>1710</v>
      </c>
      <c r="L126" s="49"/>
      <c r="M126" s="7"/>
      <c r="N126" s="50">
        <f t="shared" si="36"/>
        <v>1710</v>
      </c>
    </row>
    <row r="127" spans="1:14" ht="12.75">
      <c r="A127" s="71" t="s">
        <v>113</v>
      </c>
      <c r="B127" s="49"/>
      <c r="C127" s="7">
        <v>16299.1</v>
      </c>
      <c r="D127" s="7"/>
      <c r="E127" s="50">
        <f t="shared" si="33"/>
        <v>16299.1</v>
      </c>
      <c r="F127" s="49"/>
      <c r="G127" s="101"/>
      <c r="H127" s="14">
        <f t="shared" si="34"/>
        <v>16299.1</v>
      </c>
      <c r="I127" s="7"/>
      <c r="J127" s="7">
        <v>-3448</v>
      </c>
      <c r="K127" s="50">
        <f t="shared" si="35"/>
        <v>12851.1</v>
      </c>
      <c r="L127" s="49"/>
      <c r="M127" s="7"/>
      <c r="N127" s="50">
        <f t="shared" si="36"/>
        <v>12851.1</v>
      </c>
    </row>
    <row r="128" spans="1:14" ht="12.75">
      <c r="A128" s="70" t="s">
        <v>100</v>
      </c>
      <c r="B128" s="49"/>
      <c r="C128" s="7">
        <v>123.9</v>
      </c>
      <c r="D128" s="7">
        <v>438</v>
      </c>
      <c r="E128" s="50">
        <f t="shared" si="33"/>
        <v>561.9</v>
      </c>
      <c r="F128" s="49"/>
      <c r="G128" s="101">
        <f>126+800</f>
        <v>926</v>
      </c>
      <c r="H128" s="14">
        <f t="shared" si="34"/>
        <v>1487.9</v>
      </c>
      <c r="I128" s="7"/>
      <c r="J128" s="7"/>
      <c r="K128" s="50">
        <f t="shared" si="35"/>
        <v>1487.9</v>
      </c>
      <c r="L128" s="49"/>
      <c r="M128" s="7"/>
      <c r="N128" s="50">
        <f t="shared" si="36"/>
        <v>1487.9</v>
      </c>
    </row>
    <row r="129" spans="1:14" ht="12.75">
      <c r="A129" s="70" t="s">
        <v>101</v>
      </c>
      <c r="B129" s="49"/>
      <c r="C129" s="7">
        <v>123.9</v>
      </c>
      <c r="D129" s="7">
        <v>438</v>
      </c>
      <c r="E129" s="50">
        <f t="shared" si="33"/>
        <v>561.9</v>
      </c>
      <c r="F129" s="49"/>
      <c r="G129" s="101">
        <f>800+126</f>
        <v>926</v>
      </c>
      <c r="H129" s="14">
        <f t="shared" si="34"/>
        <v>1487.9</v>
      </c>
      <c r="I129" s="7"/>
      <c r="J129" s="7"/>
      <c r="K129" s="50">
        <f t="shared" si="35"/>
        <v>1487.9</v>
      </c>
      <c r="L129" s="49"/>
      <c r="M129" s="7"/>
      <c r="N129" s="50">
        <f t="shared" si="36"/>
        <v>1487.9</v>
      </c>
    </row>
    <row r="130" spans="1:14" ht="12.75">
      <c r="A130" s="78" t="s">
        <v>83</v>
      </c>
      <c r="B130" s="59">
        <f aca="true" t="shared" si="37" ref="B130:N130">SUM(B132:B135)</f>
        <v>45000</v>
      </c>
      <c r="C130" s="13">
        <f t="shared" si="37"/>
        <v>19434.1</v>
      </c>
      <c r="D130" s="13">
        <f t="shared" si="37"/>
        <v>-438</v>
      </c>
      <c r="E130" s="60">
        <f t="shared" si="37"/>
        <v>63996.1</v>
      </c>
      <c r="F130" s="59">
        <f t="shared" si="37"/>
        <v>200</v>
      </c>
      <c r="G130" s="123">
        <f t="shared" si="37"/>
        <v>25829.9</v>
      </c>
      <c r="H130" s="142">
        <f t="shared" si="37"/>
        <v>90026</v>
      </c>
      <c r="I130" s="13">
        <f t="shared" si="37"/>
        <v>19190</v>
      </c>
      <c r="J130" s="13">
        <f t="shared" si="37"/>
        <v>-9</v>
      </c>
      <c r="K130" s="60">
        <f t="shared" si="37"/>
        <v>109207</v>
      </c>
      <c r="L130" s="59">
        <f t="shared" si="37"/>
        <v>8835</v>
      </c>
      <c r="M130" s="13">
        <f t="shared" si="37"/>
        <v>0</v>
      </c>
      <c r="N130" s="60">
        <f t="shared" si="37"/>
        <v>118042</v>
      </c>
    </row>
    <row r="131" spans="1:14" ht="12.75">
      <c r="A131" s="69" t="s">
        <v>47</v>
      </c>
      <c r="B131" s="51"/>
      <c r="C131" s="8"/>
      <c r="D131" s="8"/>
      <c r="E131" s="52"/>
      <c r="F131" s="51"/>
      <c r="G131" s="17"/>
      <c r="H131" s="110"/>
      <c r="I131" s="8"/>
      <c r="J131" s="8"/>
      <c r="K131" s="52"/>
      <c r="L131" s="51"/>
      <c r="M131" s="8"/>
      <c r="N131" s="52"/>
    </row>
    <row r="132" spans="1:14" ht="12.75">
      <c r="A132" s="70" t="s">
        <v>102</v>
      </c>
      <c r="B132" s="49"/>
      <c r="C132" s="7">
        <v>15000</v>
      </c>
      <c r="D132" s="7"/>
      <c r="E132" s="50">
        <f>B132+C132+D132</f>
        <v>15000</v>
      </c>
      <c r="F132" s="49"/>
      <c r="G132" s="101">
        <v>60</v>
      </c>
      <c r="H132" s="14">
        <f>E132+F132+G132</f>
        <v>15060</v>
      </c>
      <c r="I132" s="7">
        <f>-1366+19000</f>
        <v>17634</v>
      </c>
      <c r="J132" s="7"/>
      <c r="K132" s="50">
        <f>H132+I132+J132</f>
        <v>32694</v>
      </c>
      <c r="L132" s="49">
        <f>975+7860</f>
        <v>8835</v>
      </c>
      <c r="M132" s="7"/>
      <c r="N132" s="50">
        <f>K132+L132+M132</f>
        <v>41529</v>
      </c>
    </row>
    <row r="133" spans="1:14" ht="12.75">
      <c r="A133" s="70" t="s">
        <v>84</v>
      </c>
      <c r="B133" s="49"/>
      <c r="C133" s="7">
        <v>3000</v>
      </c>
      <c r="D133" s="7"/>
      <c r="E133" s="50">
        <f>B133+C133+D133</f>
        <v>3000</v>
      </c>
      <c r="F133" s="49">
        <v>200</v>
      </c>
      <c r="G133" s="101">
        <v>540</v>
      </c>
      <c r="H133" s="14">
        <f>E133+F133+G133</f>
        <v>3740</v>
      </c>
      <c r="I133" s="7">
        <f>1366+190</f>
        <v>1556</v>
      </c>
      <c r="J133" s="7"/>
      <c r="K133" s="50">
        <f>H133+I133+J133</f>
        <v>5296</v>
      </c>
      <c r="L133" s="49"/>
      <c r="M133" s="7"/>
      <c r="N133" s="50">
        <f>K133+L133+M133</f>
        <v>5296</v>
      </c>
    </row>
    <row r="134" spans="1:14" ht="12.75">
      <c r="A134" s="71" t="s">
        <v>113</v>
      </c>
      <c r="B134" s="49"/>
      <c r="C134" s="7">
        <v>1558</v>
      </c>
      <c r="D134" s="7"/>
      <c r="E134" s="50">
        <f>B134+C134+D134</f>
        <v>1558</v>
      </c>
      <c r="F134" s="49"/>
      <c r="G134" s="101"/>
      <c r="H134" s="14">
        <f>E134+F134+G134</f>
        <v>1558</v>
      </c>
      <c r="I134" s="7"/>
      <c r="J134" s="7">
        <f>-399+390</f>
        <v>-9</v>
      </c>
      <c r="K134" s="50">
        <f>H134+I134+J134</f>
        <v>1549</v>
      </c>
      <c r="L134" s="49"/>
      <c r="M134" s="7"/>
      <c r="N134" s="50">
        <f>K134+L134+M134</f>
        <v>1549</v>
      </c>
    </row>
    <row r="135" spans="1:14" ht="12.75">
      <c r="A135" s="70" t="s">
        <v>100</v>
      </c>
      <c r="B135" s="49">
        <v>45000</v>
      </c>
      <c r="C135" s="7">
        <v>-123.9</v>
      </c>
      <c r="D135" s="7">
        <v>-438</v>
      </c>
      <c r="E135" s="50">
        <f>B135+C135+D135</f>
        <v>44438.1</v>
      </c>
      <c r="F135" s="49"/>
      <c r="G135" s="101">
        <f>-800-126+2408+23747.9</f>
        <v>25229.9</v>
      </c>
      <c r="H135" s="14">
        <f>E135+F135+G135</f>
        <v>69668</v>
      </c>
      <c r="I135" s="7"/>
      <c r="J135" s="7"/>
      <c r="K135" s="50">
        <f>H135+I135+J135</f>
        <v>69668</v>
      </c>
      <c r="L135" s="49"/>
      <c r="M135" s="7"/>
      <c r="N135" s="50">
        <f>K135+L135+M135</f>
        <v>69668</v>
      </c>
    </row>
    <row r="136" spans="1:14" ht="12.75">
      <c r="A136" s="79" t="s">
        <v>103</v>
      </c>
      <c r="B136" s="53"/>
      <c r="C136" s="10"/>
      <c r="D136" s="10">
        <v>11901</v>
      </c>
      <c r="E136" s="54">
        <f>B136+C136+D136</f>
        <v>11901</v>
      </c>
      <c r="F136" s="53">
        <v>8042</v>
      </c>
      <c r="G136" s="16"/>
      <c r="H136" s="160">
        <f>E136+F136+G136</f>
        <v>19943</v>
      </c>
      <c r="I136" s="10"/>
      <c r="J136" s="10">
        <f>917+209.5</f>
        <v>1126.5</v>
      </c>
      <c r="K136" s="54">
        <f>H136+I136+J136</f>
        <v>21069.5</v>
      </c>
      <c r="L136" s="53">
        <f>2900+2400</f>
        <v>5300</v>
      </c>
      <c r="M136" s="10"/>
      <c r="N136" s="54">
        <f>K136+L136+M136</f>
        <v>26369.5</v>
      </c>
    </row>
    <row r="137" spans="1:14" ht="12.75">
      <c r="A137" s="72" t="s">
        <v>104</v>
      </c>
      <c r="B137" s="51">
        <f aca="true" t="shared" si="38" ref="B137:N137">B138+B143</f>
        <v>3670</v>
      </c>
      <c r="C137" s="8">
        <f t="shared" si="38"/>
        <v>1413</v>
      </c>
      <c r="D137" s="8">
        <f t="shared" si="38"/>
        <v>0</v>
      </c>
      <c r="E137" s="52">
        <f t="shared" si="38"/>
        <v>5083</v>
      </c>
      <c r="F137" s="51">
        <f t="shared" si="38"/>
        <v>0</v>
      </c>
      <c r="G137" s="17">
        <f t="shared" si="38"/>
        <v>0</v>
      </c>
      <c r="H137" s="110">
        <f t="shared" si="38"/>
        <v>5083</v>
      </c>
      <c r="I137" s="8">
        <f t="shared" si="38"/>
        <v>0</v>
      </c>
      <c r="J137" s="8">
        <f t="shared" si="38"/>
        <v>0</v>
      </c>
      <c r="K137" s="52">
        <f t="shared" si="38"/>
        <v>5083</v>
      </c>
      <c r="L137" s="51">
        <f t="shared" si="38"/>
        <v>0</v>
      </c>
      <c r="M137" s="8">
        <f t="shared" si="38"/>
        <v>0</v>
      </c>
      <c r="N137" s="52">
        <f t="shared" si="38"/>
        <v>5083</v>
      </c>
    </row>
    <row r="138" spans="1:14" ht="12.75">
      <c r="A138" s="77" t="s">
        <v>77</v>
      </c>
      <c r="B138" s="57">
        <f aca="true" t="shared" si="39" ref="B138:N138">SUM(B140:B142)</f>
        <v>3670</v>
      </c>
      <c r="C138" s="12">
        <f t="shared" si="39"/>
        <v>1413</v>
      </c>
      <c r="D138" s="12">
        <f t="shared" si="39"/>
        <v>0</v>
      </c>
      <c r="E138" s="58">
        <f t="shared" si="39"/>
        <v>5083</v>
      </c>
      <c r="F138" s="57">
        <f t="shared" si="39"/>
        <v>0</v>
      </c>
      <c r="G138" s="122">
        <f t="shared" si="39"/>
        <v>0</v>
      </c>
      <c r="H138" s="159">
        <f t="shared" si="39"/>
        <v>5083</v>
      </c>
      <c r="I138" s="12">
        <f t="shared" si="39"/>
        <v>0</v>
      </c>
      <c r="J138" s="12">
        <f t="shared" si="39"/>
        <v>0</v>
      </c>
      <c r="K138" s="58">
        <f t="shared" si="39"/>
        <v>5083</v>
      </c>
      <c r="L138" s="57">
        <f t="shared" si="39"/>
        <v>0</v>
      </c>
      <c r="M138" s="12">
        <f t="shared" si="39"/>
        <v>0</v>
      </c>
      <c r="N138" s="58">
        <f t="shared" si="39"/>
        <v>5083</v>
      </c>
    </row>
    <row r="139" spans="1:14" ht="12.75">
      <c r="A139" s="73" t="s">
        <v>47</v>
      </c>
      <c r="B139" s="49"/>
      <c r="C139" s="7"/>
      <c r="D139" s="7"/>
      <c r="E139" s="48"/>
      <c r="F139" s="49"/>
      <c r="G139" s="101"/>
      <c r="H139" s="157"/>
      <c r="I139" s="7"/>
      <c r="J139" s="7"/>
      <c r="K139" s="48"/>
      <c r="L139" s="49"/>
      <c r="M139" s="7"/>
      <c r="N139" s="48"/>
    </row>
    <row r="140" spans="1:14" ht="12.75">
      <c r="A140" s="71" t="s">
        <v>80</v>
      </c>
      <c r="B140" s="49">
        <v>3670</v>
      </c>
      <c r="C140" s="7">
        <v>-950</v>
      </c>
      <c r="D140" s="7"/>
      <c r="E140" s="50">
        <f>SUM(B140:D140)</f>
        <v>2720</v>
      </c>
      <c r="F140" s="49">
        <v>-950</v>
      </c>
      <c r="G140" s="101"/>
      <c r="H140" s="14">
        <f>SUM(E140:G140)</f>
        <v>1770</v>
      </c>
      <c r="I140" s="7"/>
      <c r="J140" s="7"/>
      <c r="K140" s="50">
        <f>H140+I140+J140</f>
        <v>1770</v>
      </c>
      <c r="L140" s="49"/>
      <c r="M140" s="7"/>
      <c r="N140" s="50">
        <f>K140+L140+M140</f>
        <v>1770</v>
      </c>
    </row>
    <row r="141" spans="1:14" ht="12.75">
      <c r="A141" s="75" t="s">
        <v>105</v>
      </c>
      <c r="B141" s="49"/>
      <c r="C141" s="7">
        <v>1413</v>
      </c>
      <c r="D141" s="7"/>
      <c r="E141" s="50">
        <f>SUM(B141:D141)</f>
        <v>1413</v>
      </c>
      <c r="F141" s="49"/>
      <c r="G141" s="101"/>
      <c r="H141" s="14">
        <f>SUM(E141:G141)</f>
        <v>1413</v>
      </c>
      <c r="I141" s="7"/>
      <c r="J141" s="7"/>
      <c r="K141" s="50">
        <f>H141+I141+J141</f>
        <v>1413</v>
      </c>
      <c r="L141" s="49"/>
      <c r="M141" s="7"/>
      <c r="N141" s="50">
        <f>K141+L141+M141</f>
        <v>1413</v>
      </c>
    </row>
    <row r="142" spans="1:14" ht="12.75">
      <c r="A142" s="82" t="s">
        <v>95</v>
      </c>
      <c r="B142" s="53"/>
      <c r="C142" s="10">
        <v>950</v>
      </c>
      <c r="D142" s="10"/>
      <c r="E142" s="54">
        <f>SUM(B142:D142)</f>
        <v>950</v>
      </c>
      <c r="F142" s="53">
        <v>950</v>
      </c>
      <c r="G142" s="16"/>
      <c r="H142" s="160">
        <f>SUM(E142:G142)</f>
        <v>1900</v>
      </c>
      <c r="I142" s="10"/>
      <c r="J142" s="10"/>
      <c r="K142" s="54">
        <f>H142+I142+J142</f>
        <v>1900</v>
      </c>
      <c r="L142" s="53"/>
      <c r="M142" s="10"/>
      <c r="N142" s="54">
        <f>K142+L142+M142</f>
        <v>1900</v>
      </c>
    </row>
    <row r="143" spans="1:14" ht="12.75" hidden="1">
      <c r="A143" s="77" t="s">
        <v>83</v>
      </c>
      <c r="B143" s="57">
        <f>B145</f>
        <v>0</v>
      </c>
      <c r="C143" s="12">
        <f aca="true" t="shared" si="40" ref="C143:N143">C145</f>
        <v>0</v>
      </c>
      <c r="D143" s="12">
        <f t="shared" si="40"/>
        <v>0</v>
      </c>
      <c r="E143" s="58">
        <f t="shared" si="40"/>
        <v>0</v>
      </c>
      <c r="F143" s="57">
        <f t="shared" si="40"/>
        <v>0</v>
      </c>
      <c r="G143" s="122">
        <f t="shared" si="40"/>
        <v>0</v>
      </c>
      <c r="H143" s="159">
        <f t="shared" si="40"/>
        <v>0</v>
      </c>
      <c r="I143" s="12">
        <f t="shared" si="40"/>
        <v>0</v>
      </c>
      <c r="J143" s="12">
        <f t="shared" si="40"/>
        <v>0</v>
      </c>
      <c r="K143" s="58">
        <f t="shared" si="40"/>
        <v>0</v>
      </c>
      <c r="L143" s="57">
        <f t="shared" si="40"/>
        <v>0</v>
      </c>
      <c r="M143" s="12">
        <f t="shared" si="40"/>
        <v>0</v>
      </c>
      <c r="N143" s="58">
        <f t="shared" si="40"/>
        <v>0</v>
      </c>
    </row>
    <row r="144" spans="1:14" ht="12.75" hidden="1">
      <c r="A144" s="73" t="s">
        <v>47</v>
      </c>
      <c r="B144" s="49"/>
      <c r="C144" s="7"/>
      <c r="D144" s="7"/>
      <c r="E144" s="48"/>
      <c r="F144" s="49"/>
      <c r="G144" s="101"/>
      <c r="H144" s="157"/>
      <c r="I144" s="7"/>
      <c r="J144" s="7"/>
      <c r="K144" s="48"/>
      <c r="L144" s="49"/>
      <c r="M144" s="7"/>
      <c r="N144" s="48"/>
    </row>
    <row r="145" spans="1:14" ht="12.75" hidden="1">
      <c r="A145" s="74" t="s">
        <v>99</v>
      </c>
      <c r="B145" s="53"/>
      <c r="C145" s="10"/>
      <c r="D145" s="10"/>
      <c r="E145" s="54">
        <f>SUM(B145:D145)</f>
        <v>0</v>
      </c>
      <c r="F145" s="53"/>
      <c r="G145" s="16"/>
      <c r="H145" s="160">
        <f>SUM(E145:G145)</f>
        <v>0</v>
      </c>
      <c r="I145" s="10"/>
      <c r="J145" s="10"/>
      <c r="K145" s="54">
        <f>H145+I145+J145</f>
        <v>0</v>
      </c>
      <c r="L145" s="53"/>
      <c r="M145" s="10"/>
      <c r="N145" s="54">
        <f>K145+L145+M145</f>
        <v>0</v>
      </c>
    </row>
    <row r="146" spans="1:14" ht="12.75">
      <c r="A146" s="68" t="s">
        <v>106</v>
      </c>
      <c r="B146" s="47">
        <f aca="true" t="shared" si="41" ref="B146:N146">B147+B160</f>
        <v>960245.6</v>
      </c>
      <c r="C146" s="6">
        <f t="shared" si="41"/>
        <v>343723.5</v>
      </c>
      <c r="D146" s="6">
        <f t="shared" si="41"/>
        <v>-700</v>
      </c>
      <c r="E146" s="48">
        <f t="shared" si="41"/>
        <v>1303269.0999999999</v>
      </c>
      <c r="F146" s="47">
        <f t="shared" si="41"/>
        <v>16961.9</v>
      </c>
      <c r="G146" s="120">
        <f t="shared" si="41"/>
        <v>0</v>
      </c>
      <c r="H146" s="157">
        <f t="shared" si="41"/>
        <v>1320231</v>
      </c>
      <c r="I146" s="6">
        <f t="shared" si="41"/>
        <v>45236</v>
      </c>
      <c r="J146" s="6">
        <f t="shared" si="41"/>
        <v>-104.1</v>
      </c>
      <c r="K146" s="48">
        <f t="shared" si="41"/>
        <v>1365362.9000000001</v>
      </c>
      <c r="L146" s="47">
        <f t="shared" si="41"/>
        <v>239941.6</v>
      </c>
      <c r="M146" s="6">
        <f t="shared" si="41"/>
        <v>0</v>
      </c>
      <c r="N146" s="48">
        <f t="shared" si="41"/>
        <v>1605304.5</v>
      </c>
    </row>
    <row r="147" spans="1:14" ht="12.75">
      <c r="A147" s="77" t="s">
        <v>77</v>
      </c>
      <c r="B147" s="57">
        <f>SUM(B150:B159)</f>
        <v>960245.6</v>
      </c>
      <c r="C147" s="12">
        <f aca="true" t="shared" si="42" ref="C147:N147">SUM(C150:C159)</f>
        <v>315102.6</v>
      </c>
      <c r="D147" s="12">
        <f t="shared" si="42"/>
        <v>0</v>
      </c>
      <c r="E147" s="58">
        <f t="shared" si="42"/>
        <v>1275348.2</v>
      </c>
      <c r="F147" s="57">
        <f t="shared" si="42"/>
        <v>-11959.1</v>
      </c>
      <c r="G147" s="122">
        <f t="shared" si="42"/>
        <v>0</v>
      </c>
      <c r="H147" s="159">
        <f t="shared" si="42"/>
        <v>1263389.1</v>
      </c>
      <c r="I147" s="12">
        <f t="shared" si="42"/>
        <v>23732.699999999997</v>
      </c>
      <c r="J147" s="12">
        <f t="shared" si="42"/>
        <v>0</v>
      </c>
      <c r="K147" s="58">
        <f t="shared" si="42"/>
        <v>1287121.8</v>
      </c>
      <c r="L147" s="57">
        <f t="shared" si="42"/>
        <v>88975.6</v>
      </c>
      <c r="M147" s="12">
        <f t="shared" si="42"/>
        <v>0</v>
      </c>
      <c r="N147" s="58">
        <f t="shared" si="42"/>
        <v>1376097.4</v>
      </c>
    </row>
    <row r="148" spans="1:14" ht="12.75">
      <c r="A148" s="73" t="s">
        <v>47</v>
      </c>
      <c r="B148" s="49"/>
      <c r="C148" s="7"/>
      <c r="D148" s="7"/>
      <c r="E148" s="48"/>
      <c r="F148" s="49"/>
      <c r="G148" s="101"/>
      <c r="H148" s="157"/>
      <c r="I148" s="7"/>
      <c r="J148" s="7"/>
      <c r="K148" s="48"/>
      <c r="L148" s="49"/>
      <c r="M148" s="7"/>
      <c r="N148" s="48"/>
    </row>
    <row r="149" spans="1:14" ht="12.75">
      <c r="A149" s="75" t="s">
        <v>107</v>
      </c>
      <c r="B149" s="62">
        <f aca="true" t="shared" si="43" ref="B149:N149">B150+B151</f>
        <v>595670</v>
      </c>
      <c r="C149" s="15"/>
      <c r="D149" s="15">
        <f t="shared" si="43"/>
        <v>0</v>
      </c>
      <c r="E149" s="63">
        <f t="shared" si="43"/>
        <v>616170</v>
      </c>
      <c r="F149" s="49">
        <f t="shared" si="43"/>
        <v>0</v>
      </c>
      <c r="G149" s="101">
        <f t="shared" si="43"/>
        <v>0</v>
      </c>
      <c r="H149" s="14">
        <f t="shared" si="43"/>
        <v>616170</v>
      </c>
      <c r="I149" s="7">
        <f t="shared" si="43"/>
        <v>0</v>
      </c>
      <c r="J149" s="7">
        <f t="shared" si="43"/>
        <v>0</v>
      </c>
      <c r="K149" s="50">
        <f t="shared" si="43"/>
        <v>616170</v>
      </c>
      <c r="L149" s="49">
        <f t="shared" si="43"/>
        <v>4982.7</v>
      </c>
      <c r="M149" s="7">
        <f t="shared" si="43"/>
        <v>0</v>
      </c>
      <c r="N149" s="50">
        <f t="shared" si="43"/>
        <v>621152.7</v>
      </c>
    </row>
    <row r="150" spans="1:14" ht="12.75">
      <c r="A150" s="75" t="s">
        <v>108</v>
      </c>
      <c r="B150" s="62">
        <v>243300</v>
      </c>
      <c r="C150" s="15">
        <f>20000+500</f>
        <v>20500</v>
      </c>
      <c r="D150" s="15"/>
      <c r="E150" s="63">
        <f aca="true" t="shared" si="44" ref="E150:E159">B150+C150+D150</f>
        <v>263800</v>
      </c>
      <c r="F150" s="62"/>
      <c r="G150" s="125"/>
      <c r="H150" s="161">
        <f aca="true" t="shared" si="45" ref="H150:H159">E150+F150+G150</f>
        <v>263800</v>
      </c>
      <c r="I150" s="7"/>
      <c r="J150" s="7"/>
      <c r="K150" s="63">
        <f aca="true" t="shared" si="46" ref="K150:K159">H150+I150+J150</f>
        <v>263800</v>
      </c>
      <c r="L150" s="49">
        <f>2082.7+2900</f>
        <v>4982.7</v>
      </c>
      <c r="M150" s="7"/>
      <c r="N150" s="63">
        <f aca="true" t="shared" si="47" ref="N150:N159">K150+L150+M150</f>
        <v>268782.7</v>
      </c>
    </row>
    <row r="151" spans="1:14" ht="12.75">
      <c r="A151" s="71" t="s">
        <v>109</v>
      </c>
      <c r="B151" s="62">
        <v>352370</v>
      </c>
      <c r="C151" s="15"/>
      <c r="D151" s="15"/>
      <c r="E151" s="63">
        <f t="shared" si="44"/>
        <v>352370</v>
      </c>
      <c r="F151" s="62"/>
      <c r="G151" s="125"/>
      <c r="H151" s="161">
        <f t="shared" si="45"/>
        <v>352370</v>
      </c>
      <c r="I151" s="7"/>
      <c r="J151" s="7"/>
      <c r="K151" s="63">
        <f t="shared" si="46"/>
        <v>352370</v>
      </c>
      <c r="L151" s="49"/>
      <c r="M151" s="7"/>
      <c r="N151" s="63">
        <f t="shared" si="47"/>
        <v>352370</v>
      </c>
    </row>
    <row r="152" spans="1:14" ht="12.75">
      <c r="A152" s="75" t="s">
        <v>110</v>
      </c>
      <c r="B152" s="61">
        <v>8000</v>
      </c>
      <c r="C152" s="14"/>
      <c r="D152" s="14"/>
      <c r="E152" s="50">
        <f t="shared" si="44"/>
        <v>8000</v>
      </c>
      <c r="F152" s="49">
        <v>-7000</v>
      </c>
      <c r="G152" s="124"/>
      <c r="H152" s="14">
        <f t="shared" si="45"/>
        <v>1000</v>
      </c>
      <c r="I152" s="7"/>
      <c r="J152" s="14"/>
      <c r="K152" s="63">
        <f t="shared" si="46"/>
        <v>1000</v>
      </c>
      <c r="L152" s="61"/>
      <c r="M152" s="14"/>
      <c r="N152" s="63">
        <f t="shared" si="47"/>
        <v>1000</v>
      </c>
    </row>
    <row r="153" spans="1:14" ht="12.75">
      <c r="A153" s="71" t="s">
        <v>111</v>
      </c>
      <c r="B153" s="49">
        <v>5400</v>
      </c>
      <c r="C153" s="7"/>
      <c r="D153" s="7"/>
      <c r="E153" s="50">
        <f t="shared" si="44"/>
        <v>5400</v>
      </c>
      <c r="F153" s="49"/>
      <c r="G153" s="101"/>
      <c r="H153" s="14">
        <f t="shared" si="45"/>
        <v>5400</v>
      </c>
      <c r="I153" s="7"/>
      <c r="J153" s="7"/>
      <c r="K153" s="63">
        <f t="shared" si="46"/>
        <v>5400</v>
      </c>
      <c r="L153" s="49">
        <v>100</v>
      </c>
      <c r="M153" s="7"/>
      <c r="N153" s="63">
        <f t="shared" si="47"/>
        <v>5500</v>
      </c>
    </row>
    <row r="154" spans="1:14" ht="12.75">
      <c r="A154" s="71" t="s">
        <v>112</v>
      </c>
      <c r="B154" s="49"/>
      <c r="C154" s="7"/>
      <c r="D154" s="7"/>
      <c r="E154" s="50">
        <f t="shared" si="44"/>
        <v>0</v>
      </c>
      <c r="F154" s="49"/>
      <c r="G154" s="101"/>
      <c r="H154" s="14">
        <f t="shared" si="45"/>
        <v>0</v>
      </c>
      <c r="I154" s="7"/>
      <c r="J154" s="7"/>
      <c r="K154" s="63">
        <f t="shared" si="46"/>
        <v>0</v>
      </c>
      <c r="L154" s="49">
        <f>11493.9+4020.1+15902.1</f>
        <v>31416.1</v>
      </c>
      <c r="M154" s="7"/>
      <c r="N154" s="63">
        <f t="shared" si="47"/>
        <v>31416.1</v>
      </c>
    </row>
    <row r="155" spans="1:14" ht="12.75">
      <c r="A155" s="71" t="s">
        <v>245</v>
      </c>
      <c r="B155" s="49"/>
      <c r="C155" s="7">
        <v>254602.6</v>
      </c>
      <c r="D155" s="7"/>
      <c r="E155" s="50">
        <f t="shared" si="44"/>
        <v>254602.6</v>
      </c>
      <c r="F155" s="49"/>
      <c r="G155" s="101"/>
      <c r="H155" s="14">
        <f t="shared" si="45"/>
        <v>254602.6</v>
      </c>
      <c r="I155" s="7"/>
      <c r="J155" s="7"/>
      <c r="K155" s="63">
        <f t="shared" si="46"/>
        <v>254602.6</v>
      </c>
      <c r="L155" s="49"/>
      <c r="M155" s="7"/>
      <c r="N155" s="63">
        <f t="shared" si="47"/>
        <v>254602.6</v>
      </c>
    </row>
    <row r="156" spans="1:14" ht="12.75">
      <c r="A156" s="71" t="s">
        <v>273</v>
      </c>
      <c r="B156" s="49"/>
      <c r="C156" s="7"/>
      <c r="D156" s="7"/>
      <c r="E156" s="50"/>
      <c r="F156" s="49"/>
      <c r="G156" s="101"/>
      <c r="H156" s="14">
        <f t="shared" si="45"/>
        <v>0</v>
      </c>
      <c r="I156" s="7">
        <v>8284.8</v>
      </c>
      <c r="J156" s="7"/>
      <c r="K156" s="63">
        <f t="shared" si="46"/>
        <v>8284.8</v>
      </c>
      <c r="L156" s="49">
        <v>443.8</v>
      </c>
      <c r="M156" s="7"/>
      <c r="N156" s="63">
        <f t="shared" si="47"/>
        <v>8728.599999999999</v>
      </c>
    </row>
    <row r="157" spans="1:14" ht="12.75">
      <c r="A157" s="71" t="s">
        <v>272</v>
      </c>
      <c r="B157" s="49"/>
      <c r="C157" s="7"/>
      <c r="D157" s="7"/>
      <c r="E157" s="50"/>
      <c r="F157" s="49"/>
      <c r="G157" s="101"/>
      <c r="H157" s="14">
        <f t="shared" si="45"/>
        <v>0</v>
      </c>
      <c r="I157" s="7">
        <f>431.3+16.6</f>
        <v>447.90000000000003</v>
      </c>
      <c r="J157" s="7"/>
      <c r="K157" s="63">
        <f t="shared" si="46"/>
        <v>447.90000000000003</v>
      </c>
      <c r="L157" s="49"/>
      <c r="M157" s="7"/>
      <c r="N157" s="63">
        <f t="shared" si="47"/>
        <v>447.90000000000003</v>
      </c>
    </row>
    <row r="158" spans="1:14" ht="12.75">
      <c r="A158" s="71" t="s">
        <v>80</v>
      </c>
      <c r="B158" s="49">
        <v>351175.6</v>
      </c>
      <c r="C158" s="7">
        <v>40000</v>
      </c>
      <c r="D158" s="7"/>
      <c r="E158" s="50">
        <f t="shared" si="44"/>
        <v>391175.6</v>
      </c>
      <c r="F158" s="49">
        <f>898.1+2142.8-8000</f>
        <v>-4959.1</v>
      </c>
      <c r="G158" s="101"/>
      <c r="H158" s="161">
        <f t="shared" si="45"/>
        <v>386216.5</v>
      </c>
      <c r="I158" s="7">
        <v>15000</v>
      </c>
      <c r="J158" s="7"/>
      <c r="K158" s="63">
        <f t="shared" si="46"/>
        <v>401216.5</v>
      </c>
      <c r="L158" s="49">
        <f>44412+100+7521</f>
        <v>52033</v>
      </c>
      <c r="M158" s="7"/>
      <c r="N158" s="63">
        <f t="shared" si="47"/>
        <v>453249.5</v>
      </c>
    </row>
    <row r="159" spans="1:14" ht="12.75" hidden="1">
      <c r="A159" s="71" t="s">
        <v>113</v>
      </c>
      <c r="B159" s="49"/>
      <c r="C159" s="7"/>
      <c r="D159" s="7"/>
      <c r="E159" s="63">
        <f t="shared" si="44"/>
        <v>0</v>
      </c>
      <c r="F159" s="49"/>
      <c r="G159" s="101"/>
      <c r="H159" s="161">
        <f t="shared" si="45"/>
        <v>0</v>
      </c>
      <c r="I159" s="7"/>
      <c r="J159" s="7"/>
      <c r="K159" s="63">
        <f t="shared" si="46"/>
        <v>0</v>
      </c>
      <c r="L159" s="49"/>
      <c r="M159" s="7"/>
      <c r="N159" s="63">
        <f t="shared" si="47"/>
        <v>0</v>
      </c>
    </row>
    <row r="160" spans="1:14" ht="12.75">
      <c r="A160" s="78" t="s">
        <v>83</v>
      </c>
      <c r="B160" s="59">
        <f aca="true" t="shared" si="48" ref="B160:N160">SUM(B162:B169)</f>
        <v>0</v>
      </c>
      <c r="C160" s="13">
        <f t="shared" si="48"/>
        <v>28620.9</v>
      </c>
      <c r="D160" s="13">
        <f t="shared" si="48"/>
        <v>-700</v>
      </c>
      <c r="E160" s="60">
        <f t="shared" si="48"/>
        <v>27920.9</v>
      </c>
      <c r="F160" s="59">
        <f t="shared" si="48"/>
        <v>28921</v>
      </c>
      <c r="G160" s="123">
        <f t="shared" si="48"/>
        <v>0</v>
      </c>
      <c r="H160" s="142">
        <f t="shared" si="48"/>
        <v>56841.9</v>
      </c>
      <c r="I160" s="13">
        <f t="shared" si="48"/>
        <v>21503.3</v>
      </c>
      <c r="J160" s="13">
        <f t="shared" si="48"/>
        <v>-104.1</v>
      </c>
      <c r="K160" s="60">
        <f t="shared" si="48"/>
        <v>78241.1</v>
      </c>
      <c r="L160" s="59">
        <f t="shared" si="48"/>
        <v>150966</v>
      </c>
      <c r="M160" s="167">
        <f t="shared" si="48"/>
        <v>0</v>
      </c>
      <c r="N160" s="60">
        <f t="shared" si="48"/>
        <v>229207.09999999998</v>
      </c>
    </row>
    <row r="161" spans="1:14" ht="12.75">
      <c r="A161" s="69" t="s">
        <v>47</v>
      </c>
      <c r="B161" s="51"/>
      <c r="C161" s="8"/>
      <c r="D161" s="8"/>
      <c r="E161" s="52"/>
      <c r="F161" s="51"/>
      <c r="G161" s="17"/>
      <c r="H161" s="110"/>
      <c r="I161" s="8"/>
      <c r="J161" s="8"/>
      <c r="K161" s="52"/>
      <c r="L161" s="51"/>
      <c r="M161" s="8"/>
      <c r="N161" s="52"/>
    </row>
    <row r="162" spans="1:14" ht="12.75">
      <c r="A162" s="70" t="s">
        <v>84</v>
      </c>
      <c r="B162" s="49"/>
      <c r="C162" s="7">
        <v>1000</v>
      </c>
      <c r="D162" s="7"/>
      <c r="E162" s="50">
        <f>B162+C162+D162</f>
        <v>1000</v>
      </c>
      <c r="F162" s="49">
        <f>24441+580</f>
        <v>25021</v>
      </c>
      <c r="G162" s="101"/>
      <c r="H162" s="14">
        <f>E162+F162+G162</f>
        <v>26021</v>
      </c>
      <c r="I162" s="7"/>
      <c r="J162" s="7"/>
      <c r="K162" s="50">
        <f>H162+I162+J162</f>
        <v>26021</v>
      </c>
      <c r="L162" s="49">
        <v>-10521</v>
      </c>
      <c r="M162" s="7"/>
      <c r="N162" s="50">
        <f aca="true" t="shared" si="49" ref="N162:N169">K162+L162+M162</f>
        <v>15500</v>
      </c>
    </row>
    <row r="163" spans="1:14" ht="12.75">
      <c r="A163" s="71" t="s">
        <v>272</v>
      </c>
      <c r="B163" s="49"/>
      <c r="C163" s="7"/>
      <c r="D163" s="7"/>
      <c r="E163" s="50"/>
      <c r="F163" s="49"/>
      <c r="G163" s="101"/>
      <c r="H163" s="14">
        <f>E163+F163+G163</f>
        <v>0</v>
      </c>
      <c r="I163" s="7">
        <f>6584.2+3.2+0.9</f>
        <v>6588.299999999999</v>
      </c>
      <c r="J163" s="7"/>
      <c r="K163" s="50">
        <f>H163+I163+J163</f>
        <v>6588.299999999999</v>
      </c>
      <c r="L163" s="49"/>
      <c r="M163" s="7"/>
      <c r="N163" s="50">
        <f t="shared" si="49"/>
        <v>6588.299999999999</v>
      </c>
    </row>
    <row r="164" spans="1:14" ht="12.75">
      <c r="A164" s="71" t="s">
        <v>114</v>
      </c>
      <c r="B164" s="49"/>
      <c r="C164" s="7">
        <f>336.8+2310.2+14019.2+10954.7</f>
        <v>27620.9</v>
      </c>
      <c r="D164" s="7">
        <v>-700</v>
      </c>
      <c r="E164" s="50">
        <f aca="true" t="shared" si="50" ref="E164:E169">B164+C164+D164</f>
        <v>26920.9</v>
      </c>
      <c r="F164" s="49"/>
      <c r="G164" s="101"/>
      <c r="H164" s="14">
        <f aca="true" t="shared" si="51" ref="H164:H169">E164+F164+G164</f>
        <v>26920.9</v>
      </c>
      <c r="I164" s="7"/>
      <c r="J164" s="7">
        <v>-104.1</v>
      </c>
      <c r="K164" s="50">
        <f aca="true" t="shared" si="52" ref="K164:K169">H164+I164+J164</f>
        <v>26816.800000000003</v>
      </c>
      <c r="L164" s="14">
        <f>1599.5+4049.4+194.1</f>
        <v>5843</v>
      </c>
      <c r="M164" s="7"/>
      <c r="N164" s="50">
        <f t="shared" si="49"/>
        <v>32659.800000000003</v>
      </c>
    </row>
    <row r="165" spans="1:14" ht="12.75">
      <c r="A165" s="71" t="s">
        <v>102</v>
      </c>
      <c r="B165" s="49"/>
      <c r="C165" s="7"/>
      <c r="D165" s="7"/>
      <c r="E165" s="50">
        <f t="shared" si="50"/>
        <v>0</v>
      </c>
      <c r="F165" s="49">
        <v>3900</v>
      </c>
      <c r="G165" s="101"/>
      <c r="H165" s="14">
        <f t="shared" si="51"/>
        <v>3900</v>
      </c>
      <c r="I165" s="7"/>
      <c r="J165" s="7"/>
      <c r="K165" s="50">
        <f t="shared" si="52"/>
        <v>3900</v>
      </c>
      <c r="L165" s="49"/>
      <c r="M165" s="7"/>
      <c r="N165" s="50">
        <f t="shared" si="49"/>
        <v>3900</v>
      </c>
    </row>
    <row r="166" spans="1:14" ht="12.75">
      <c r="A166" s="71" t="s">
        <v>115</v>
      </c>
      <c r="B166" s="49"/>
      <c r="C166" s="7"/>
      <c r="D166" s="7"/>
      <c r="E166" s="50">
        <f t="shared" si="50"/>
        <v>0</v>
      </c>
      <c r="F166" s="49"/>
      <c r="G166" s="101"/>
      <c r="H166" s="14">
        <f t="shared" si="51"/>
        <v>0</v>
      </c>
      <c r="I166" s="7">
        <v>10498</v>
      </c>
      <c r="J166" s="7"/>
      <c r="K166" s="50">
        <f t="shared" si="52"/>
        <v>10498</v>
      </c>
      <c r="L166" s="14">
        <f>13631.4+16622.2+286.6+30162.5+13825.5</f>
        <v>74528.2</v>
      </c>
      <c r="M166" s="7"/>
      <c r="N166" s="50">
        <f t="shared" si="49"/>
        <v>85026.2</v>
      </c>
    </row>
    <row r="167" spans="1:14" ht="12.75" hidden="1">
      <c r="A167" s="71" t="s">
        <v>116</v>
      </c>
      <c r="B167" s="49"/>
      <c r="C167" s="7"/>
      <c r="D167" s="7"/>
      <c r="E167" s="50">
        <f t="shared" si="50"/>
        <v>0</v>
      </c>
      <c r="F167" s="49"/>
      <c r="G167" s="101"/>
      <c r="H167" s="14">
        <f t="shared" si="51"/>
        <v>0</v>
      </c>
      <c r="I167" s="7"/>
      <c r="J167" s="7"/>
      <c r="K167" s="50">
        <f t="shared" si="52"/>
        <v>0</v>
      </c>
      <c r="L167" s="66"/>
      <c r="M167" s="7"/>
      <c r="N167" s="50">
        <f t="shared" si="49"/>
        <v>0</v>
      </c>
    </row>
    <row r="168" spans="1:14" ht="12.75">
      <c r="A168" s="70" t="s">
        <v>117</v>
      </c>
      <c r="B168" s="49"/>
      <c r="C168" s="7"/>
      <c r="D168" s="7"/>
      <c r="E168" s="50">
        <f t="shared" si="50"/>
        <v>0</v>
      </c>
      <c r="F168" s="49"/>
      <c r="G168" s="101"/>
      <c r="H168" s="14">
        <f t="shared" si="51"/>
        <v>0</v>
      </c>
      <c r="I168" s="7"/>
      <c r="J168" s="7"/>
      <c r="K168" s="50">
        <f t="shared" si="52"/>
        <v>0</v>
      </c>
      <c r="L168" s="14">
        <f>12213.8+24226.7+11522.2+33153.1</f>
        <v>81115.79999999999</v>
      </c>
      <c r="M168" s="7"/>
      <c r="N168" s="50">
        <f t="shared" si="49"/>
        <v>81115.79999999999</v>
      </c>
    </row>
    <row r="169" spans="1:14" ht="12.75">
      <c r="A169" s="74" t="s">
        <v>112</v>
      </c>
      <c r="B169" s="53"/>
      <c r="C169" s="10"/>
      <c r="D169" s="10"/>
      <c r="E169" s="54">
        <f t="shared" si="50"/>
        <v>0</v>
      </c>
      <c r="F169" s="53"/>
      <c r="G169" s="16"/>
      <c r="H169" s="160">
        <f t="shared" si="51"/>
        <v>0</v>
      </c>
      <c r="I169" s="10">
        <f>1227.2+3189.8</f>
        <v>4417</v>
      </c>
      <c r="J169" s="10"/>
      <c r="K169" s="54">
        <f t="shared" si="52"/>
        <v>4417</v>
      </c>
      <c r="L169" s="53"/>
      <c r="M169" s="10"/>
      <c r="N169" s="54">
        <f t="shared" si="49"/>
        <v>4417</v>
      </c>
    </row>
    <row r="170" spans="1:14" ht="12.75">
      <c r="A170" s="68" t="s">
        <v>118</v>
      </c>
      <c r="B170" s="47">
        <f aca="true" t="shared" si="53" ref="B170:N170">B171+B176</f>
        <v>6755</v>
      </c>
      <c r="C170" s="6">
        <f t="shared" si="53"/>
        <v>13059.1</v>
      </c>
      <c r="D170" s="6">
        <f t="shared" si="53"/>
        <v>0</v>
      </c>
      <c r="E170" s="48">
        <f t="shared" si="53"/>
        <v>19814.1</v>
      </c>
      <c r="F170" s="47">
        <f t="shared" si="53"/>
        <v>0</v>
      </c>
      <c r="G170" s="120">
        <f t="shared" si="53"/>
        <v>54</v>
      </c>
      <c r="H170" s="157">
        <f t="shared" si="53"/>
        <v>19868.1</v>
      </c>
      <c r="I170" s="6">
        <f t="shared" si="53"/>
        <v>1430.4</v>
      </c>
      <c r="J170" s="6">
        <f t="shared" si="53"/>
        <v>125</v>
      </c>
      <c r="K170" s="48">
        <f t="shared" si="53"/>
        <v>21423.5</v>
      </c>
      <c r="L170" s="47">
        <f t="shared" si="53"/>
        <v>2100</v>
      </c>
      <c r="M170" s="6">
        <f t="shared" si="53"/>
        <v>0</v>
      </c>
      <c r="N170" s="48">
        <f t="shared" si="53"/>
        <v>23523.5</v>
      </c>
    </row>
    <row r="171" spans="1:14" ht="12.75">
      <c r="A171" s="77" t="s">
        <v>77</v>
      </c>
      <c r="B171" s="57">
        <f aca="true" t="shared" si="54" ref="B171:N171">SUM(B173:B175)</f>
        <v>6755</v>
      </c>
      <c r="C171" s="12">
        <f t="shared" si="54"/>
        <v>13059.1</v>
      </c>
      <c r="D171" s="12">
        <f t="shared" si="54"/>
        <v>-350</v>
      </c>
      <c r="E171" s="58">
        <f t="shared" si="54"/>
        <v>19464.1</v>
      </c>
      <c r="F171" s="57">
        <f t="shared" si="54"/>
        <v>0</v>
      </c>
      <c r="G171" s="122">
        <f t="shared" si="54"/>
        <v>54</v>
      </c>
      <c r="H171" s="159">
        <f t="shared" si="54"/>
        <v>19518.1</v>
      </c>
      <c r="I171" s="12">
        <f t="shared" si="54"/>
        <v>1430.4</v>
      </c>
      <c r="J171" s="12">
        <f t="shared" si="54"/>
        <v>125</v>
      </c>
      <c r="K171" s="58">
        <f t="shared" si="54"/>
        <v>21073.5</v>
      </c>
      <c r="L171" s="57">
        <f t="shared" si="54"/>
        <v>2100</v>
      </c>
      <c r="M171" s="12">
        <f t="shared" si="54"/>
        <v>0</v>
      </c>
      <c r="N171" s="58">
        <f t="shared" si="54"/>
        <v>23173.5</v>
      </c>
    </row>
    <row r="172" spans="1:14" ht="12.75">
      <c r="A172" s="73" t="s">
        <v>47</v>
      </c>
      <c r="B172" s="49"/>
      <c r="C172" s="7"/>
      <c r="D172" s="7"/>
      <c r="E172" s="48"/>
      <c r="F172" s="49"/>
      <c r="G172" s="101"/>
      <c r="H172" s="157"/>
      <c r="I172" s="7"/>
      <c r="J172" s="7"/>
      <c r="K172" s="48"/>
      <c r="L172" s="49"/>
      <c r="M172" s="7"/>
      <c r="N172" s="48"/>
    </row>
    <row r="173" spans="1:14" ht="12.75">
      <c r="A173" s="70" t="s">
        <v>80</v>
      </c>
      <c r="B173" s="49">
        <v>6755</v>
      </c>
      <c r="C173" s="7">
        <v>600</v>
      </c>
      <c r="D173" s="7">
        <v>-350</v>
      </c>
      <c r="E173" s="50">
        <f>B173+C173+D173</f>
        <v>7005</v>
      </c>
      <c r="F173" s="49"/>
      <c r="G173" s="101">
        <f>-1800+54</f>
        <v>-1746</v>
      </c>
      <c r="H173" s="14">
        <f>E173+F173+G173</f>
        <v>5259</v>
      </c>
      <c r="I173" s="7">
        <f>430.4+1000</f>
        <v>1430.4</v>
      </c>
      <c r="J173" s="7"/>
      <c r="K173" s="50">
        <f>H173+I173+J173</f>
        <v>6689.4</v>
      </c>
      <c r="L173" s="49">
        <v>500</v>
      </c>
      <c r="M173" s="7"/>
      <c r="N173" s="50">
        <f>K173+L173+M173</f>
        <v>7189.4</v>
      </c>
    </row>
    <row r="174" spans="1:14" ht="12.75">
      <c r="A174" s="71" t="s">
        <v>99</v>
      </c>
      <c r="B174" s="49"/>
      <c r="C174" s="7"/>
      <c r="D174" s="7"/>
      <c r="E174" s="50">
        <f>B174+C174+D174</f>
        <v>0</v>
      </c>
      <c r="F174" s="49"/>
      <c r="G174" s="101">
        <v>1800</v>
      </c>
      <c r="H174" s="14">
        <f>E174+F174+G174</f>
        <v>1800</v>
      </c>
      <c r="I174" s="7"/>
      <c r="J174" s="7"/>
      <c r="K174" s="50">
        <f>H174+I174+J174</f>
        <v>1800</v>
      </c>
      <c r="L174" s="49"/>
      <c r="M174" s="7"/>
      <c r="N174" s="50">
        <f>K174+L174+M174</f>
        <v>1800</v>
      </c>
    </row>
    <row r="175" spans="1:14" ht="12.75">
      <c r="A175" s="70" t="s">
        <v>114</v>
      </c>
      <c r="B175" s="49"/>
      <c r="C175" s="7">
        <f>9434.1+1875+1150</f>
        <v>12459.1</v>
      </c>
      <c r="D175" s="7"/>
      <c r="E175" s="50">
        <f>B175+C175+D175</f>
        <v>12459.1</v>
      </c>
      <c r="F175" s="49"/>
      <c r="G175" s="101"/>
      <c r="H175" s="14">
        <f>E175+F175+G175</f>
        <v>12459.1</v>
      </c>
      <c r="I175" s="7"/>
      <c r="J175" s="7">
        <v>125</v>
      </c>
      <c r="K175" s="50">
        <f>H175+I175+J175</f>
        <v>12584.1</v>
      </c>
      <c r="L175" s="49">
        <v>1600</v>
      </c>
      <c r="M175" s="7"/>
      <c r="N175" s="50">
        <f>K175+L175+M175</f>
        <v>14184.1</v>
      </c>
    </row>
    <row r="176" spans="1:14" ht="12.75">
      <c r="A176" s="78" t="s">
        <v>83</v>
      </c>
      <c r="B176" s="59">
        <f>B178</f>
        <v>0</v>
      </c>
      <c r="C176" s="13">
        <f aca="true" t="shared" si="55" ref="C176:N176">C178</f>
        <v>0</v>
      </c>
      <c r="D176" s="13">
        <f t="shared" si="55"/>
        <v>350</v>
      </c>
      <c r="E176" s="60">
        <f t="shared" si="55"/>
        <v>350</v>
      </c>
      <c r="F176" s="59">
        <f t="shared" si="55"/>
        <v>0</v>
      </c>
      <c r="G176" s="134">
        <f t="shared" si="55"/>
        <v>0</v>
      </c>
      <c r="H176" s="142">
        <f t="shared" si="55"/>
        <v>350</v>
      </c>
      <c r="I176" s="8">
        <f t="shared" si="55"/>
        <v>0</v>
      </c>
      <c r="J176" s="8">
        <f t="shared" si="55"/>
        <v>0</v>
      </c>
      <c r="K176" s="52">
        <f t="shared" si="55"/>
        <v>350</v>
      </c>
      <c r="L176" s="51">
        <f t="shared" si="55"/>
        <v>0</v>
      </c>
      <c r="M176" s="8">
        <f t="shared" si="55"/>
        <v>0</v>
      </c>
      <c r="N176" s="52">
        <f t="shared" si="55"/>
        <v>350</v>
      </c>
    </row>
    <row r="177" spans="1:14" ht="12.75">
      <c r="A177" s="69" t="s">
        <v>47</v>
      </c>
      <c r="B177" s="49"/>
      <c r="C177" s="7"/>
      <c r="D177" s="7"/>
      <c r="E177" s="50"/>
      <c r="F177" s="49"/>
      <c r="G177" s="101"/>
      <c r="H177" s="14"/>
      <c r="I177" s="7"/>
      <c r="J177" s="7"/>
      <c r="K177" s="50"/>
      <c r="L177" s="49"/>
      <c r="M177" s="7"/>
      <c r="N177" s="50"/>
    </row>
    <row r="178" spans="1:14" ht="12.75">
      <c r="A178" s="81" t="s">
        <v>84</v>
      </c>
      <c r="B178" s="53"/>
      <c r="C178" s="10"/>
      <c r="D178" s="10">
        <v>350</v>
      </c>
      <c r="E178" s="54">
        <f>B178+C178+D178</f>
        <v>350</v>
      </c>
      <c r="F178" s="53"/>
      <c r="G178" s="16"/>
      <c r="H178" s="160">
        <f>E178+F178+G178</f>
        <v>350</v>
      </c>
      <c r="I178" s="10"/>
      <c r="J178" s="10"/>
      <c r="K178" s="54">
        <f>H178+I178+J178</f>
        <v>350</v>
      </c>
      <c r="L178" s="53"/>
      <c r="M178" s="10"/>
      <c r="N178" s="54">
        <f>K178+L178+M178</f>
        <v>350</v>
      </c>
    </row>
    <row r="179" spans="1:14" ht="12.75">
      <c r="A179" s="72" t="s">
        <v>119</v>
      </c>
      <c r="B179" s="51">
        <f aca="true" t="shared" si="56" ref="B179:N179">B180+B184</f>
        <v>33000</v>
      </c>
      <c r="C179" s="8">
        <f t="shared" si="56"/>
        <v>14236.5</v>
      </c>
      <c r="D179" s="8">
        <f t="shared" si="56"/>
        <v>0</v>
      </c>
      <c r="E179" s="52">
        <f t="shared" si="56"/>
        <v>47236.5</v>
      </c>
      <c r="F179" s="51">
        <f t="shared" si="56"/>
        <v>0</v>
      </c>
      <c r="G179" s="17">
        <f t="shared" si="56"/>
        <v>0</v>
      </c>
      <c r="H179" s="110">
        <f t="shared" si="56"/>
        <v>47236.5</v>
      </c>
      <c r="I179" s="8">
        <f t="shared" si="56"/>
        <v>1699.4</v>
      </c>
      <c r="J179" s="8">
        <f t="shared" si="56"/>
        <v>-1201</v>
      </c>
      <c r="K179" s="52">
        <f t="shared" si="56"/>
        <v>47734.899999999994</v>
      </c>
      <c r="L179" s="51">
        <f t="shared" si="56"/>
        <v>762</v>
      </c>
      <c r="M179" s="8">
        <f t="shared" si="56"/>
        <v>0</v>
      </c>
      <c r="N179" s="52">
        <f t="shared" si="56"/>
        <v>48496.9</v>
      </c>
    </row>
    <row r="180" spans="1:14" ht="12.75">
      <c r="A180" s="77" t="s">
        <v>77</v>
      </c>
      <c r="B180" s="57">
        <f aca="true" t="shared" si="57" ref="B180:N180">SUM(B182:B183)</f>
        <v>28000</v>
      </c>
      <c r="C180" s="12">
        <f t="shared" si="57"/>
        <v>0</v>
      </c>
      <c r="D180" s="12">
        <f t="shared" si="57"/>
        <v>0</v>
      </c>
      <c r="E180" s="58">
        <f t="shared" si="57"/>
        <v>28000</v>
      </c>
      <c r="F180" s="57">
        <f t="shared" si="57"/>
        <v>0</v>
      </c>
      <c r="G180" s="122">
        <f t="shared" si="57"/>
        <v>0</v>
      </c>
      <c r="H180" s="159">
        <f t="shared" si="57"/>
        <v>28000</v>
      </c>
      <c r="I180" s="12">
        <f t="shared" si="57"/>
        <v>1791.6</v>
      </c>
      <c r="J180" s="12">
        <f t="shared" si="57"/>
        <v>0</v>
      </c>
      <c r="K180" s="58">
        <f t="shared" si="57"/>
        <v>29791.6</v>
      </c>
      <c r="L180" s="57">
        <f t="shared" si="57"/>
        <v>-1911.6</v>
      </c>
      <c r="M180" s="12">
        <f t="shared" si="57"/>
        <v>0</v>
      </c>
      <c r="N180" s="58">
        <f t="shared" si="57"/>
        <v>27880</v>
      </c>
    </row>
    <row r="181" spans="1:14" ht="12.75">
      <c r="A181" s="73" t="s">
        <v>47</v>
      </c>
      <c r="B181" s="49"/>
      <c r="C181" s="7"/>
      <c r="D181" s="7"/>
      <c r="E181" s="48"/>
      <c r="F181" s="49"/>
      <c r="G181" s="101"/>
      <c r="H181" s="157"/>
      <c r="I181" s="7"/>
      <c r="J181" s="7"/>
      <c r="K181" s="48"/>
      <c r="L181" s="49"/>
      <c r="M181" s="7"/>
      <c r="N181" s="48"/>
    </row>
    <row r="182" spans="1:14" ht="12.75">
      <c r="A182" s="71" t="s">
        <v>80</v>
      </c>
      <c r="B182" s="49">
        <v>6000</v>
      </c>
      <c r="C182" s="7"/>
      <c r="D182" s="7"/>
      <c r="E182" s="50">
        <f>B182+C182+D182</f>
        <v>6000</v>
      </c>
      <c r="F182" s="49"/>
      <c r="G182" s="101"/>
      <c r="H182" s="14">
        <f>E182+F182+G182</f>
        <v>6000</v>
      </c>
      <c r="I182" s="7">
        <v>1791.6</v>
      </c>
      <c r="J182" s="7"/>
      <c r="K182" s="50">
        <f>H182+I182+J182</f>
        <v>7791.6</v>
      </c>
      <c r="L182" s="49">
        <f>-1791.6-100-20</f>
        <v>-1911.6</v>
      </c>
      <c r="M182" s="7"/>
      <c r="N182" s="50">
        <f>K182+L182+M182</f>
        <v>5880</v>
      </c>
    </row>
    <row r="183" spans="1:14" ht="12.75">
      <c r="A183" s="71" t="s">
        <v>120</v>
      </c>
      <c r="B183" s="49">
        <v>22000</v>
      </c>
      <c r="C183" s="7"/>
      <c r="D183" s="7"/>
      <c r="E183" s="50">
        <f>B183+C183+D183</f>
        <v>22000</v>
      </c>
      <c r="F183" s="49"/>
      <c r="G183" s="101"/>
      <c r="H183" s="14">
        <f>E183+F183+G183</f>
        <v>22000</v>
      </c>
      <c r="I183" s="7"/>
      <c r="J183" s="7"/>
      <c r="K183" s="50">
        <f>H183+I183+J183</f>
        <v>22000</v>
      </c>
      <c r="L183" s="49"/>
      <c r="M183" s="7"/>
      <c r="N183" s="50">
        <f>K183+L183+M183</f>
        <v>22000</v>
      </c>
    </row>
    <row r="184" spans="1:14" ht="12.75">
      <c r="A184" s="78" t="s">
        <v>83</v>
      </c>
      <c r="B184" s="59">
        <f>B188+B186+B187</f>
        <v>5000</v>
      </c>
      <c r="C184" s="13">
        <f>C188+C186</f>
        <v>14236.5</v>
      </c>
      <c r="D184" s="13">
        <f>D188+D186</f>
        <v>0</v>
      </c>
      <c r="E184" s="60">
        <f>E188+E186</f>
        <v>19236.5</v>
      </c>
      <c r="F184" s="59">
        <f>F188+F186</f>
        <v>0</v>
      </c>
      <c r="G184" s="13">
        <f>G188+G186</f>
        <v>0</v>
      </c>
      <c r="H184" s="134">
        <f>H188+H186+H187</f>
        <v>19236.5</v>
      </c>
      <c r="I184" s="13">
        <f>I188+I186+I187</f>
        <v>-92.19999999999982</v>
      </c>
      <c r="J184" s="142">
        <f>J188+J186</f>
        <v>-1201</v>
      </c>
      <c r="K184" s="60">
        <f>K188+K186+K187</f>
        <v>17943.3</v>
      </c>
      <c r="L184" s="59">
        <f>L188+L186+L187</f>
        <v>2673.6</v>
      </c>
      <c r="M184" s="167">
        <f>M188+M186+M187</f>
        <v>0</v>
      </c>
      <c r="N184" s="60">
        <f>N188+N186+N187</f>
        <v>20616.9</v>
      </c>
    </row>
    <row r="185" spans="1:14" ht="12.75">
      <c r="A185" s="69" t="s">
        <v>47</v>
      </c>
      <c r="B185" s="51"/>
      <c r="C185" s="8"/>
      <c r="D185" s="8"/>
      <c r="E185" s="52"/>
      <c r="F185" s="51"/>
      <c r="G185" s="17"/>
      <c r="H185" s="110"/>
      <c r="I185" s="8"/>
      <c r="J185" s="8"/>
      <c r="K185" s="52"/>
      <c r="L185" s="51"/>
      <c r="M185" s="8"/>
      <c r="N185" s="52"/>
    </row>
    <row r="186" spans="1:14" ht="12.75">
      <c r="A186" s="71" t="s">
        <v>114</v>
      </c>
      <c r="B186" s="51"/>
      <c r="C186" s="7">
        <v>2571.5</v>
      </c>
      <c r="D186" s="8"/>
      <c r="E186" s="50">
        <f>B186+C186+D186</f>
        <v>2571.5</v>
      </c>
      <c r="F186" s="51"/>
      <c r="G186" s="17"/>
      <c r="H186" s="14">
        <f>E186+F186+G186</f>
        <v>2571.5</v>
      </c>
      <c r="I186" s="8"/>
      <c r="J186" s="7">
        <v>-1571.5</v>
      </c>
      <c r="K186" s="50">
        <f>H186+I186+J186</f>
        <v>1000</v>
      </c>
      <c r="L186" s="51"/>
      <c r="M186" s="8"/>
      <c r="N186" s="50">
        <f>K186+L186+M186</f>
        <v>1000</v>
      </c>
    </row>
    <row r="187" spans="1:14" ht="12.75">
      <c r="A187" s="71" t="s">
        <v>274</v>
      </c>
      <c r="B187" s="51"/>
      <c r="C187" s="7"/>
      <c r="D187" s="8"/>
      <c r="E187" s="50"/>
      <c r="F187" s="51"/>
      <c r="G187" s="17"/>
      <c r="H187" s="14">
        <f>E187+F187+G187</f>
        <v>0</v>
      </c>
      <c r="I187" s="7">
        <v>1699.4</v>
      </c>
      <c r="J187" s="8"/>
      <c r="K187" s="50">
        <f>H187+I187+J187</f>
        <v>1699.4</v>
      </c>
      <c r="L187" s="51"/>
      <c r="M187" s="8"/>
      <c r="N187" s="50">
        <f>K187+L187+M187</f>
        <v>1699.4</v>
      </c>
    </row>
    <row r="188" spans="1:14" ht="12.75">
      <c r="A188" s="82" t="s">
        <v>84</v>
      </c>
      <c r="B188" s="53">
        <v>5000</v>
      </c>
      <c r="C188" s="10">
        <f>1665+10000</f>
        <v>11665</v>
      </c>
      <c r="D188" s="10"/>
      <c r="E188" s="54">
        <f>B188+C188+D188</f>
        <v>16665</v>
      </c>
      <c r="F188" s="53"/>
      <c r="G188" s="16"/>
      <c r="H188" s="160">
        <f>E188+F188+G188</f>
        <v>16665</v>
      </c>
      <c r="I188" s="10">
        <v>-1791.6</v>
      </c>
      <c r="J188" s="10">
        <v>370.5</v>
      </c>
      <c r="K188" s="54">
        <f>H188+I188+J188</f>
        <v>15243.9</v>
      </c>
      <c r="L188" s="53">
        <f>-1500+1791.6+2382</f>
        <v>2673.6</v>
      </c>
      <c r="M188" s="10"/>
      <c r="N188" s="54">
        <f>K188+L188+M188</f>
        <v>17917.5</v>
      </c>
    </row>
    <row r="189" spans="1:14" ht="12.75">
      <c r="A189" s="68" t="s">
        <v>121</v>
      </c>
      <c r="B189" s="47">
        <f aca="true" t="shared" si="58" ref="B189:N189">B190+B228</f>
        <v>307292</v>
      </c>
      <c r="C189" s="6">
        <f t="shared" si="58"/>
        <v>91163.00000000003</v>
      </c>
      <c r="D189" s="6">
        <f t="shared" si="58"/>
        <v>-69270.6</v>
      </c>
      <c r="E189" s="48">
        <f t="shared" si="58"/>
        <v>329184.4</v>
      </c>
      <c r="F189" s="47">
        <f t="shared" si="58"/>
        <v>23356.5</v>
      </c>
      <c r="G189" s="120">
        <f t="shared" si="58"/>
        <v>-26600</v>
      </c>
      <c r="H189" s="157">
        <f t="shared" si="58"/>
        <v>325940.9</v>
      </c>
      <c r="I189" s="6">
        <f t="shared" si="58"/>
        <v>1626.9999999999995</v>
      </c>
      <c r="J189" s="6">
        <f t="shared" si="58"/>
        <v>1610</v>
      </c>
      <c r="K189" s="48">
        <f t="shared" si="58"/>
        <v>329177.9</v>
      </c>
      <c r="L189" s="47">
        <f t="shared" si="58"/>
        <v>56437</v>
      </c>
      <c r="M189" s="6">
        <f t="shared" si="58"/>
        <v>0</v>
      </c>
      <c r="N189" s="48">
        <f t="shared" si="58"/>
        <v>385614.9</v>
      </c>
    </row>
    <row r="190" spans="1:14" ht="12.75">
      <c r="A190" s="77" t="s">
        <v>77</v>
      </c>
      <c r="B190" s="57">
        <f aca="true" t="shared" si="59" ref="B190:N190">SUM(B192:B218)+B220</f>
        <v>164124.4</v>
      </c>
      <c r="C190" s="12">
        <f t="shared" si="59"/>
        <v>131261.80000000002</v>
      </c>
      <c r="D190" s="12">
        <f t="shared" si="59"/>
        <v>-19957.9</v>
      </c>
      <c r="E190" s="58">
        <f t="shared" si="59"/>
        <v>275428.3</v>
      </c>
      <c r="F190" s="57">
        <f t="shared" si="59"/>
        <v>11638.2</v>
      </c>
      <c r="G190" s="122">
        <f t="shared" si="59"/>
        <v>-28983.4</v>
      </c>
      <c r="H190" s="159">
        <f t="shared" si="59"/>
        <v>258083.10000000003</v>
      </c>
      <c r="I190" s="12">
        <f t="shared" si="59"/>
        <v>-740.9</v>
      </c>
      <c r="J190" s="12">
        <f t="shared" si="59"/>
        <v>-3390</v>
      </c>
      <c r="K190" s="58">
        <f t="shared" si="59"/>
        <v>253952.2</v>
      </c>
      <c r="L190" s="57">
        <f t="shared" si="59"/>
        <v>26705.7</v>
      </c>
      <c r="M190" s="12">
        <f t="shared" si="59"/>
        <v>0</v>
      </c>
      <c r="N190" s="58">
        <f t="shared" si="59"/>
        <v>280657.9</v>
      </c>
    </row>
    <row r="191" spans="1:14" ht="12.75">
      <c r="A191" s="69" t="s">
        <v>47</v>
      </c>
      <c r="B191" s="51"/>
      <c r="C191" s="8"/>
      <c r="D191" s="8"/>
      <c r="E191" s="52"/>
      <c r="F191" s="51"/>
      <c r="G191" s="17"/>
      <c r="H191" s="110"/>
      <c r="I191" s="8"/>
      <c r="J191" s="8"/>
      <c r="K191" s="52"/>
      <c r="L191" s="51"/>
      <c r="M191" s="8"/>
      <c r="N191" s="52"/>
    </row>
    <row r="192" spans="1:14" ht="12.75">
      <c r="A192" s="71" t="s">
        <v>80</v>
      </c>
      <c r="B192" s="49">
        <v>3994</v>
      </c>
      <c r="C192" s="7"/>
      <c r="D192" s="7"/>
      <c r="E192" s="50">
        <f>B192+C192+D192</f>
        <v>3994</v>
      </c>
      <c r="F192" s="49"/>
      <c r="G192" s="101"/>
      <c r="H192" s="14">
        <f>E192+F192+G192</f>
        <v>3994</v>
      </c>
      <c r="I192" s="9"/>
      <c r="J192" s="7"/>
      <c r="K192" s="50">
        <f>H192+I192+J192</f>
        <v>3994</v>
      </c>
      <c r="L192" s="49"/>
      <c r="M192" s="7"/>
      <c r="N192" s="50">
        <f>K192+L192+M192</f>
        <v>3994</v>
      </c>
    </row>
    <row r="193" spans="1:14" ht="12.75">
      <c r="A193" s="71" t="s">
        <v>242</v>
      </c>
      <c r="B193" s="49">
        <v>6000</v>
      </c>
      <c r="C193" s="7">
        <v>-280</v>
      </c>
      <c r="D193" s="7"/>
      <c r="E193" s="50">
        <f aca="true" t="shared" si="60" ref="E193:E227">B193+C193+D193</f>
        <v>5720</v>
      </c>
      <c r="F193" s="49"/>
      <c r="G193" s="101"/>
      <c r="H193" s="14">
        <f aca="true" t="shared" si="61" ref="H193:H220">E193+F193+G193</f>
        <v>5720</v>
      </c>
      <c r="I193" s="7"/>
      <c r="J193" s="7"/>
      <c r="K193" s="50">
        <f aca="true" t="shared" si="62" ref="K193:K227">H193+I193+J193</f>
        <v>5720</v>
      </c>
      <c r="L193" s="49"/>
      <c r="M193" s="7"/>
      <c r="N193" s="50">
        <f aca="true" t="shared" si="63" ref="N193:N220">K193+L193+M193</f>
        <v>5720</v>
      </c>
    </row>
    <row r="194" spans="1:14" ht="12.75">
      <c r="A194" s="80" t="s">
        <v>122</v>
      </c>
      <c r="B194" s="49">
        <v>1300</v>
      </c>
      <c r="C194" s="7"/>
      <c r="D194" s="7"/>
      <c r="E194" s="50">
        <f t="shared" si="60"/>
        <v>1300</v>
      </c>
      <c r="F194" s="49"/>
      <c r="G194" s="101"/>
      <c r="H194" s="14">
        <f t="shared" si="61"/>
        <v>1300</v>
      </c>
      <c r="I194" s="7"/>
      <c r="J194" s="7"/>
      <c r="K194" s="50">
        <f t="shared" si="62"/>
        <v>1300</v>
      </c>
      <c r="L194" s="49"/>
      <c r="M194" s="7"/>
      <c r="N194" s="50">
        <f t="shared" si="63"/>
        <v>1300</v>
      </c>
    </row>
    <row r="195" spans="1:14" ht="12.75">
      <c r="A195" s="69" t="s">
        <v>289</v>
      </c>
      <c r="B195" s="49"/>
      <c r="C195" s="7">
        <v>22988</v>
      </c>
      <c r="D195" s="7"/>
      <c r="E195" s="50">
        <f t="shared" si="60"/>
        <v>22988</v>
      </c>
      <c r="F195" s="49"/>
      <c r="G195" s="101"/>
      <c r="H195" s="14">
        <f t="shared" si="61"/>
        <v>22988</v>
      </c>
      <c r="I195" s="7"/>
      <c r="J195" s="7"/>
      <c r="K195" s="50">
        <f>H195+I195+J195</f>
        <v>22988</v>
      </c>
      <c r="L195" s="49"/>
      <c r="M195" s="7"/>
      <c r="N195" s="50">
        <f t="shared" si="63"/>
        <v>22988</v>
      </c>
    </row>
    <row r="196" spans="1:14" ht="12.75">
      <c r="A196" s="69" t="s">
        <v>288</v>
      </c>
      <c r="B196" s="49"/>
      <c r="C196" s="7"/>
      <c r="D196" s="7"/>
      <c r="E196" s="50"/>
      <c r="F196" s="49"/>
      <c r="G196" s="101"/>
      <c r="H196" s="14"/>
      <c r="I196" s="7"/>
      <c r="J196" s="7"/>
      <c r="K196" s="50">
        <f>H196+I196+J196</f>
        <v>0</v>
      </c>
      <c r="L196" s="49">
        <v>347.4</v>
      </c>
      <c r="M196" s="7"/>
      <c r="N196" s="50">
        <f t="shared" si="63"/>
        <v>347.4</v>
      </c>
    </row>
    <row r="197" spans="1:14" ht="12.75">
      <c r="A197" s="69" t="s">
        <v>237</v>
      </c>
      <c r="B197" s="49"/>
      <c r="C197" s="7">
        <v>84.9</v>
      </c>
      <c r="D197" s="7"/>
      <c r="E197" s="50">
        <f t="shared" si="60"/>
        <v>84.9</v>
      </c>
      <c r="F197" s="49">
        <f>176.3+10.3</f>
        <v>186.60000000000002</v>
      </c>
      <c r="G197" s="101"/>
      <c r="H197" s="14">
        <f t="shared" si="61"/>
        <v>271.5</v>
      </c>
      <c r="I197" s="7"/>
      <c r="J197" s="7"/>
      <c r="K197" s="50">
        <f t="shared" si="62"/>
        <v>271.5</v>
      </c>
      <c r="L197" s="49">
        <f>8.9+152.1</f>
        <v>161</v>
      </c>
      <c r="M197" s="7"/>
      <c r="N197" s="50">
        <f t="shared" si="63"/>
        <v>432.5</v>
      </c>
    </row>
    <row r="198" spans="1:14" ht="12.75">
      <c r="A198" s="69" t="s">
        <v>263</v>
      </c>
      <c r="B198" s="49"/>
      <c r="C198" s="7">
        <f>141.6+1094</f>
        <v>1235.6</v>
      </c>
      <c r="D198" s="7"/>
      <c r="E198" s="50">
        <f t="shared" si="60"/>
        <v>1235.6</v>
      </c>
      <c r="F198" s="49"/>
      <c r="G198" s="101"/>
      <c r="H198" s="14">
        <f t="shared" si="61"/>
        <v>1235.6</v>
      </c>
      <c r="I198" s="7"/>
      <c r="J198" s="7"/>
      <c r="K198" s="50">
        <f t="shared" si="62"/>
        <v>1235.6</v>
      </c>
      <c r="L198" s="49"/>
      <c r="M198" s="7"/>
      <c r="N198" s="50">
        <f t="shared" si="63"/>
        <v>1235.6</v>
      </c>
    </row>
    <row r="199" spans="1:14" ht="12.75">
      <c r="A199" s="80" t="s">
        <v>238</v>
      </c>
      <c r="B199" s="49"/>
      <c r="C199" s="7"/>
      <c r="D199" s="7"/>
      <c r="E199" s="50">
        <f t="shared" si="60"/>
        <v>0</v>
      </c>
      <c r="F199" s="49">
        <v>1637.3</v>
      </c>
      <c r="G199" s="101"/>
      <c r="H199" s="14">
        <f t="shared" si="61"/>
        <v>1637.3</v>
      </c>
      <c r="I199" s="7">
        <v>26.7</v>
      </c>
      <c r="J199" s="7"/>
      <c r="K199" s="50">
        <f t="shared" si="62"/>
        <v>1664</v>
      </c>
      <c r="L199" s="49">
        <v>1756.2</v>
      </c>
      <c r="M199" s="7"/>
      <c r="N199" s="50">
        <f t="shared" si="63"/>
        <v>3420.2</v>
      </c>
    </row>
    <row r="200" spans="1:14" ht="12.75">
      <c r="A200" s="80" t="s">
        <v>264</v>
      </c>
      <c r="B200" s="49"/>
      <c r="C200" s="7">
        <v>106.7</v>
      </c>
      <c r="D200" s="7"/>
      <c r="E200" s="50">
        <f t="shared" si="60"/>
        <v>106.7</v>
      </c>
      <c r="F200" s="49"/>
      <c r="G200" s="101"/>
      <c r="H200" s="14">
        <f t="shared" si="61"/>
        <v>106.7</v>
      </c>
      <c r="I200" s="7"/>
      <c r="J200" s="7"/>
      <c r="K200" s="50">
        <f t="shared" si="62"/>
        <v>106.7</v>
      </c>
      <c r="L200" s="49"/>
      <c r="M200" s="7"/>
      <c r="N200" s="50">
        <f t="shared" si="63"/>
        <v>106.7</v>
      </c>
    </row>
    <row r="201" spans="1:14" ht="12.75">
      <c r="A201" s="81" t="s">
        <v>239</v>
      </c>
      <c r="B201" s="53"/>
      <c r="C201" s="10"/>
      <c r="D201" s="10"/>
      <c r="E201" s="54">
        <f t="shared" si="60"/>
        <v>0</v>
      </c>
      <c r="F201" s="53">
        <v>196.7</v>
      </c>
      <c r="G201" s="16"/>
      <c r="H201" s="160">
        <f t="shared" si="61"/>
        <v>196.7</v>
      </c>
      <c r="I201" s="10"/>
      <c r="J201" s="10"/>
      <c r="K201" s="54">
        <f t="shared" si="62"/>
        <v>196.7</v>
      </c>
      <c r="L201" s="160">
        <v>139.9</v>
      </c>
      <c r="M201" s="10"/>
      <c r="N201" s="54">
        <f t="shared" si="63"/>
        <v>336.6</v>
      </c>
    </row>
    <row r="202" spans="1:14" ht="12.75">
      <c r="A202" s="69" t="s">
        <v>265</v>
      </c>
      <c r="B202" s="49"/>
      <c r="C202" s="7">
        <v>246.6</v>
      </c>
      <c r="D202" s="7"/>
      <c r="E202" s="50">
        <f t="shared" si="60"/>
        <v>246.6</v>
      </c>
      <c r="F202" s="49"/>
      <c r="G202" s="101"/>
      <c r="H202" s="14">
        <f t="shared" si="61"/>
        <v>246.6</v>
      </c>
      <c r="I202" s="7"/>
      <c r="J202" s="7"/>
      <c r="K202" s="50">
        <f t="shared" si="62"/>
        <v>246.6</v>
      </c>
      <c r="L202" s="49"/>
      <c r="M202" s="7"/>
      <c r="N202" s="50">
        <f t="shared" si="63"/>
        <v>246.6</v>
      </c>
    </row>
    <row r="203" spans="1:14" ht="12.75">
      <c r="A203" s="80" t="s">
        <v>240</v>
      </c>
      <c r="B203" s="49"/>
      <c r="C203" s="7"/>
      <c r="D203" s="7"/>
      <c r="E203" s="50">
        <f t="shared" si="60"/>
        <v>0</v>
      </c>
      <c r="F203" s="49">
        <v>23.3</v>
      </c>
      <c r="G203" s="101"/>
      <c r="H203" s="14">
        <f t="shared" si="61"/>
        <v>23.3</v>
      </c>
      <c r="I203" s="7"/>
      <c r="J203" s="7"/>
      <c r="K203" s="50">
        <f t="shared" si="62"/>
        <v>23.3</v>
      </c>
      <c r="L203" s="14">
        <v>38.7</v>
      </c>
      <c r="M203" s="7"/>
      <c r="N203" s="50">
        <f t="shared" si="63"/>
        <v>62</v>
      </c>
    </row>
    <row r="204" spans="1:14" ht="12.75" hidden="1">
      <c r="A204" s="70" t="s">
        <v>123</v>
      </c>
      <c r="B204" s="49"/>
      <c r="C204" s="7"/>
      <c r="D204" s="7"/>
      <c r="E204" s="50">
        <f t="shared" si="60"/>
        <v>0</v>
      </c>
      <c r="F204" s="49"/>
      <c r="G204" s="101"/>
      <c r="H204" s="14">
        <f t="shared" si="61"/>
        <v>0</v>
      </c>
      <c r="I204" s="7"/>
      <c r="J204" s="7"/>
      <c r="K204" s="50">
        <f t="shared" si="62"/>
        <v>0</v>
      </c>
      <c r="L204" s="49"/>
      <c r="M204" s="7"/>
      <c r="N204" s="50">
        <f t="shared" si="63"/>
        <v>0</v>
      </c>
    </row>
    <row r="205" spans="1:14" ht="12.75" hidden="1">
      <c r="A205" s="70" t="s">
        <v>124</v>
      </c>
      <c r="B205" s="49"/>
      <c r="C205" s="7"/>
      <c r="D205" s="7"/>
      <c r="E205" s="50">
        <f t="shared" si="60"/>
        <v>0</v>
      </c>
      <c r="F205" s="49"/>
      <c r="G205" s="101"/>
      <c r="H205" s="14">
        <f t="shared" si="61"/>
        <v>0</v>
      </c>
      <c r="I205" s="7"/>
      <c r="J205" s="7"/>
      <c r="K205" s="50">
        <f t="shared" si="62"/>
        <v>0</v>
      </c>
      <c r="L205" s="49"/>
      <c r="M205" s="7"/>
      <c r="N205" s="50">
        <f t="shared" si="63"/>
        <v>0</v>
      </c>
    </row>
    <row r="206" spans="1:14" ht="12.75" hidden="1">
      <c r="A206" s="80" t="s">
        <v>125</v>
      </c>
      <c r="B206" s="49"/>
      <c r="C206" s="7"/>
      <c r="D206" s="7"/>
      <c r="E206" s="50">
        <f t="shared" si="60"/>
        <v>0</v>
      </c>
      <c r="F206" s="49"/>
      <c r="G206" s="101"/>
      <c r="H206" s="14">
        <f t="shared" si="61"/>
        <v>0</v>
      </c>
      <c r="I206" s="7"/>
      <c r="J206" s="7"/>
      <c r="K206" s="50">
        <f t="shared" si="62"/>
        <v>0</v>
      </c>
      <c r="L206" s="49"/>
      <c r="M206" s="7"/>
      <c r="N206" s="50">
        <f t="shared" si="63"/>
        <v>0</v>
      </c>
    </row>
    <row r="207" spans="1:14" ht="12.75">
      <c r="A207" s="80" t="s">
        <v>224</v>
      </c>
      <c r="B207" s="49"/>
      <c r="C207" s="7">
        <v>68713.2</v>
      </c>
      <c r="D207" s="7"/>
      <c r="E207" s="50">
        <f t="shared" si="60"/>
        <v>68713.2</v>
      </c>
      <c r="F207" s="49"/>
      <c r="G207" s="101"/>
      <c r="H207" s="14">
        <f t="shared" si="61"/>
        <v>68713.2</v>
      </c>
      <c r="I207" s="7"/>
      <c r="J207" s="7"/>
      <c r="K207" s="50">
        <f t="shared" si="62"/>
        <v>68713.2</v>
      </c>
      <c r="L207" s="49">
        <v>73.5</v>
      </c>
      <c r="M207" s="7"/>
      <c r="N207" s="50">
        <f t="shared" si="63"/>
        <v>68786.7</v>
      </c>
    </row>
    <row r="208" spans="1:14" ht="12.75">
      <c r="A208" s="71" t="s">
        <v>287</v>
      </c>
      <c r="B208" s="49"/>
      <c r="C208" s="7"/>
      <c r="D208" s="7"/>
      <c r="E208" s="50"/>
      <c r="F208" s="49"/>
      <c r="G208" s="101"/>
      <c r="H208" s="14"/>
      <c r="I208" s="7"/>
      <c r="J208" s="7"/>
      <c r="K208" s="50">
        <f t="shared" si="62"/>
        <v>0</v>
      </c>
      <c r="L208" s="49">
        <f>7834.7+5665.9</f>
        <v>13500.599999999999</v>
      </c>
      <c r="M208" s="7"/>
      <c r="N208" s="50">
        <f t="shared" si="63"/>
        <v>13500.599999999999</v>
      </c>
    </row>
    <row r="209" spans="1:14" ht="12.75">
      <c r="A209" s="80" t="s">
        <v>225</v>
      </c>
      <c r="B209" s="49"/>
      <c r="C209" s="7">
        <v>27929.3</v>
      </c>
      <c r="D209" s="7"/>
      <c r="E209" s="50">
        <f t="shared" si="60"/>
        <v>27929.3</v>
      </c>
      <c r="F209" s="49"/>
      <c r="G209" s="101"/>
      <c r="H209" s="14">
        <f t="shared" si="61"/>
        <v>27929.3</v>
      </c>
      <c r="I209" s="7"/>
      <c r="J209" s="7"/>
      <c r="K209" s="50">
        <f t="shared" si="62"/>
        <v>27929.3</v>
      </c>
      <c r="L209" s="49"/>
      <c r="M209" s="7"/>
      <c r="N209" s="50">
        <f t="shared" si="63"/>
        <v>27929.3</v>
      </c>
    </row>
    <row r="210" spans="1:14" ht="12.75">
      <c r="A210" s="80" t="s">
        <v>282</v>
      </c>
      <c r="B210" s="49"/>
      <c r="C210" s="7"/>
      <c r="D210" s="7"/>
      <c r="E210" s="50"/>
      <c r="F210" s="49"/>
      <c r="G210" s="101"/>
      <c r="H210" s="14"/>
      <c r="I210" s="7"/>
      <c r="J210" s="7"/>
      <c r="K210" s="50">
        <f t="shared" si="62"/>
        <v>0</v>
      </c>
      <c r="L210" s="14">
        <f>1871.1+4558.1</f>
        <v>6429.200000000001</v>
      </c>
      <c r="M210" s="7"/>
      <c r="N210" s="50">
        <f t="shared" si="63"/>
        <v>6429.200000000001</v>
      </c>
    </row>
    <row r="211" spans="1:14" ht="12.75">
      <c r="A211" s="80" t="s">
        <v>226</v>
      </c>
      <c r="B211" s="49"/>
      <c r="C211" s="7">
        <v>34281.8</v>
      </c>
      <c r="D211" s="7"/>
      <c r="E211" s="50">
        <f t="shared" si="60"/>
        <v>34281.8</v>
      </c>
      <c r="F211" s="49"/>
      <c r="G211" s="101"/>
      <c r="H211" s="14">
        <f t="shared" si="61"/>
        <v>34281.8</v>
      </c>
      <c r="I211" s="7"/>
      <c r="J211" s="7"/>
      <c r="K211" s="50">
        <f t="shared" si="62"/>
        <v>34281.8</v>
      </c>
      <c r="L211" s="14"/>
      <c r="M211" s="7"/>
      <c r="N211" s="50">
        <f t="shared" si="63"/>
        <v>34281.8</v>
      </c>
    </row>
    <row r="212" spans="1:14" ht="12.75">
      <c r="A212" s="80" t="s">
        <v>283</v>
      </c>
      <c r="B212" s="49"/>
      <c r="C212" s="7"/>
      <c r="D212" s="7"/>
      <c r="E212" s="50"/>
      <c r="F212" s="49"/>
      <c r="G212" s="101"/>
      <c r="H212" s="14"/>
      <c r="I212" s="7"/>
      <c r="J212" s="7"/>
      <c r="K212" s="50">
        <f t="shared" si="62"/>
        <v>0</v>
      </c>
      <c r="L212" s="14">
        <f>2606+2089.9</f>
        <v>4695.9</v>
      </c>
      <c r="M212" s="7"/>
      <c r="N212" s="50">
        <f t="shared" si="63"/>
        <v>4695.9</v>
      </c>
    </row>
    <row r="213" spans="1:14" ht="12.75">
      <c r="A213" s="71" t="s">
        <v>227</v>
      </c>
      <c r="B213" s="49"/>
      <c r="C213" s="7">
        <v>277.2</v>
      </c>
      <c r="D213" s="7"/>
      <c r="E213" s="50">
        <f t="shared" si="60"/>
        <v>277.2</v>
      </c>
      <c r="F213" s="49"/>
      <c r="G213" s="101"/>
      <c r="H213" s="14">
        <f t="shared" si="61"/>
        <v>277.2</v>
      </c>
      <c r="I213" s="7"/>
      <c r="J213" s="7"/>
      <c r="K213" s="50">
        <f t="shared" si="62"/>
        <v>277.2</v>
      </c>
      <c r="L213" s="49"/>
      <c r="M213" s="7"/>
      <c r="N213" s="50">
        <f t="shared" si="63"/>
        <v>277.2</v>
      </c>
    </row>
    <row r="214" spans="1:14" ht="12.75">
      <c r="A214" s="71" t="s">
        <v>126</v>
      </c>
      <c r="B214" s="49"/>
      <c r="C214" s="7"/>
      <c r="D214" s="7"/>
      <c r="E214" s="50">
        <f t="shared" si="60"/>
        <v>0</v>
      </c>
      <c r="F214" s="49">
        <v>141.7</v>
      </c>
      <c r="G214" s="101"/>
      <c r="H214" s="14">
        <f t="shared" si="61"/>
        <v>141.7</v>
      </c>
      <c r="I214" s="7"/>
      <c r="J214" s="7"/>
      <c r="K214" s="50">
        <f t="shared" si="62"/>
        <v>141.7</v>
      </c>
      <c r="L214" s="49"/>
      <c r="M214" s="7"/>
      <c r="N214" s="50">
        <f t="shared" si="63"/>
        <v>141.7</v>
      </c>
    </row>
    <row r="215" spans="1:14" ht="12.75" hidden="1">
      <c r="A215" s="71" t="s">
        <v>127</v>
      </c>
      <c r="B215" s="49"/>
      <c r="C215" s="7"/>
      <c r="D215" s="7"/>
      <c r="E215" s="50">
        <f t="shared" si="60"/>
        <v>0</v>
      </c>
      <c r="F215" s="49"/>
      <c r="G215" s="101"/>
      <c r="H215" s="14">
        <f t="shared" si="61"/>
        <v>0</v>
      </c>
      <c r="I215" s="7"/>
      <c r="J215" s="7"/>
      <c r="K215" s="50">
        <f t="shared" si="62"/>
        <v>0</v>
      </c>
      <c r="L215" s="49"/>
      <c r="M215" s="7"/>
      <c r="N215" s="50">
        <f t="shared" si="63"/>
        <v>0</v>
      </c>
    </row>
    <row r="216" spans="1:14" ht="12.75">
      <c r="A216" s="71" t="s">
        <v>275</v>
      </c>
      <c r="B216" s="49"/>
      <c r="C216" s="7"/>
      <c r="D216" s="7"/>
      <c r="E216" s="50"/>
      <c r="F216" s="49"/>
      <c r="G216" s="101"/>
      <c r="H216" s="14">
        <f t="shared" si="61"/>
        <v>0</v>
      </c>
      <c r="I216" s="7">
        <v>21.4</v>
      </c>
      <c r="J216" s="7"/>
      <c r="K216" s="50">
        <f t="shared" si="62"/>
        <v>21.4</v>
      </c>
      <c r="L216" s="49"/>
      <c r="M216" s="7"/>
      <c r="N216" s="50">
        <f t="shared" si="63"/>
        <v>21.4</v>
      </c>
    </row>
    <row r="217" spans="1:14" ht="12.75">
      <c r="A217" s="71" t="s">
        <v>128</v>
      </c>
      <c r="B217" s="49">
        <v>13000</v>
      </c>
      <c r="C217" s="7">
        <v>13000</v>
      </c>
      <c r="D217" s="7">
        <f>-13000</f>
        <v>-13000</v>
      </c>
      <c r="E217" s="50">
        <f t="shared" si="60"/>
        <v>13000</v>
      </c>
      <c r="F217" s="49">
        <v>-13000</v>
      </c>
      <c r="G217" s="101"/>
      <c r="H217" s="14">
        <f t="shared" si="61"/>
        <v>0</v>
      </c>
      <c r="I217" s="7"/>
      <c r="J217" s="7"/>
      <c r="K217" s="50">
        <f t="shared" si="62"/>
        <v>0</v>
      </c>
      <c r="L217" s="49"/>
      <c r="M217" s="7"/>
      <c r="N217" s="50">
        <f t="shared" si="63"/>
        <v>0</v>
      </c>
    </row>
    <row r="218" spans="1:14" ht="12.75">
      <c r="A218" s="71" t="s">
        <v>114</v>
      </c>
      <c r="B218" s="49">
        <v>79730.4</v>
      </c>
      <c r="C218" s="7">
        <f>-2520-4000-699.1+14555-50573.4</f>
        <v>-43237.5</v>
      </c>
      <c r="D218" s="7">
        <f>-4457.9-500</f>
        <v>-4957.9</v>
      </c>
      <c r="E218" s="50">
        <f t="shared" si="60"/>
        <v>31534.999999999993</v>
      </c>
      <c r="F218" s="49">
        <f>14669.7+770</f>
        <v>15439.7</v>
      </c>
      <c r="G218" s="101">
        <v>150</v>
      </c>
      <c r="H218" s="14">
        <f t="shared" si="61"/>
        <v>47124.7</v>
      </c>
      <c r="I218" s="7">
        <v>11</v>
      </c>
      <c r="J218" s="7">
        <v>-390</v>
      </c>
      <c r="K218" s="50">
        <f t="shared" si="62"/>
        <v>46745.7</v>
      </c>
      <c r="L218" s="66">
        <v>729.8</v>
      </c>
      <c r="M218" s="7"/>
      <c r="N218" s="50">
        <f t="shared" si="63"/>
        <v>47475.5</v>
      </c>
    </row>
    <row r="219" spans="1:14" ht="12.75">
      <c r="A219" s="71" t="s">
        <v>228</v>
      </c>
      <c r="B219" s="49"/>
      <c r="C219" s="7">
        <v>12572.2</v>
      </c>
      <c r="D219" s="7">
        <v>-500</v>
      </c>
      <c r="E219" s="50">
        <f t="shared" si="60"/>
        <v>12072.2</v>
      </c>
      <c r="F219" s="49">
        <f>14669.7-2220</f>
        <v>12449.7</v>
      </c>
      <c r="G219" s="101"/>
      <c r="H219" s="14">
        <f t="shared" si="61"/>
        <v>24521.9</v>
      </c>
      <c r="I219" s="7"/>
      <c r="J219" s="7">
        <v>-390</v>
      </c>
      <c r="K219" s="50">
        <f t="shared" si="62"/>
        <v>24131.9</v>
      </c>
      <c r="L219" s="49">
        <v>729.8</v>
      </c>
      <c r="M219" s="7"/>
      <c r="N219" s="50">
        <f t="shared" si="63"/>
        <v>24861.7</v>
      </c>
    </row>
    <row r="220" spans="1:14" ht="12.75">
      <c r="A220" s="71" t="s">
        <v>99</v>
      </c>
      <c r="B220" s="49">
        <f>SUM(B221:B227)</f>
        <v>60100</v>
      </c>
      <c r="C220" s="101">
        <f>SUM(C221:C227)</f>
        <v>5916</v>
      </c>
      <c r="D220" s="101">
        <f>SUM(D221:D227)</f>
        <v>-2000</v>
      </c>
      <c r="E220" s="50">
        <f t="shared" si="60"/>
        <v>64016</v>
      </c>
      <c r="F220" s="49">
        <f>SUM(F221:F227)</f>
        <v>7012.9</v>
      </c>
      <c r="G220" s="101">
        <f>SUM(G221:G227)</f>
        <v>-29133.4</v>
      </c>
      <c r="H220" s="14">
        <f t="shared" si="61"/>
        <v>41895.49999999999</v>
      </c>
      <c r="I220" s="7">
        <f>SUM(I221:I227)</f>
        <v>-800</v>
      </c>
      <c r="J220" s="7">
        <f>SUM(J221:J227)</f>
        <v>-3000</v>
      </c>
      <c r="K220" s="50">
        <f t="shared" si="62"/>
        <v>38095.49999999999</v>
      </c>
      <c r="L220" s="49">
        <f>SUM(L221:L227)</f>
        <v>-1166.5</v>
      </c>
      <c r="M220" s="7"/>
      <c r="N220" s="50">
        <f t="shared" si="63"/>
        <v>36928.99999999999</v>
      </c>
    </row>
    <row r="221" spans="1:14" ht="12.75">
      <c r="A221" s="71" t="s">
        <v>229</v>
      </c>
      <c r="B221" s="49">
        <v>7500</v>
      </c>
      <c r="C221" s="7"/>
      <c r="D221" s="7"/>
      <c r="E221" s="50">
        <f t="shared" si="60"/>
        <v>7500</v>
      </c>
      <c r="F221" s="49"/>
      <c r="G221" s="101">
        <v>-2533.4</v>
      </c>
      <c r="H221" s="14">
        <f aca="true" t="shared" si="64" ref="H221:H227">SUM(E221:G221)</f>
        <v>4966.6</v>
      </c>
      <c r="I221" s="7"/>
      <c r="J221" s="7"/>
      <c r="K221" s="50">
        <f t="shared" si="62"/>
        <v>4966.6</v>
      </c>
      <c r="L221" s="49"/>
      <c r="M221" s="7"/>
      <c r="N221" s="50">
        <f aca="true" t="shared" si="65" ref="N221:N227">SUM(K221:M221)</f>
        <v>4966.6</v>
      </c>
    </row>
    <row r="222" spans="1:14" ht="12.75">
      <c r="A222" s="71" t="s">
        <v>129</v>
      </c>
      <c r="B222" s="49">
        <v>6500</v>
      </c>
      <c r="C222" s="7"/>
      <c r="D222" s="7"/>
      <c r="E222" s="50">
        <f t="shared" si="60"/>
        <v>6500</v>
      </c>
      <c r="F222" s="49"/>
      <c r="G222" s="101"/>
      <c r="H222" s="14">
        <f t="shared" si="64"/>
        <v>6500</v>
      </c>
      <c r="I222" s="7"/>
      <c r="J222" s="7"/>
      <c r="K222" s="50">
        <f t="shared" si="62"/>
        <v>6500</v>
      </c>
      <c r="L222" s="49"/>
      <c r="M222" s="7"/>
      <c r="N222" s="50">
        <f t="shared" si="65"/>
        <v>6500</v>
      </c>
    </row>
    <row r="223" spans="1:14" ht="12.75">
      <c r="A223" s="71" t="s">
        <v>130</v>
      </c>
      <c r="B223" s="49">
        <v>2000</v>
      </c>
      <c r="C223" s="7">
        <f>810-1000</f>
        <v>-190</v>
      </c>
      <c r="D223" s="7"/>
      <c r="E223" s="50">
        <f t="shared" si="60"/>
        <v>1810</v>
      </c>
      <c r="F223" s="49">
        <v>110</v>
      </c>
      <c r="G223" s="101"/>
      <c r="H223" s="14">
        <f t="shared" si="64"/>
        <v>1920</v>
      </c>
      <c r="I223" s="7"/>
      <c r="J223" s="7"/>
      <c r="K223" s="50">
        <f t="shared" si="62"/>
        <v>1920</v>
      </c>
      <c r="L223" s="49"/>
      <c r="M223" s="7"/>
      <c r="N223" s="50">
        <f t="shared" si="65"/>
        <v>1920</v>
      </c>
    </row>
    <row r="224" spans="1:14" ht="12.75">
      <c r="A224" s="71" t="s">
        <v>131</v>
      </c>
      <c r="B224" s="49">
        <v>2000</v>
      </c>
      <c r="C224" s="7"/>
      <c r="D224" s="7"/>
      <c r="E224" s="50">
        <f t="shared" si="60"/>
        <v>2000</v>
      </c>
      <c r="F224" s="49"/>
      <c r="G224" s="101"/>
      <c r="H224" s="14">
        <f t="shared" si="64"/>
        <v>2000</v>
      </c>
      <c r="I224" s="7"/>
      <c r="J224" s="7"/>
      <c r="K224" s="50">
        <f t="shared" si="62"/>
        <v>2000</v>
      </c>
      <c r="L224" s="49"/>
      <c r="M224" s="7"/>
      <c r="N224" s="50">
        <f t="shared" si="65"/>
        <v>2000</v>
      </c>
    </row>
    <row r="225" spans="1:14" ht="12.75">
      <c r="A225" s="71" t="s">
        <v>132</v>
      </c>
      <c r="B225" s="49">
        <v>5000</v>
      </c>
      <c r="C225" s="7"/>
      <c r="D225" s="7"/>
      <c r="E225" s="50">
        <f t="shared" si="60"/>
        <v>5000</v>
      </c>
      <c r="F225" s="49">
        <v>8000</v>
      </c>
      <c r="G225" s="101"/>
      <c r="H225" s="14">
        <f t="shared" si="64"/>
        <v>13000</v>
      </c>
      <c r="I225" s="7">
        <v>700</v>
      </c>
      <c r="J225" s="7"/>
      <c r="K225" s="50">
        <f t="shared" si="62"/>
        <v>13700</v>
      </c>
      <c r="L225" s="49"/>
      <c r="M225" s="7"/>
      <c r="N225" s="50">
        <f t="shared" si="65"/>
        <v>13700</v>
      </c>
    </row>
    <row r="226" spans="1:14" ht="12.75">
      <c r="A226" s="71" t="s">
        <v>133</v>
      </c>
      <c r="B226" s="49">
        <v>26600</v>
      </c>
      <c r="C226" s="7"/>
      <c r="D226" s="7"/>
      <c r="E226" s="50">
        <f t="shared" si="60"/>
        <v>26600</v>
      </c>
      <c r="F226" s="49"/>
      <c r="G226" s="101">
        <v>-26600</v>
      </c>
      <c r="H226" s="14">
        <f t="shared" si="64"/>
        <v>0</v>
      </c>
      <c r="I226" s="7"/>
      <c r="J226" s="7"/>
      <c r="K226" s="50">
        <f t="shared" si="62"/>
        <v>0</v>
      </c>
      <c r="L226" s="49"/>
      <c r="M226" s="7"/>
      <c r="N226" s="50">
        <f t="shared" si="65"/>
        <v>0</v>
      </c>
    </row>
    <row r="227" spans="1:14" ht="12.75">
      <c r="A227" s="71" t="s">
        <v>134</v>
      </c>
      <c r="B227" s="49">
        <v>10500</v>
      </c>
      <c r="C227" s="7">
        <v>6106</v>
      </c>
      <c r="D227" s="7">
        <v>-2000</v>
      </c>
      <c r="E227" s="50">
        <f t="shared" si="60"/>
        <v>14606</v>
      </c>
      <c r="F227" s="49">
        <v>-1097.1</v>
      </c>
      <c r="G227" s="101"/>
      <c r="H227" s="14">
        <f t="shared" si="64"/>
        <v>13508.9</v>
      </c>
      <c r="I227" s="7">
        <v>-1500</v>
      </c>
      <c r="J227" s="7">
        <v>-3000</v>
      </c>
      <c r="K227" s="50">
        <f t="shared" si="62"/>
        <v>9008.9</v>
      </c>
      <c r="L227" s="49">
        <v>-1166.5</v>
      </c>
      <c r="M227" s="7"/>
      <c r="N227" s="50">
        <f t="shared" si="65"/>
        <v>7842.4</v>
      </c>
    </row>
    <row r="228" spans="1:14" ht="12.75">
      <c r="A228" s="78" t="s">
        <v>83</v>
      </c>
      <c r="B228" s="59">
        <f aca="true" t="shared" si="66" ref="B228:N228">SUM(B230:B245)</f>
        <v>143167.6</v>
      </c>
      <c r="C228" s="13">
        <f t="shared" si="66"/>
        <v>-40098.79999999999</v>
      </c>
      <c r="D228" s="13">
        <f t="shared" si="66"/>
        <v>-49312.7</v>
      </c>
      <c r="E228" s="60">
        <f t="shared" si="66"/>
        <v>53756.100000000006</v>
      </c>
      <c r="F228" s="59">
        <f t="shared" si="66"/>
        <v>11718.3</v>
      </c>
      <c r="G228" s="123">
        <f t="shared" si="66"/>
        <v>2383.4</v>
      </c>
      <c r="H228" s="142">
        <f t="shared" si="66"/>
        <v>67857.8</v>
      </c>
      <c r="I228" s="13">
        <f t="shared" si="66"/>
        <v>2367.8999999999996</v>
      </c>
      <c r="J228" s="13">
        <f t="shared" si="66"/>
        <v>5000</v>
      </c>
      <c r="K228" s="60">
        <f t="shared" si="66"/>
        <v>75225.70000000001</v>
      </c>
      <c r="L228" s="59">
        <f t="shared" si="66"/>
        <v>29731.3</v>
      </c>
      <c r="M228" s="13">
        <f t="shared" si="66"/>
        <v>0</v>
      </c>
      <c r="N228" s="60">
        <f t="shared" si="66"/>
        <v>104957</v>
      </c>
    </row>
    <row r="229" spans="1:14" ht="12.75">
      <c r="A229" s="80" t="s">
        <v>47</v>
      </c>
      <c r="B229" s="49"/>
      <c r="C229" s="7"/>
      <c r="D229" s="7"/>
      <c r="E229" s="50"/>
      <c r="F229" s="49"/>
      <c r="G229" s="101"/>
      <c r="H229" s="14"/>
      <c r="I229" s="7"/>
      <c r="J229" s="7"/>
      <c r="K229" s="50"/>
      <c r="L229" s="49"/>
      <c r="M229" s="7"/>
      <c r="N229" s="50"/>
    </row>
    <row r="230" spans="1:14" ht="12.75">
      <c r="A230" s="71" t="s">
        <v>250</v>
      </c>
      <c r="B230" s="49"/>
      <c r="C230" s="7">
        <v>280</v>
      </c>
      <c r="D230" s="7"/>
      <c r="E230" s="50">
        <f aca="true" t="shared" si="67" ref="E230:E245">B230+C230+D230</f>
        <v>280</v>
      </c>
      <c r="F230" s="49"/>
      <c r="G230" s="101"/>
      <c r="H230" s="14">
        <f aca="true" t="shared" si="68" ref="H230:H245">E230+F230+G230</f>
        <v>280</v>
      </c>
      <c r="I230" s="7"/>
      <c r="J230" s="7"/>
      <c r="K230" s="50">
        <f aca="true" t="shared" si="69" ref="K230:K245">H230+I230+J230</f>
        <v>280</v>
      </c>
      <c r="L230" s="49"/>
      <c r="M230" s="7"/>
      <c r="N230" s="50">
        <f aca="true" t="shared" si="70" ref="N230:N245">K230+L230+M230</f>
        <v>280</v>
      </c>
    </row>
    <row r="231" spans="1:14" ht="12.75" hidden="1">
      <c r="A231" s="71" t="s">
        <v>135</v>
      </c>
      <c r="B231" s="49"/>
      <c r="C231" s="7"/>
      <c r="D231" s="7"/>
      <c r="E231" s="50">
        <f t="shared" si="67"/>
        <v>0</v>
      </c>
      <c r="F231" s="49"/>
      <c r="G231" s="101"/>
      <c r="H231" s="14">
        <f t="shared" si="68"/>
        <v>0</v>
      </c>
      <c r="I231" s="7"/>
      <c r="J231" s="7"/>
      <c r="K231" s="50">
        <f t="shared" si="69"/>
        <v>0</v>
      </c>
      <c r="L231" s="49"/>
      <c r="M231" s="7"/>
      <c r="N231" s="50">
        <f t="shared" si="70"/>
        <v>0</v>
      </c>
    </row>
    <row r="232" spans="1:14" ht="12.75" hidden="1">
      <c r="A232" s="80" t="s">
        <v>125</v>
      </c>
      <c r="B232" s="49"/>
      <c r="C232" s="7"/>
      <c r="D232" s="7"/>
      <c r="E232" s="50">
        <f t="shared" si="67"/>
        <v>0</v>
      </c>
      <c r="F232" s="49"/>
      <c r="G232" s="101"/>
      <c r="H232" s="14">
        <f t="shared" si="68"/>
        <v>0</v>
      </c>
      <c r="I232" s="7"/>
      <c r="J232" s="7"/>
      <c r="K232" s="50">
        <f t="shared" si="69"/>
        <v>0</v>
      </c>
      <c r="L232" s="49"/>
      <c r="M232" s="7"/>
      <c r="N232" s="50">
        <f t="shared" si="70"/>
        <v>0</v>
      </c>
    </row>
    <row r="233" spans="1:14" ht="12.75" hidden="1">
      <c r="A233" s="70" t="s">
        <v>124</v>
      </c>
      <c r="B233" s="49"/>
      <c r="C233" s="7"/>
      <c r="D233" s="7"/>
      <c r="E233" s="50">
        <f t="shared" si="67"/>
        <v>0</v>
      </c>
      <c r="F233" s="49"/>
      <c r="G233" s="101"/>
      <c r="H233" s="14">
        <f t="shared" si="68"/>
        <v>0</v>
      </c>
      <c r="I233" s="7"/>
      <c r="J233" s="7"/>
      <c r="K233" s="50">
        <f t="shared" si="69"/>
        <v>0</v>
      </c>
      <c r="L233" s="49"/>
      <c r="M233" s="7"/>
      <c r="N233" s="50">
        <f t="shared" si="70"/>
        <v>0</v>
      </c>
    </row>
    <row r="234" spans="1:14" ht="12.75" hidden="1">
      <c r="A234" s="71" t="s">
        <v>136</v>
      </c>
      <c r="B234" s="49"/>
      <c r="C234" s="7"/>
      <c r="D234" s="7"/>
      <c r="E234" s="50">
        <f t="shared" si="67"/>
        <v>0</v>
      </c>
      <c r="F234" s="49"/>
      <c r="G234" s="101"/>
      <c r="H234" s="14">
        <f t="shared" si="68"/>
        <v>0</v>
      </c>
      <c r="I234" s="7"/>
      <c r="J234" s="7"/>
      <c r="K234" s="50">
        <f t="shared" si="69"/>
        <v>0</v>
      </c>
      <c r="L234" s="49"/>
      <c r="M234" s="7"/>
      <c r="N234" s="50">
        <f t="shared" si="70"/>
        <v>0</v>
      </c>
    </row>
    <row r="235" spans="1:14" ht="12.75">
      <c r="A235" s="80" t="s">
        <v>236</v>
      </c>
      <c r="B235" s="49"/>
      <c r="C235" s="7">
        <v>2553.7</v>
      </c>
      <c r="D235" s="7"/>
      <c r="E235" s="50">
        <f t="shared" si="67"/>
        <v>2553.7</v>
      </c>
      <c r="F235" s="49"/>
      <c r="G235" s="101"/>
      <c r="H235" s="14">
        <f t="shared" si="68"/>
        <v>2553.7</v>
      </c>
      <c r="I235" s="7"/>
      <c r="J235" s="7"/>
      <c r="K235" s="50">
        <f t="shared" si="69"/>
        <v>2553.7</v>
      </c>
      <c r="L235" s="49"/>
      <c r="M235" s="7"/>
      <c r="N235" s="50">
        <f t="shared" si="70"/>
        <v>2553.7</v>
      </c>
    </row>
    <row r="236" spans="1:14" ht="12.75">
      <c r="A236" s="69" t="s">
        <v>230</v>
      </c>
      <c r="B236" s="49"/>
      <c r="C236" s="7">
        <v>3905.4</v>
      </c>
      <c r="D236" s="7"/>
      <c r="E236" s="50">
        <f t="shared" si="67"/>
        <v>3905.4</v>
      </c>
      <c r="F236" s="49">
        <v>12.7</v>
      </c>
      <c r="G236" s="101"/>
      <c r="H236" s="14">
        <f t="shared" si="68"/>
        <v>3918.1</v>
      </c>
      <c r="I236" s="7"/>
      <c r="J236" s="7"/>
      <c r="K236" s="50">
        <f t="shared" si="69"/>
        <v>3918.1</v>
      </c>
      <c r="L236" s="49"/>
      <c r="M236" s="7"/>
      <c r="N236" s="50">
        <f t="shared" si="70"/>
        <v>3918.1</v>
      </c>
    </row>
    <row r="237" spans="1:14" ht="12.75">
      <c r="A237" s="69" t="s">
        <v>231</v>
      </c>
      <c r="B237" s="49"/>
      <c r="C237" s="7">
        <v>1962.4</v>
      </c>
      <c r="D237" s="7"/>
      <c r="E237" s="50">
        <f t="shared" si="67"/>
        <v>1962.4</v>
      </c>
      <c r="F237" s="49"/>
      <c r="G237" s="101"/>
      <c r="H237" s="14">
        <f t="shared" si="68"/>
        <v>1962.4</v>
      </c>
      <c r="I237" s="7"/>
      <c r="J237" s="7"/>
      <c r="K237" s="50">
        <f t="shared" si="69"/>
        <v>1962.4</v>
      </c>
      <c r="L237" s="49"/>
      <c r="M237" s="7"/>
      <c r="N237" s="50">
        <f t="shared" si="70"/>
        <v>1962.4</v>
      </c>
    </row>
    <row r="238" spans="1:14" ht="12.75">
      <c r="A238" s="80" t="s">
        <v>226</v>
      </c>
      <c r="B238" s="49"/>
      <c r="C238" s="7">
        <v>2367.7</v>
      </c>
      <c r="D238" s="7"/>
      <c r="E238" s="50">
        <f t="shared" si="67"/>
        <v>2367.7</v>
      </c>
      <c r="F238" s="49"/>
      <c r="G238" s="101"/>
      <c r="H238" s="14">
        <f t="shared" si="68"/>
        <v>2367.7</v>
      </c>
      <c r="I238" s="7"/>
      <c r="J238" s="7"/>
      <c r="K238" s="50">
        <f t="shared" si="69"/>
        <v>2367.7</v>
      </c>
      <c r="L238" s="49">
        <v>90</v>
      </c>
      <c r="M238" s="7"/>
      <c r="N238" s="50">
        <f t="shared" si="70"/>
        <v>2457.7</v>
      </c>
    </row>
    <row r="239" spans="1:14" ht="12.75" hidden="1">
      <c r="A239" s="71" t="s">
        <v>127</v>
      </c>
      <c r="B239" s="49"/>
      <c r="C239" s="7"/>
      <c r="D239" s="7"/>
      <c r="E239" s="50">
        <f t="shared" si="67"/>
        <v>0</v>
      </c>
      <c r="F239" s="49"/>
      <c r="G239" s="101"/>
      <c r="H239" s="14">
        <f t="shared" si="68"/>
        <v>0</v>
      </c>
      <c r="I239" s="7"/>
      <c r="J239" s="7"/>
      <c r="K239" s="50">
        <f t="shared" si="69"/>
        <v>0</v>
      </c>
      <c r="L239" s="49"/>
      <c r="M239" s="7"/>
      <c r="N239" s="50">
        <f t="shared" si="70"/>
        <v>0</v>
      </c>
    </row>
    <row r="240" spans="1:14" ht="12.75" hidden="1">
      <c r="A240" s="71" t="s">
        <v>84</v>
      </c>
      <c r="B240" s="49"/>
      <c r="C240" s="7"/>
      <c r="D240" s="7"/>
      <c r="E240" s="50">
        <f t="shared" si="67"/>
        <v>0</v>
      </c>
      <c r="F240" s="49"/>
      <c r="G240" s="101"/>
      <c r="H240" s="14">
        <f t="shared" si="68"/>
        <v>0</v>
      </c>
      <c r="I240" s="7"/>
      <c r="J240" s="7"/>
      <c r="K240" s="50">
        <f t="shared" si="69"/>
        <v>0</v>
      </c>
      <c r="L240" s="49"/>
      <c r="M240" s="7"/>
      <c r="N240" s="50">
        <f t="shared" si="70"/>
        <v>0</v>
      </c>
    </row>
    <row r="241" spans="1:14" ht="12.75" hidden="1">
      <c r="A241" s="69" t="s">
        <v>249</v>
      </c>
      <c r="B241" s="49"/>
      <c r="C241" s="7">
        <v>690</v>
      </c>
      <c r="D241" s="7"/>
      <c r="E241" s="50">
        <f t="shared" si="67"/>
        <v>690</v>
      </c>
      <c r="F241" s="49">
        <f>-110-580</f>
        <v>-690</v>
      </c>
      <c r="G241" s="101"/>
      <c r="H241" s="14">
        <f t="shared" si="68"/>
        <v>0</v>
      </c>
      <c r="I241" s="7"/>
      <c r="J241" s="7"/>
      <c r="K241" s="50">
        <f t="shared" si="69"/>
        <v>0</v>
      </c>
      <c r="L241" s="49"/>
      <c r="M241" s="7"/>
      <c r="N241" s="50">
        <f t="shared" si="70"/>
        <v>0</v>
      </c>
    </row>
    <row r="242" spans="1:14" ht="12.75">
      <c r="A242" s="69" t="s">
        <v>262</v>
      </c>
      <c r="B242" s="49"/>
      <c r="C242" s="7"/>
      <c r="D242" s="7"/>
      <c r="E242" s="50">
        <f t="shared" si="67"/>
        <v>0</v>
      </c>
      <c r="F242" s="49">
        <v>1097.1</v>
      </c>
      <c r="G242" s="101"/>
      <c r="H242" s="14">
        <f t="shared" si="68"/>
        <v>1097.1</v>
      </c>
      <c r="I242" s="7"/>
      <c r="J242" s="7"/>
      <c r="K242" s="50">
        <f t="shared" si="69"/>
        <v>1097.1</v>
      </c>
      <c r="L242" s="49">
        <v>1166.5</v>
      </c>
      <c r="M242" s="7"/>
      <c r="N242" s="50">
        <f t="shared" si="70"/>
        <v>2263.6</v>
      </c>
    </row>
    <row r="243" spans="1:14" ht="12.75">
      <c r="A243" s="69" t="s">
        <v>294</v>
      </c>
      <c r="B243" s="49"/>
      <c r="C243" s="7"/>
      <c r="D243" s="7"/>
      <c r="E243" s="50">
        <f t="shared" si="67"/>
        <v>0</v>
      </c>
      <c r="F243" s="49"/>
      <c r="G243" s="101">
        <v>2533.4</v>
      </c>
      <c r="H243" s="14">
        <f t="shared" si="68"/>
        <v>2533.4</v>
      </c>
      <c r="I243" s="7"/>
      <c r="J243" s="7"/>
      <c r="K243" s="50">
        <f t="shared" si="69"/>
        <v>2533.4</v>
      </c>
      <c r="L243" s="49"/>
      <c r="M243" s="7"/>
      <c r="N243" s="50">
        <f t="shared" si="70"/>
        <v>2533.4</v>
      </c>
    </row>
    <row r="244" spans="1:14" ht="12.75">
      <c r="A244" s="71" t="s">
        <v>128</v>
      </c>
      <c r="B244" s="49">
        <v>12000</v>
      </c>
      <c r="C244" s="7">
        <v>4500</v>
      </c>
      <c r="D244" s="7">
        <f>-12000+2000</f>
        <v>-10000</v>
      </c>
      <c r="E244" s="50">
        <f t="shared" si="67"/>
        <v>6500</v>
      </c>
      <c r="F244" s="49">
        <v>-6500</v>
      </c>
      <c r="G244" s="101"/>
      <c r="H244" s="14">
        <f t="shared" si="68"/>
        <v>0</v>
      </c>
      <c r="I244" s="7"/>
      <c r="J244" s="7"/>
      <c r="K244" s="50">
        <f t="shared" si="69"/>
        <v>0</v>
      </c>
      <c r="L244" s="49"/>
      <c r="M244" s="7"/>
      <c r="N244" s="50">
        <f t="shared" si="70"/>
        <v>0</v>
      </c>
    </row>
    <row r="245" spans="1:14" ht="12.75">
      <c r="A245" s="74" t="s">
        <v>114</v>
      </c>
      <c r="B245" s="53">
        <v>131167.6</v>
      </c>
      <c r="C245" s="10">
        <f>35496.9-91854.9</f>
        <v>-56357.99999999999</v>
      </c>
      <c r="D245" s="10">
        <v>-39312.7</v>
      </c>
      <c r="E245" s="54">
        <f t="shared" si="67"/>
        <v>35496.90000000001</v>
      </c>
      <c r="F245" s="53">
        <f>4783+24933.6+15153.6+1203.8-14669.7-770-2142.8-11597.4+904.4</f>
        <v>17798.5</v>
      </c>
      <c r="G245" s="16">
        <v>-150</v>
      </c>
      <c r="H245" s="160">
        <f t="shared" si="68"/>
        <v>53145.40000000001</v>
      </c>
      <c r="I245" s="10">
        <f>1145.6+1233.3-11</f>
        <v>2367.8999999999996</v>
      </c>
      <c r="J245" s="10">
        <v>5000</v>
      </c>
      <c r="K245" s="54">
        <f t="shared" si="69"/>
        <v>60513.30000000001</v>
      </c>
      <c r="L245" s="53">
        <f>684.6+3879.6+740-812.5-252.8+6898.9-1600+18937</f>
        <v>28474.8</v>
      </c>
      <c r="M245" s="10"/>
      <c r="N245" s="54">
        <f t="shared" si="70"/>
        <v>88988.1</v>
      </c>
    </row>
    <row r="246" spans="1:14" ht="12.75">
      <c r="A246" s="68" t="s">
        <v>137</v>
      </c>
      <c r="B246" s="47">
        <f aca="true" t="shared" si="71" ref="B246:N246">B247+B286</f>
        <v>338057.8</v>
      </c>
      <c r="C246" s="6">
        <f t="shared" si="71"/>
        <v>1220079.9999999998</v>
      </c>
      <c r="D246" s="6">
        <f t="shared" si="71"/>
        <v>43620.3</v>
      </c>
      <c r="E246" s="48">
        <f t="shared" si="71"/>
        <v>1601758.0999999999</v>
      </c>
      <c r="F246" s="47">
        <f t="shared" si="71"/>
        <v>1095428.8</v>
      </c>
      <c r="G246" s="120">
        <f t="shared" si="71"/>
        <v>2875</v>
      </c>
      <c r="H246" s="157">
        <f t="shared" si="71"/>
        <v>2700061.9</v>
      </c>
      <c r="I246" s="6">
        <f t="shared" si="71"/>
        <v>1098194.8</v>
      </c>
      <c r="J246" s="6">
        <f t="shared" si="71"/>
        <v>-39098.8</v>
      </c>
      <c r="K246" s="48">
        <f t="shared" si="71"/>
        <v>3759157.9</v>
      </c>
      <c r="L246" s="47">
        <f t="shared" si="71"/>
        <v>1116067</v>
      </c>
      <c r="M246" s="6">
        <f t="shared" si="71"/>
        <v>0</v>
      </c>
      <c r="N246" s="48">
        <f t="shared" si="71"/>
        <v>4875224.900000001</v>
      </c>
    </row>
    <row r="247" spans="1:14" ht="12.75">
      <c r="A247" s="77" t="s">
        <v>77</v>
      </c>
      <c r="B247" s="57">
        <f>SUM(B249:B285)</f>
        <v>338057.8</v>
      </c>
      <c r="C247" s="12">
        <f aca="true" t="shared" si="72" ref="C247:N247">SUM(C249:C285)</f>
        <v>1162090.1999999997</v>
      </c>
      <c r="D247" s="12">
        <f t="shared" si="72"/>
        <v>1490.8999999999996</v>
      </c>
      <c r="E247" s="58">
        <f t="shared" si="72"/>
        <v>1501638.9</v>
      </c>
      <c r="F247" s="57">
        <f t="shared" si="72"/>
        <v>1092496.8</v>
      </c>
      <c r="G247" s="122">
        <f t="shared" si="72"/>
        <v>1555.0000000000002</v>
      </c>
      <c r="H247" s="159">
        <f t="shared" si="72"/>
        <v>2595690.6999999997</v>
      </c>
      <c r="I247" s="12">
        <f t="shared" si="72"/>
        <v>1092070.6</v>
      </c>
      <c r="J247" s="12">
        <f t="shared" si="72"/>
        <v>-4393</v>
      </c>
      <c r="K247" s="58">
        <f t="shared" si="72"/>
        <v>3683368.3</v>
      </c>
      <c r="L247" s="57">
        <f t="shared" si="72"/>
        <v>1113201.7</v>
      </c>
      <c r="M247" s="12">
        <f t="shared" si="72"/>
        <v>0</v>
      </c>
      <c r="N247" s="58">
        <f t="shared" si="72"/>
        <v>4796570.000000001</v>
      </c>
    </row>
    <row r="248" spans="1:14" ht="12.75">
      <c r="A248" s="69" t="s">
        <v>47</v>
      </c>
      <c r="B248" s="49"/>
      <c r="C248" s="7"/>
      <c r="D248" s="7"/>
      <c r="E248" s="50"/>
      <c r="F248" s="49"/>
      <c r="G248" s="101"/>
      <c r="H248" s="14"/>
      <c r="I248" s="7"/>
      <c r="J248" s="7"/>
      <c r="K248" s="50"/>
      <c r="L248" s="49"/>
      <c r="M248" s="7"/>
      <c r="N248" s="50"/>
    </row>
    <row r="249" spans="1:14" ht="12.75">
      <c r="A249" s="75" t="s">
        <v>110</v>
      </c>
      <c r="B249" s="49">
        <v>317845</v>
      </c>
      <c r="C249" s="7">
        <v>1304.4</v>
      </c>
      <c r="D249" s="7">
        <v>4131.9</v>
      </c>
      <c r="E249" s="50">
        <f>B249+C249+D249</f>
        <v>323281.30000000005</v>
      </c>
      <c r="F249" s="49"/>
      <c r="G249" s="101">
        <v>1145.3</v>
      </c>
      <c r="H249" s="14">
        <f>E249+F249+G249</f>
        <v>324426.60000000003</v>
      </c>
      <c r="I249" s="7">
        <v>26</v>
      </c>
      <c r="J249" s="7">
        <v>7456.9</v>
      </c>
      <c r="K249" s="50">
        <f>H249+I249+J249</f>
        <v>331909.50000000006</v>
      </c>
      <c r="L249" s="49">
        <f>4379.5+20</f>
        <v>4399.5</v>
      </c>
      <c r="M249" s="7"/>
      <c r="N249" s="50">
        <f>K249+L249+M249</f>
        <v>336309.00000000006</v>
      </c>
    </row>
    <row r="250" spans="1:14" ht="12.75">
      <c r="A250" s="75" t="s">
        <v>138</v>
      </c>
      <c r="B250" s="49"/>
      <c r="C250" s="7"/>
      <c r="D250" s="7"/>
      <c r="E250" s="50"/>
      <c r="F250" s="49"/>
      <c r="G250" s="101"/>
      <c r="H250" s="14"/>
      <c r="I250" s="7"/>
      <c r="J250" s="7"/>
      <c r="K250" s="50"/>
      <c r="L250" s="49"/>
      <c r="M250" s="7"/>
      <c r="N250" s="50"/>
    </row>
    <row r="251" spans="1:14" ht="12.75">
      <c r="A251" s="75" t="s">
        <v>139</v>
      </c>
      <c r="B251" s="49"/>
      <c r="C251" s="7">
        <v>419644</v>
      </c>
      <c r="D251" s="7"/>
      <c r="E251" s="50">
        <f aca="true" t="shared" si="73" ref="E251:E285">B251+C251+D251</f>
        <v>419644</v>
      </c>
      <c r="F251" s="49">
        <v>390625</v>
      </c>
      <c r="G251" s="101"/>
      <c r="H251" s="14">
        <f aca="true" t="shared" si="74" ref="H251:H285">E251+F251+G251</f>
        <v>810269</v>
      </c>
      <c r="I251" s="7">
        <v>403832.4</v>
      </c>
      <c r="J251" s="7"/>
      <c r="K251" s="50">
        <f aca="true" t="shared" si="75" ref="K251:K285">H251+I251+J251</f>
        <v>1214101.4</v>
      </c>
      <c r="L251" s="14">
        <f>401203.4+2015.9</f>
        <v>403219.30000000005</v>
      </c>
      <c r="M251" s="7"/>
      <c r="N251" s="50">
        <f aca="true" t="shared" si="76" ref="N251:N285">K251+L251+M251</f>
        <v>1617320.7</v>
      </c>
    </row>
    <row r="252" spans="1:14" ht="12.75">
      <c r="A252" s="75" t="s">
        <v>140</v>
      </c>
      <c r="B252" s="49"/>
      <c r="C252" s="7">
        <v>54600</v>
      </c>
      <c r="D252" s="7"/>
      <c r="E252" s="50">
        <f t="shared" si="73"/>
        <v>54600</v>
      </c>
      <c r="F252" s="49">
        <v>50721</v>
      </c>
      <c r="G252" s="101"/>
      <c r="H252" s="14">
        <f t="shared" si="74"/>
        <v>105321</v>
      </c>
      <c r="I252" s="7">
        <v>51840</v>
      </c>
      <c r="J252" s="7"/>
      <c r="K252" s="50">
        <f t="shared" si="75"/>
        <v>157161</v>
      </c>
      <c r="L252" s="14">
        <v>48092</v>
      </c>
      <c r="M252" s="7"/>
      <c r="N252" s="50">
        <f t="shared" si="76"/>
        <v>205253</v>
      </c>
    </row>
    <row r="253" spans="1:14" ht="12.75">
      <c r="A253" s="75" t="s">
        <v>141</v>
      </c>
      <c r="B253" s="49"/>
      <c r="C253" s="9">
        <v>643670</v>
      </c>
      <c r="D253" s="7"/>
      <c r="E253" s="50">
        <f t="shared" si="73"/>
        <v>643670</v>
      </c>
      <c r="F253" s="49">
        <v>616953</v>
      </c>
      <c r="G253" s="101"/>
      <c r="H253" s="14">
        <f t="shared" si="74"/>
        <v>1260623</v>
      </c>
      <c r="I253" s="7">
        <v>631614.6</v>
      </c>
      <c r="J253" s="7"/>
      <c r="K253" s="50">
        <f t="shared" si="75"/>
        <v>1892237.6</v>
      </c>
      <c r="L253" s="14">
        <f>622472.6+1370.1</f>
        <v>623842.7</v>
      </c>
      <c r="M253" s="7"/>
      <c r="N253" s="50">
        <f t="shared" si="76"/>
        <v>2516080.3</v>
      </c>
    </row>
    <row r="254" spans="1:14" ht="12.75" hidden="1">
      <c r="A254" s="75" t="s">
        <v>142</v>
      </c>
      <c r="B254" s="49"/>
      <c r="C254" s="7"/>
      <c r="D254" s="7"/>
      <c r="E254" s="50">
        <f t="shared" si="73"/>
        <v>0</v>
      </c>
      <c r="F254" s="49"/>
      <c r="G254" s="101"/>
      <c r="H254" s="14">
        <f t="shared" si="74"/>
        <v>0</v>
      </c>
      <c r="I254" s="7"/>
      <c r="J254" s="7"/>
      <c r="K254" s="50">
        <f t="shared" si="75"/>
        <v>0</v>
      </c>
      <c r="L254" s="49"/>
      <c r="M254" s="7"/>
      <c r="N254" s="50">
        <f t="shared" si="76"/>
        <v>0</v>
      </c>
    </row>
    <row r="255" spans="1:14" ht="12.75">
      <c r="A255" s="75" t="s">
        <v>143</v>
      </c>
      <c r="B255" s="49"/>
      <c r="C255" s="7"/>
      <c r="D255" s="7"/>
      <c r="E255" s="50">
        <f t="shared" si="73"/>
        <v>0</v>
      </c>
      <c r="F255" s="49"/>
      <c r="G255" s="101"/>
      <c r="H255" s="14">
        <f t="shared" si="74"/>
        <v>0</v>
      </c>
      <c r="I255" s="7">
        <v>796.7</v>
      </c>
      <c r="J255" s="7"/>
      <c r="K255" s="50">
        <f t="shared" si="75"/>
        <v>796.7</v>
      </c>
      <c r="L255" s="49"/>
      <c r="M255" s="7"/>
      <c r="N255" s="50">
        <f t="shared" si="76"/>
        <v>796.7</v>
      </c>
    </row>
    <row r="256" spans="1:14" ht="12.75" hidden="1">
      <c r="A256" s="75" t="s">
        <v>144</v>
      </c>
      <c r="B256" s="49"/>
      <c r="C256" s="7"/>
      <c r="D256" s="7"/>
      <c r="E256" s="50">
        <f t="shared" si="73"/>
        <v>0</v>
      </c>
      <c r="F256" s="49"/>
      <c r="G256" s="101"/>
      <c r="H256" s="14">
        <f t="shared" si="74"/>
        <v>0</v>
      </c>
      <c r="I256" s="7"/>
      <c r="J256" s="7"/>
      <c r="K256" s="50">
        <f t="shared" si="75"/>
        <v>0</v>
      </c>
      <c r="L256" s="49"/>
      <c r="M256" s="7"/>
      <c r="N256" s="50">
        <f t="shared" si="76"/>
        <v>0</v>
      </c>
    </row>
    <row r="257" spans="1:14" ht="12.75" hidden="1">
      <c r="A257" s="75" t="s">
        <v>145</v>
      </c>
      <c r="B257" s="49"/>
      <c r="C257" s="7"/>
      <c r="D257" s="7"/>
      <c r="E257" s="50">
        <f t="shared" si="73"/>
        <v>0</v>
      </c>
      <c r="F257" s="49"/>
      <c r="G257" s="101"/>
      <c r="H257" s="14">
        <f t="shared" si="74"/>
        <v>0</v>
      </c>
      <c r="I257" s="7"/>
      <c r="J257" s="7"/>
      <c r="K257" s="50">
        <f t="shared" si="75"/>
        <v>0</v>
      </c>
      <c r="L257" s="49"/>
      <c r="M257" s="7"/>
      <c r="N257" s="50">
        <f t="shared" si="76"/>
        <v>0</v>
      </c>
    </row>
    <row r="258" spans="1:14" ht="12.75" hidden="1">
      <c r="A258" s="75" t="s">
        <v>146</v>
      </c>
      <c r="B258" s="49"/>
      <c r="C258" s="7"/>
      <c r="D258" s="7"/>
      <c r="E258" s="50">
        <f t="shared" si="73"/>
        <v>0</v>
      </c>
      <c r="F258" s="49"/>
      <c r="G258" s="101"/>
      <c r="H258" s="14">
        <f t="shared" si="74"/>
        <v>0</v>
      </c>
      <c r="I258" s="7"/>
      <c r="J258" s="7"/>
      <c r="K258" s="50">
        <f t="shared" si="75"/>
        <v>0</v>
      </c>
      <c r="L258" s="49"/>
      <c r="M258" s="7"/>
      <c r="N258" s="50">
        <f t="shared" si="76"/>
        <v>0</v>
      </c>
    </row>
    <row r="259" spans="1:14" ht="12.75" hidden="1">
      <c r="A259" s="75" t="s">
        <v>241</v>
      </c>
      <c r="B259" s="49"/>
      <c r="C259" s="7"/>
      <c r="D259" s="7"/>
      <c r="E259" s="50">
        <f t="shared" si="73"/>
        <v>0</v>
      </c>
      <c r="F259" s="49"/>
      <c r="G259" s="101"/>
      <c r="H259" s="14">
        <f t="shared" si="74"/>
        <v>0</v>
      </c>
      <c r="I259" s="7"/>
      <c r="J259" s="7"/>
      <c r="K259" s="50">
        <f t="shared" si="75"/>
        <v>0</v>
      </c>
      <c r="L259" s="49"/>
      <c r="M259" s="7"/>
      <c r="N259" s="50">
        <f t="shared" si="76"/>
        <v>0</v>
      </c>
    </row>
    <row r="260" spans="1:14" ht="12.75" hidden="1">
      <c r="A260" s="75" t="s">
        <v>147</v>
      </c>
      <c r="B260" s="49"/>
      <c r="C260" s="7"/>
      <c r="D260" s="7"/>
      <c r="E260" s="50">
        <f t="shared" si="73"/>
        <v>0</v>
      </c>
      <c r="F260" s="49"/>
      <c r="G260" s="101"/>
      <c r="H260" s="14">
        <f t="shared" si="74"/>
        <v>0</v>
      </c>
      <c r="I260" s="7"/>
      <c r="J260" s="7"/>
      <c r="K260" s="50">
        <f t="shared" si="75"/>
        <v>0</v>
      </c>
      <c r="L260" s="49"/>
      <c r="M260" s="7"/>
      <c r="N260" s="50">
        <f t="shared" si="76"/>
        <v>0</v>
      </c>
    </row>
    <row r="261" spans="1:14" ht="12.75">
      <c r="A261" s="95" t="s">
        <v>261</v>
      </c>
      <c r="B261" s="49"/>
      <c r="C261" s="7"/>
      <c r="D261" s="7"/>
      <c r="E261" s="50">
        <f t="shared" si="73"/>
        <v>0</v>
      </c>
      <c r="F261" s="49">
        <v>4351</v>
      </c>
      <c r="G261" s="101"/>
      <c r="H261" s="14">
        <f t="shared" si="74"/>
        <v>4351</v>
      </c>
      <c r="I261" s="7"/>
      <c r="J261" s="7"/>
      <c r="K261" s="50">
        <f t="shared" si="75"/>
        <v>4351</v>
      </c>
      <c r="L261" s="49"/>
      <c r="M261" s="7"/>
      <c r="N261" s="50">
        <f t="shared" si="76"/>
        <v>4351</v>
      </c>
    </row>
    <row r="262" spans="1:14" ht="12.75">
      <c r="A262" s="75" t="s">
        <v>148</v>
      </c>
      <c r="B262" s="49"/>
      <c r="C262" s="7"/>
      <c r="D262" s="7"/>
      <c r="E262" s="50">
        <f t="shared" si="73"/>
        <v>0</v>
      </c>
      <c r="F262" s="49">
        <f>4083.9+3089.1</f>
        <v>7173</v>
      </c>
      <c r="G262" s="101"/>
      <c r="H262" s="14">
        <f t="shared" si="74"/>
        <v>7173</v>
      </c>
      <c r="I262" s="7"/>
      <c r="J262" s="7"/>
      <c r="K262" s="50">
        <f t="shared" si="75"/>
        <v>7173</v>
      </c>
      <c r="L262" s="49"/>
      <c r="M262" s="7"/>
      <c r="N262" s="50">
        <f t="shared" si="76"/>
        <v>7173</v>
      </c>
    </row>
    <row r="263" spans="1:14" ht="12.75">
      <c r="A263" s="75" t="s">
        <v>276</v>
      </c>
      <c r="B263" s="49"/>
      <c r="C263" s="7"/>
      <c r="D263" s="7"/>
      <c r="E263" s="50"/>
      <c r="F263" s="49"/>
      <c r="G263" s="101"/>
      <c r="H263" s="14">
        <f t="shared" si="74"/>
        <v>0</v>
      </c>
      <c r="I263" s="7">
        <v>1851</v>
      </c>
      <c r="J263" s="7"/>
      <c r="K263" s="50">
        <f t="shared" si="75"/>
        <v>1851</v>
      </c>
      <c r="L263" s="49"/>
      <c r="M263" s="7"/>
      <c r="N263" s="50">
        <f t="shared" si="76"/>
        <v>1851</v>
      </c>
    </row>
    <row r="264" spans="1:14" ht="12.75">
      <c r="A264" s="75" t="s">
        <v>149</v>
      </c>
      <c r="B264" s="49"/>
      <c r="C264" s="7"/>
      <c r="D264" s="7"/>
      <c r="E264" s="50">
        <f t="shared" si="73"/>
        <v>0</v>
      </c>
      <c r="F264" s="49"/>
      <c r="G264" s="101"/>
      <c r="H264" s="14">
        <f t="shared" si="74"/>
        <v>0</v>
      </c>
      <c r="I264" s="7">
        <v>1779.3</v>
      </c>
      <c r="J264" s="7"/>
      <c r="K264" s="50">
        <f t="shared" si="75"/>
        <v>1779.3</v>
      </c>
      <c r="L264" s="49"/>
      <c r="M264" s="7"/>
      <c r="N264" s="50">
        <f t="shared" si="76"/>
        <v>1779.3</v>
      </c>
    </row>
    <row r="265" spans="1:14" ht="12.75">
      <c r="A265" s="73" t="s">
        <v>285</v>
      </c>
      <c r="B265" s="49"/>
      <c r="C265" s="7"/>
      <c r="D265" s="7"/>
      <c r="E265" s="50"/>
      <c r="F265" s="49"/>
      <c r="G265" s="101"/>
      <c r="H265" s="14"/>
      <c r="I265" s="7"/>
      <c r="J265" s="7"/>
      <c r="K265" s="50">
        <f t="shared" si="75"/>
        <v>0</v>
      </c>
      <c r="L265" s="49">
        <v>30</v>
      </c>
      <c r="M265" s="7"/>
      <c r="N265" s="50">
        <f t="shared" si="76"/>
        <v>30</v>
      </c>
    </row>
    <row r="266" spans="1:14" ht="12.75">
      <c r="A266" s="75" t="s">
        <v>284</v>
      </c>
      <c r="B266" s="49"/>
      <c r="C266" s="7"/>
      <c r="D266" s="7"/>
      <c r="E266" s="50"/>
      <c r="F266" s="49"/>
      <c r="G266" s="101"/>
      <c r="H266" s="14"/>
      <c r="I266" s="7"/>
      <c r="J266" s="7"/>
      <c r="K266" s="50">
        <f t="shared" si="75"/>
        <v>0</v>
      </c>
      <c r="L266" s="49">
        <v>40.8</v>
      </c>
      <c r="M266" s="7"/>
      <c r="N266" s="50">
        <f t="shared" si="76"/>
        <v>40.8</v>
      </c>
    </row>
    <row r="267" spans="1:14" ht="12.75">
      <c r="A267" s="75" t="s">
        <v>150</v>
      </c>
      <c r="B267" s="49"/>
      <c r="C267" s="7"/>
      <c r="D267" s="7"/>
      <c r="E267" s="50">
        <f t="shared" si="73"/>
        <v>0</v>
      </c>
      <c r="F267" s="49">
        <v>285.5</v>
      </c>
      <c r="G267" s="101"/>
      <c r="H267" s="14">
        <f t="shared" si="74"/>
        <v>285.5</v>
      </c>
      <c r="I267" s="7"/>
      <c r="J267" s="7"/>
      <c r="K267" s="50">
        <f t="shared" si="75"/>
        <v>285.5</v>
      </c>
      <c r="L267" s="49">
        <v>-80.1</v>
      </c>
      <c r="M267" s="7"/>
      <c r="N267" s="50">
        <f t="shared" si="76"/>
        <v>205.4</v>
      </c>
    </row>
    <row r="268" spans="1:14" ht="12.75">
      <c r="A268" s="75" t="s">
        <v>290</v>
      </c>
      <c r="B268" s="49"/>
      <c r="C268" s="7"/>
      <c r="D268" s="7"/>
      <c r="E268" s="50"/>
      <c r="F268" s="49"/>
      <c r="G268" s="101"/>
      <c r="H268" s="14"/>
      <c r="I268" s="7"/>
      <c r="J268" s="7"/>
      <c r="K268" s="50">
        <f t="shared" si="75"/>
        <v>0</v>
      </c>
      <c r="L268" s="49">
        <v>140</v>
      </c>
      <c r="M268" s="7"/>
      <c r="N268" s="50">
        <f t="shared" si="76"/>
        <v>140</v>
      </c>
    </row>
    <row r="269" spans="1:14" ht="12.75" hidden="1">
      <c r="A269" s="75" t="s">
        <v>151</v>
      </c>
      <c r="B269" s="49"/>
      <c r="C269" s="7"/>
      <c r="D269" s="7"/>
      <c r="E269" s="50">
        <f t="shared" si="73"/>
        <v>0</v>
      </c>
      <c r="F269" s="49"/>
      <c r="G269" s="101"/>
      <c r="H269" s="14">
        <f t="shared" si="74"/>
        <v>0</v>
      </c>
      <c r="I269" s="7"/>
      <c r="J269" s="7"/>
      <c r="K269" s="50">
        <f t="shared" si="75"/>
        <v>0</v>
      </c>
      <c r="L269" s="49"/>
      <c r="M269" s="7"/>
      <c r="N269" s="50">
        <f t="shared" si="76"/>
        <v>0</v>
      </c>
    </row>
    <row r="270" spans="1:14" ht="12.75" hidden="1">
      <c r="A270" s="75" t="s">
        <v>216</v>
      </c>
      <c r="B270" s="49"/>
      <c r="C270" s="7"/>
      <c r="D270" s="7"/>
      <c r="E270" s="50">
        <f t="shared" si="73"/>
        <v>0</v>
      </c>
      <c r="F270" s="49"/>
      <c r="G270" s="101"/>
      <c r="H270" s="14">
        <f t="shared" si="74"/>
        <v>0</v>
      </c>
      <c r="I270" s="7"/>
      <c r="J270" s="7"/>
      <c r="K270" s="50">
        <f t="shared" si="75"/>
        <v>0</v>
      </c>
      <c r="L270" s="49"/>
      <c r="M270" s="7"/>
      <c r="N270" s="50">
        <f t="shared" si="76"/>
        <v>0</v>
      </c>
    </row>
    <row r="271" spans="1:14" ht="12.75">
      <c r="A271" s="95" t="s">
        <v>215</v>
      </c>
      <c r="B271" s="49"/>
      <c r="C271" s="7">
        <v>37831</v>
      </c>
      <c r="D271" s="7"/>
      <c r="E271" s="50">
        <f t="shared" si="73"/>
        <v>37831</v>
      </c>
      <c r="F271" s="49"/>
      <c r="G271" s="101"/>
      <c r="H271" s="14">
        <f t="shared" si="74"/>
        <v>37831</v>
      </c>
      <c r="I271" s="7"/>
      <c r="J271" s="7"/>
      <c r="K271" s="50">
        <f t="shared" si="75"/>
        <v>37831</v>
      </c>
      <c r="L271" s="49"/>
      <c r="M271" s="7"/>
      <c r="N271" s="50">
        <f t="shared" si="76"/>
        <v>37831</v>
      </c>
    </row>
    <row r="272" spans="1:14" ht="12.75">
      <c r="A272" s="95" t="s">
        <v>291</v>
      </c>
      <c r="B272" s="49"/>
      <c r="C272" s="7"/>
      <c r="D272" s="7"/>
      <c r="E272" s="50"/>
      <c r="F272" s="49"/>
      <c r="G272" s="101"/>
      <c r="H272" s="14"/>
      <c r="I272" s="7"/>
      <c r="J272" s="7"/>
      <c r="K272" s="50">
        <f t="shared" si="75"/>
        <v>0</v>
      </c>
      <c r="L272" s="49">
        <v>1002.9</v>
      </c>
      <c r="M272" s="7"/>
      <c r="N272" s="50">
        <f t="shared" si="76"/>
        <v>1002.9</v>
      </c>
    </row>
    <row r="273" spans="1:14" ht="12.75">
      <c r="A273" s="75" t="s">
        <v>152</v>
      </c>
      <c r="B273" s="49"/>
      <c r="C273" s="7"/>
      <c r="D273" s="7"/>
      <c r="E273" s="50">
        <f t="shared" si="73"/>
        <v>0</v>
      </c>
      <c r="F273" s="49"/>
      <c r="G273" s="101"/>
      <c r="H273" s="14">
        <f t="shared" si="74"/>
        <v>0</v>
      </c>
      <c r="I273" s="7"/>
      <c r="J273" s="7"/>
      <c r="K273" s="50">
        <f t="shared" si="75"/>
        <v>0</v>
      </c>
      <c r="L273" s="49">
        <v>676</v>
      </c>
      <c r="M273" s="7"/>
      <c r="N273" s="50">
        <f t="shared" si="76"/>
        <v>676</v>
      </c>
    </row>
    <row r="274" spans="1:14" ht="12.75" hidden="1">
      <c r="A274" s="75" t="s">
        <v>153</v>
      </c>
      <c r="B274" s="49"/>
      <c r="C274" s="7"/>
      <c r="D274" s="7"/>
      <c r="E274" s="50">
        <f t="shared" si="73"/>
        <v>0</v>
      </c>
      <c r="F274" s="49"/>
      <c r="G274" s="101"/>
      <c r="H274" s="14">
        <f t="shared" si="74"/>
        <v>0</v>
      </c>
      <c r="I274" s="7"/>
      <c r="J274" s="7"/>
      <c r="K274" s="50">
        <f t="shared" si="75"/>
        <v>0</v>
      </c>
      <c r="L274" s="49"/>
      <c r="M274" s="7"/>
      <c r="N274" s="50">
        <f t="shared" si="76"/>
        <v>0</v>
      </c>
    </row>
    <row r="275" spans="1:14" ht="12.75">
      <c r="A275" s="75" t="s">
        <v>235</v>
      </c>
      <c r="B275" s="49"/>
      <c r="C275" s="7">
        <v>457.9</v>
      </c>
      <c r="D275" s="7"/>
      <c r="E275" s="50">
        <f t="shared" si="73"/>
        <v>457.9</v>
      </c>
      <c r="F275" s="49"/>
      <c r="G275" s="101"/>
      <c r="H275" s="14">
        <f t="shared" si="74"/>
        <v>457.9</v>
      </c>
      <c r="I275" s="7">
        <v>203.1</v>
      </c>
      <c r="J275" s="7"/>
      <c r="K275" s="50">
        <f t="shared" si="75"/>
        <v>661</v>
      </c>
      <c r="L275" s="49">
        <v>396.4</v>
      </c>
      <c r="M275" s="7"/>
      <c r="N275" s="50">
        <f t="shared" si="76"/>
        <v>1057.4</v>
      </c>
    </row>
    <row r="276" spans="1:14" ht="12.75">
      <c r="A276" s="73" t="s">
        <v>253</v>
      </c>
      <c r="B276" s="49"/>
      <c r="C276" s="7"/>
      <c r="D276" s="7"/>
      <c r="E276" s="50">
        <f t="shared" si="73"/>
        <v>0</v>
      </c>
      <c r="F276" s="49">
        <v>3379.8</v>
      </c>
      <c r="G276" s="101"/>
      <c r="H276" s="14">
        <f t="shared" si="74"/>
        <v>3379.8</v>
      </c>
      <c r="I276" s="7"/>
      <c r="J276" s="7"/>
      <c r="K276" s="50">
        <f t="shared" si="75"/>
        <v>3379.8</v>
      </c>
      <c r="L276" s="49"/>
      <c r="M276" s="7"/>
      <c r="N276" s="50">
        <f t="shared" si="76"/>
        <v>3379.8</v>
      </c>
    </row>
    <row r="277" spans="1:14" ht="12.75">
      <c r="A277" s="73" t="s">
        <v>255</v>
      </c>
      <c r="B277" s="49"/>
      <c r="C277" s="7"/>
      <c r="D277" s="7"/>
      <c r="E277" s="50">
        <f t="shared" si="73"/>
        <v>0</v>
      </c>
      <c r="F277" s="49">
        <v>9879.2</v>
      </c>
      <c r="G277" s="101"/>
      <c r="H277" s="14">
        <f t="shared" si="74"/>
        <v>9879.2</v>
      </c>
      <c r="I277" s="7"/>
      <c r="J277" s="7"/>
      <c r="K277" s="50">
        <f t="shared" si="75"/>
        <v>9879.2</v>
      </c>
      <c r="L277" s="49"/>
      <c r="M277" s="7"/>
      <c r="N277" s="50">
        <f t="shared" si="76"/>
        <v>9879.2</v>
      </c>
    </row>
    <row r="278" spans="1:14" ht="12.75">
      <c r="A278" s="95" t="s">
        <v>256</v>
      </c>
      <c r="B278" s="49"/>
      <c r="C278" s="7"/>
      <c r="D278" s="7"/>
      <c r="E278" s="50">
        <f t="shared" si="73"/>
        <v>0</v>
      </c>
      <c r="F278" s="49">
        <v>8665.8</v>
      </c>
      <c r="G278" s="101"/>
      <c r="H278" s="14">
        <f t="shared" si="74"/>
        <v>8665.8</v>
      </c>
      <c r="I278" s="7"/>
      <c r="J278" s="7"/>
      <c r="K278" s="50">
        <f t="shared" si="75"/>
        <v>8665.8</v>
      </c>
      <c r="L278" s="49"/>
      <c r="M278" s="7"/>
      <c r="N278" s="50">
        <f t="shared" si="76"/>
        <v>8665.8</v>
      </c>
    </row>
    <row r="279" spans="1:14" ht="12.75">
      <c r="A279" s="95" t="s">
        <v>286</v>
      </c>
      <c r="B279" s="49"/>
      <c r="C279" s="7"/>
      <c r="D279" s="7"/>
      <c r="E279" s="50"/>
      <c r="F279" s="49"/>
      <c r="G279" s="101"/>
      <c r="H279" s="14"/>
      <c r="I279" s="7"/>
      <c r="J279" s="7"/>
      <c r="K279" s="50">
        <f t="shared" si="75"/>
        <v>0</v>
      </c>
      <c r="L279" s="14">
        <f>524.9+1944+1750.5+2894.9+3459.6+6227.6+6896.6+973.2+4501.1+2357.7+2577</f>
        <v>34107.100000000006</v>
      </c>
      <c r="M279" s="7"/>
      <c r="N279" s="50">
        <f t="shared" si="76"/>
        <v>34107.100000000006</v>
      </c>
    </row>
    <row r="280" spans="1:14" ht="12.75">
      <c r="A280" s="75" t="s">
        <v>254</v>
      </c>
      <c r="B280" s="49"/>
      <c r="C280" s="7"/>
      <c r="D280" s="7"/>
      <c r="E280" s="50">
        <f t="shared" si="73"/>
        <v>0</v>
      </c>
      <c r="F280" s="49">
        <f>37.6+425.9</f>
        <v>463.5</v>
      </c>
      <c r="G280" s="101"/>
      <c r="H280" s="14">
        <f t="shared" si="74"/>
        <v>463.5</v>
      </c>
      <c r="I280" s="7">
        <f>16.2+111.3</f>
        <v>127.5</v>
      </c>
      <c r="J280" s="7"/>
      <c r="K280" s="50">
        <f t="shared" si="75"/>
        <v>591</v>
      </c>
      <c r="L280" s="49"/>
      <c r="M280" s="7"/>
      <c r="N280" s="50">
        <f t="shared" si="76"/>
        <v>591</v>
      </c>
    </row>
    <row r="281" spans="1:14" ht="12.75" hidden="1">
      <c r="A281" s="75" t="s">
        <v>154</v>
      </c>
      <c r="B281" s="49"/>
      <c r="C281" s="7"/>
      <c r="D281" s="7"/>
      <c r="E281" s="50">
        <f t="shared" si="73"/>
        <v>0</v>
      </c>
      <c r="F281" s="49"/>
      <c r="G281" s="101"/>
      <c r="H281" s="14">
        <f t="shared" si="74"/>
        <v>0</v>
      </c>
      <c r="I281" s="7"/>
      <c r="J281" s="7"/>
      <c r="K281" s="50">
        <f t="shared" si="75"/>
        <v>0</v>
      </c>
      <c r="L281" s="49"/>
      <c r="M281" s="7"/>
      <c r="N281" s="50">
        <f t="shared" si="76"/>
        <v>0</v>
      </c>
    </row>
    <row r="282" spans="1:14" ht="12.75" hidden="1">
      <c r="A282" s="75" t="s">
        <v>99</v>
      </c>
      <c r="B282" s="49"/>
      <c r="C282" s="7"/>
      <c r="D282" s="7"/>
      <c r="E282" s="50">
        <f t="shared" si="73"/>
        <v>0</v>
      </c>
      <c r="F282" s="49"/>
      <c r="G282" s="101"/>
      <c r="H282" s="14">
        <f t="shared" si="74"/>
        <v>0</v>
      </c>
      <c r="I282" s="7"/>
      <c r="J282" s="7"/>
      <c r="K282" s="50">
        <f t="shared" si="75"/>
        <v>0</v>
      </c>
      <c r="L282" s="49"/>
      <c r="M282" s="7"/>
      <c r="N282" s="50">
        <f t="shared" si="76"/>
        <v>0</v>
      </c>
    </row>
    <row r="283" spans="1:14" ht="12.75">
      <c r="A283" s="82" t="s">
        <v>96</v>
      </c>
      <c r="B283" s="53"/>
      <c r="C283" s="10"/>
      <c r="D283" s="10"/>
      <c r="E283" s="54">
        <f t="shared" si="73"/>
        <v>0</v>
      </c>
      <c r="F283" s="53"/>
      <c r="G283" s="16">
        <v>950</v>
      </c>
      <c r="H283" s="160">
        <f t="shared" si="74"/>
        <v>950</v>
      </c>
      <c r="I283" s="10"/>
      <c r="J283" s="10"/>
      <c r="K283" s="54">
        <f t="shared" si="75"/>
        <v>950</v>
      </c>
      <c r="L283" s="53"/>
      <c r="M283" s="10"/>
      <c r="N283" s="54">
        <f t="shared" si="76"/>
        <v>950</v>
      </c>
    </row>
    <row r="284" spans="1:14" ht="12.75">
      <c r="A284" s="75" t="s">
        <v>113</v>
      </c>
      <c r="B284" s="49"/>
      <c r="C284" s="7">
        <f>4393+199.9</f>
        <v>4592.9</v>
      </c>
      <c r="D284" s="7"/>
      <c r="E284" s="50">
        <f t="shared" si="73"/>
        <v>4592.9</v>
      </c>
      <c r="F284" s="49"/>
      <c r="G284" s="101"/>
      <c r="H284" s="14">
        <f t="shared" si="74"/>
        <v>4592.9</v>
      </c>
      <c r="I284" s="7"/>
      <c r="J284" s="7">
        <v>-4393</v>
      </c>
      <c r="K284" s="50">
        <f t="shared" si="75"/>
        <v>199.89999999999964</v>
      </c>
      <c r="L284" s="49"/>
      <c r="M284" s="7"/>
      <c r="N284" s="50">
        <f t="shared" si="76"/>
        <v>199.89999999999964</v>
      </c>
    </row>
    <row r="285" spans="1:14" ht="12.75">
      <c r="A285" s="75" t="s">
        <v>80</v>
      </c>
      <c r="B285" s="49">
        <v>20212.8</v>
      </c>
      <c r="C285" s="7">
        <f>-10</f>
        <v>-10</v>
      </c>
      <c r="D285" s="7">
        <v>-2641</v>
      </c>
      <c r="E285" s="50">
        <f t="shared" si="73"/>
        <v>17561.8</v>
      </c>
      <c r="F285" s="49"/>
      <c r="G285" s="101">
        <f>-1365.8+580+245.5</f>
        <v>-540.3</v>
      </c>
      <c r="H285" s="14">
        <f t="shared" si="74"/>
        <v>17021.5</v>
      </c>
      <c r="I285" s="7"/>
      <c r="J285" s="7">
        <v>-7456.9</v>
      </c>
      <c r="K285" s="50">
        <f t="shared" si="75"/>
        <v>9564.6</v>
      </c>
      <c r="L285" s="49">
        <v>-2664.9</v>
      </c>
      <c r="M285" s="7"/>
      <c r="N285" s="50">
        <f t="shared" si="76"/>
        <v>6899.700000000001</v>
      </c>
    </row>
    <row r="286" spans="1:14" ht="12.75">
      <c r="A286" s="78" t="s">
        <v>83</v>
      </c>
      <c r="B286" s="59">
        <f aca="true" t="shared" si="77" ref="B286:N286">SUM(B288:B294)</f>
        <v>0</v>
      </c>
      <c r="C286" s="13">
        <f t="shared" si="77"/>
        <v>57989.8</v>
      </c>
      <c r="D286" s="13">
        <f t="shared" si="77"/>
        <v>42129.4</v>
      </c>
      <c r="E286" s="60">
        <f t="shared" si="77"/>
        <v>100119.20000000001</v>
      </c>
      <c r="F286" s="59">
        <f t="shared" si="77"/>
        <v>2932</v>
      </c>
      <c r="G286" s="123">
        <f t="shared" si="77"/>
        <v>1320</v>
      </c>
      <c r="H286" s="142">
        <f t="shared" si="77"/>
        <v>104371.20000000001</v>
      </c>
      <c r="I286" s="13">
        <f t="shared" si="77"/>
        <v>6124.2</v>
      </c>
      <c r="J286" s="13">
        <f t="shared" si="77"/>
        <v>-34705.8</v>
      </c>
      <c r="K286" s="60">
        <f t="shared" si="77"/>
        <v>75789.6</v>
      </c>
      <c r="L286" s="59">
        <f t="shared" si="77"/>
        <v>2865.3</v>
      </c>
      <c r="M286" s="13">
        <f t="shared" si="77"/>
        <v>0</v>
      </c>
      <c r="N286" s="60">
        <f t="shared" si="77"/>
        <v>78654.90000000001</v>
      </c>
    </row>
    <row r="287" spans="1:14" ht="12.75">
      <c r="A287" s="73" t="s">
        <v>47</v>
      </c>
      <c r="B287" s="49"/>
      <c r="C287" s="7"/>
      <c r="D287" s="7"/>
      <c r="E287" s="50"/>
      <c r="F287" s="49"/>
      <c r="G287" s="101"/>
      <c r="H287" s="157"/>
      <c r="I287" s="7"/>
      <c r="J287" s="7"/>
      <c r="K287" s="48"/>
      <c r="L287" s="49"/>
      <c r="M287" s="7"/>
      <c r="N287" s="48"/>
    </row>
    <row r="288" spans="1:14" ht="12.75">
      <c r="A288" s="75" t="s">
        <v>155</v>
      </c>
      <c r="B288" s="49"/>
      <c r="C288" s="7"/>
      <c r="D288" s="7"/>
      <c r="E288" s="50">
        <f aca="true" t="shared" si="78" ref="E288:E294">B288+C288+D288</f>
        <v>0</v>
      </c>
      <c r="F288" s="49"/>
      <c r="G288" s="101">
        <v>320</v>
      </c>
      <c r="H288" s="14">
        <f aca="true" t="shared" si="79" ref="H288:H294">E288+F288+G288</f>
        <v>320</v>
      </c>
      <c r="I288" s="7"/>
      <c r="J288" s="7">
        <v>200</v>
      </c>
      <c r="K288" s="50">
        <f aca="true" t="shared" si="80" ref="K288:K294">H288+I288+J288</f>
        <v>520</v>
      </c>
      <c r="L288" s="49"/>
      <c r="M288" s="7"/>
      <c r="N288" s="50">
        <f aca="true" t="shared" si="81" ref="N288:N294">K288+L288+M288</f>
        <v>520</v>
      </c>
    </row>
    <row r="289" spans="1:14" ht="12.75" hidden="1">
      <c r="A289" s="75" t="s">
        <v>156</v>
      </c>
      <c r="B289" s="49"/>
      <c r="C289" s="7"/>
      <c r="D289" s="7"/>
      <c r="E289" s="50">
        <f t="shared" si="78"/>
        <v>0</v>
      </c>
      <c r="F289" s="49"/>
      <c r="G289" s="101"/>
      <c r="H289" s="14">
        <f t="shared" si="79"/>
        <v>0</v>
      </c>
      <c r="I289" s="7"/>
      <c r="J289" s="7"/>
      <c r="K289" s="50">
        <f t="shared" si="80"/>
        <v>0</v>
      </c>
      <c r="L289" s="49"/>
      <c r="M289" s="7"/>
      <c r="N289" s="50">
        <f t="shared" si="81"/>
        <v>0</v>
      </c>
    </row>
    <row r="290" spans="1:14" ht="12.75">
      <c r="A290" s="75" t="s">
        <v>84</v>
      </c>
      <c r="B290" s="49"/>
      <c r="C290" s="7"/>
      <c r="D290" s="7"/>
      <c r="E290" s="50">
        <f t="shared" si="78"/>
        <v>0</v>
      </c>
      <c r="F290" s="49"/>
      <c r="G290" s="101">
        <v>1000</v>
      </c>
      <c r="H290" s="14">
        <f t="shared" si="79"/>
        <v>1000</v>
      </c>
      <c r="I290" s="7"/>
      <c r="J290" s="9"/>
      <c r="K290" s="50">
        <f t="shared" si="80"/>
        <v>1000</v>
      </c>
      <c r="L290" s="49">
        <f>300+1500</f>
        <v>1800</v>
      </c>
      <c r="M290" s="7"/>
      <c r="N290" s="50">
        <f t="shared" si="81"/>
        <v>2800</v>
      </c>
    </row>
    <row r="291" spans="1:14" ht="12.75">
      <c r="A291" s="75" t="s">
        <v>113</v>
      </c>
      <c r="B291" s="49"/>
      <c r="C291" s="7">
        <v>57989.8</v>
      </c>
      <c r="D291" s="7">
        <v>42129.4</v>
      </c>
      <c r="E291" s="50">
        <f t="shared" si="78"/>
        <v>100119.20000000001</v>
      </c>
      <c r="F291" s="49"/>
      <c r="G291" s="101"/>
      <c r="H291" s="14">
        <f t="shared" si="79"/>
        <v>100119.20000000001</v>
      </c>
      <c r="I291" s="7"/>
      <c r="J291" s="9">
        <v>-34905.8</v>
      </c>
      <c r="K291" s="50">
        <f t="shared" si="80"/>
        <v>65213.40000000001</v>
      </c>
      <c r="L291" s="49">
        <f>812.5+252.8</f>
        <v>1065.3</v>
      </c>
      <c r="M291" s="7"/>
      <c r="N291" s="50">
        <f t="shared" si="81"/>
        <v>66278.70000000001</v>
      </c>
    </row>
    <row r="292" spans="1:14" ht="12.75">
      <c r="A292" s="75" t="s">
        <v>254</v>
      </c>
      <c r="B292" s="49"/>
      <c r="C292" s="7"/>
      <c r="D292" s="7"/>
      <c r="E292" s="50"/>
      <c r="F292" s="49"/>
      <c r="G292" s="101"/>
      <c r="H292" s="14">
        <f t="shared" si="79"/>
        <v>0</v>
      </c>
      <c r="I292" s="7">
        <f>1106.2+5018</f>
        <v>6124.2</v>
      </c>
      <c r="J292" s="9"/>
      <c r="K292" s="50">
        <f t="shared" si="80"/>
        <v>6124.2</v>
      </c>
      <c r="L292" s="49"/>
      <c r="M292" s="7"/>
      <c r="N292" s="50">
        <f t="shared" si="81"/>
        <v>6124.2</v>
      </c>
    </row>
    <row r="293" spans="1:14" ht="12.75">
      <c r="A293" s="73" t="s">
        <v>253</v>
      </c>
      <c r="B293" s="49"/>
      <c r="C293" s="7"/>
      <c r="D293" s="7"/>
      <c r="E293" s="50">
        <f t="shared" si="78"/>
        <v>0</v>
      </c>
      <c r="F293" s="49">
        <v>92</v>
      </c>
      <c r="G293" s="101"/>
      <c r="H293" s="14">
        <f t="shared" si="79"/>
        <v>92</v>
      </c>
      <c r="I293" s="7"/>
      <c r="J293" s="9"/>
      <c r="K293" s="50">
        <f t="shared" si="80"/>
        <v>92</v>
      </c>
      <c r="L293" s="49"/>
      <c r="M293" s="7"/>
      <c r="N293" s="50">
        <f t="shared" si="81"/>
        <v>92</v>
      </c>
    </row>
    <row r="294" spans="1:14" ht="12.75">
      <c r="A294" s="130" t="s">
        <v>256</v>
      </c>
      <c r="B294" s="53"/>
      <c r="C294" s="10"/>
      <c r="D294" s="10"/>
      <c r="E294" s="54">
        <f t="shared" si="78"/>
        <v>0</v>
      </c>
      <c r="F294" s="53">
        <v>2840</v>
      </c>
      <c r="G294" s="16"/>
      <c r="H294" s="160">
        <f t="shared" si="79"/>
        <v>2840</v>
      </c>
      <c r="I294" s="10"/>
      <c r="J294" s="138"/>
      <c r="K294" s="54">
        <f t="shared" si="80"/>
        <v>2840</v>
      </c>
      <c r="L294" s="53"/>
      <c r="M294" s="10"/>
      <c r="N294" s="54">
        <f t="shared" si="81"/>
        <v>2840</v>
      </c>
    </row>
    <row r="295" spans="1:14" ht="12.75">
      <c r="A295" s="68" t="s">
        <v>157</v>
      </c>
      <c r="B295" s="47">
        <f aca="true" t="shared" si="82" ref="B295:N295">B296+B306</f>
        <v>409181.9</v>
      </c>
      <c r="C295" s="6">
        <f t="shared" si="82"/>
        <v>98649.5</v>
      </c>
      <c r="D295" s="6">
        <f t="shared" si="82"/>
        <v>2361.2</v>
      </c>
      <c r="E295" s="48">
        <f t="shared" si="82"/>
        <v>510192.60000000003</v>
      </c>
      <c r="F295" s="47">
        <f t="shared" si="82"/>
        <v>47887</v>
      </c>
      <c r="G295" s="120">
        <f t="shared" si="82"/>
        <v>-15000</v>
      </c>
      <c r="H295" s="157">
        <f t="shared" si="82"/>
        <v>543079.6</v>
      </c>
      <c r="I295" s="6">
        <f t="shared" si="82"/>
        <v>20442.8</v>
      </c>
      <c r="J295" s="6">
        <f t="shared" si="82"/>
        <v>-18312.1</v>
      </c>
      <c r="K295" s="48">
        <f t="shared" si="82"/>
        <v>545210.3</v>
      </c>
      <c r="L295" s="47">
        <f t="shared" si="82"/>
        <v>1108.4</v>
      </c>
      <c r="M295" s="6">
        <f t="shared" si="82"/>
        <v>0</v>
      </c>
      <c r="N295" s="48">
        <f t="shared" si="82"/>
        <v>546318.7</v>
      </c>
    </row>
    <row r="296" spans="1:14" ht="12.75">
      <c r="A296" s="77" t="s">
        <v>77</v>
      </c>
      <c r="B296" s="57">
        <f aca="true" t="shared" si="83" ref="B296:N296">SUM(B298:B305)</f>
        <v>406181.9</v>
      </c>
      <c r="C296" s="12">
        <f t="shared" si="83"/>
        <v>69443.8</v>
      </c>
      <c r="D296" s="12">
        <f t="shared" si="83"/>
        <v>720</v>
      </c>
      <c r="E296" s="58">
        <f t="shared" si="83"/>
        <v>476345.7</v>
      </c>
      <c r="F296" s="57">
        <f t="shared" si="83"/>
        <v>22062.3</v>
      </c>
      <c r="G296" s="122">
        <f t="shared" si="83"/>
        <v>-60000</v>
      </c>
      <c r="H296" s="159">
        <f t="shared" si="83"/>
        <v>438408</v>
      </c>
      <c r="I296" s="12">
        <f t="shared" si="83"/>
        <v>578.2</v>
      </c>
      <c r="J296" s="12">
        <f t="shared" si="83"/>
        <v>-100</v>
      </c>
      <c r="K296" s="58">
        <f t="shared" si="83"/>
        <v>438886.2</v>
      </c>
      <c r="L296" s="57">
        <f t="shared" si="83"/>
        <v>1108.4</v>
      </c>
      <c r="M296" s="12">
        <f t="shared" si="83"/>
        <v>0</v>
      </c>
      <c r="N296" s="58">
        <f t="shared" si="83"/>
        <v>439994.6</v>
      </c>
    </row>
    <row r="297" spans="1:14" ht="12.75">
      <c r="A297" s="73" t="s">
        <v>47</v>
      </c>
      <c r="B297" s="49"/>
      <c r="C297" s="7"/>
      <c r="D297" s="7"/>
      <c r="E297" s="48"/>
      <c r="F297" s="49"/>
      <c r="G297" s="101"/>
      <c r="H297" s="157"/>
      <c r="I297" s="7"/>
      <c r="J297" s="7"/>
      <c r="K297" s="48"/>
      <c r="L297" s="49"/>
      <c r="M297" s="7"/>
      <c r="N297" s="48"/>
    </row>
    <row r="298" spans="1:14" ht="12.75">
      <c r="A298" s="70" t="s">
        <v>110</v>
      </c>
      <c r="B298" s="49">
        <v>208971</v>
      </c>
      <c r="C298" s="7"/>
      <c r="D298" s="7"/>
      <c r="E298" s="50">
        <f aca="true" t="shared" si="84" ref="E298:E305">B298+C298+D298</f>
        <v>208971</v>
      </c>
      <c r="F298" s="49"/>
      <c r="G298" s="101"/>
      <c r="H298" s="14">
        <f aca="true" t="shared" si="85" ref="H298:H305">E298+F298+G298</f>
        <v>208971</v>
      </c>
      <c r="I298" s="7"/>
      <c r="J298" s="7"/>
      <c r="K298" s="50">
        <f aca="true" t="shared" si="86" ref="K298:K305">H298+I298+J298</f>
        <v>208971</v>
      </c>
      <c r="L298" s="49">
        <f>280+1700-868</f>
        <v>1112</v>
      </c>
      <c r="M298" s="7"/>
      <c r="N298" s="50">
        <f aca="true" t="shared" si="87" ref="N298:N305">K298+L298+M298</f>
        <v>210083</v>
      </c>
    </row>
    <row r="299" spans="1:14" ht="12.75">
      <c r="A299" s="75" t="s">
        <v>94</v>
      </c>
      <c r="B299" s="49">
        <v>176250</v>
      </c>
      <c r="C299" s="7">
        <v>45000</v>
      </c>
      <c r="D299" s="7"/>
      <c r="E299" s="50">
        <f t="shared" si="84"/>
        <v>221250</v>
      </c>
      <c r="F299" s="49"/>
      <c r="G299" s="101">
        <v>-45000</v>
      </c>
      <c r="H299" s="14">
        <f t="shared" si="85"/>
        <v>176250</v>
      </c>
      <c r="I299" s="7"/>
      <c r="J299" s="7"/>
      <c r="K299" s="50">
        <f t="shared" si="86"/>
        <v>176250</v>
      </c>
      <c r="L299" s="49"/>
      <c r="M299" s="7"/>
      <c r="N299" s="50">
        <f t="shared" si="87"/>
        <v>176250</v>
      </c>
    </row>
    <row r="300" spans="1:14" ht="12.75">
      <c r="A300" s="75" t="s">
        <v>221</v>
      </c>
      <c r="B300" s="49"/>
      <c r="C300" s="7"/>
      <c r="D300" s="7">
        <v>720</v>
      </c>
      <c r="E300" s="50">
        <f t="shared" si="84"/>
        <v>720</v>
      </c>
      <c r="F300" s="49"/>
      <c r="G300" s="101"/>
      <c r="H300" s="14">
        <f t="shared" si="85"/>
        <v>720</v>
      </c>
      <c r="I300" s="7"/>
      <c r="J300" s="7"/>
      <c r="K300" s="50">
        <f t="shared" si="86"/>
        <v>720</v>
      </c>
      <c r="L300" s="49"/>
      <c r="M300" s="7"/>
      <c r="N300" s="50">
        <f t="shared" si="87"/>
        <v>720</v>
      </c>
    </row>
    <row r="301" spans="1:14" ht="12.75">
      <c r="A301" s="75" t="s">
        <v>80</v>
      </c>
      <c r="B301" s="66">
        <f>12460.9+8500</f>
        <v>20960.9</v>
      </c>
      <c r="C301" s="7">
        <f>2520+21350</f>
        <v>23870</v>
      </c>
      <c r="D301" s="7"/>
      <c r="E301" s="50">
        <f t="shared" si="84"/>
        <v>44830.9</v>
      </c>
      <c r="F301" s="49">
        <f>7000+15000</f>
        <v>22000</v>
      </c>
      <c r="G301" s="101">
        <v>-15000</v>
      </c>
      <c r="H301" s="14">
        <f t="shared" si="85"/>
        <v>51830.899999999994</v>
      </c>
      <c r="I301" s="7"/>
      <c r="J301" s="7"/>
      <c r="K301" s="50">
        <f t="shared" si="86"/>
        <v>51830.899999999994</v>
      </c>
      <c r="L301" s="49">
        <v>-280</v>
      </c>
      <c r="M301" s="7"/>
      <c r="N301" s="50">
        <f t="shared" si="87"/>
        <v>51550.899999999994</v>
      </c>
    </row>
    <row r="302" spans="1:14" ht="12.75" hidden="1">
      <c r="A302" s="75" t="s">
        <v>114</v>
      </c>
      <c r="B302" s="66"/>
      <c r="C302" s="7">
        <v>100</v>
      </c>
      <c r="D302" s="7"/>
      <c r="E302" s="50">
        <f t="shared" si="84"/>
        <v>100</v>
      </c>
      <c r="F302" s="49"/>
      <c r="G302" s="101"/>
      <c r="H302" s="14">
        <f t="shared" si="85"/>
        <v>100</v>
      </c>
      <c r="I302" s="7"/>
      <c r="J302" s="7">
        <v>-100</v>
      </c>
      <c r="K302" s="50">
        <f t="shared" si="86"/>
        <v>0</v>
      </c>
      <c r="L302" s="49"/>
      <c r="M302" s="7"/>
      <c r="N302" s="50">
        <f t="shared" si="87"/>
        <v>0</v>
      </c>
    </row>
    <row r="303" spans="1:14" ht="12.75">
      <c r="A303" s="95" t="s">
        <v>243</v>
      </c>
      <c r="B303" s="66"/>
      <c r="C303" s="7">
        <v>0.8</v>
      </c>
      <c r="D303" s="7"/>
      <c r="E303" s="50">
        <f t="shared" si="84"/>
        <v>0.8</v>
      </c>
      <c r="F303" s="49">
        <v>0.3</v>
      </c>
      <c r="G303" s="101"/>
      <c r="H303" s="14">
        <f t="shared" si="85"/>
        <v>1.1</v>
      </c>
      <c r="I303" s="7">
        <v>0.4</v>
      </c>
      <c r="J303" s="7"/>
      <c r="K303" s="50">
        <f t="shared" si="86"/>
        <v>1.5</v>
      </c>
      <c r="L303" s="49"/>
      <c r="M303" s="7"/>
      <c r="N303" s="50">
        <f t="shared" si="87"/>
        <v>1.5</v>
      </c>
    </row>
    <row r="304" spans="1:14" ht="12.75">
      <c r="A304" s="75" t="s">
        <v>158</v>
      </c>
      <c r="B304" s="49"/>
      <c r="C304" s="7">
        <v>397.1</v>
      </c>
      <c r="D304" s="7"/>
      <c r="E304" s="50">
        <f t="shared" si="84"/>
        <v>397.1</v>
      </c>
      <c r="F304" s="49"/>
      <c r="G304" s="101"/>
      <c r="H304" s="14">
        <f t="shared" si="85"/>
        <v>397.1</v>
      </c>
      <c r="I304" s="7">
        <v>444.6</v>
      </c>
      <c r="J304" s="7"/>
      <c r="K304" s="50">
        <f t="shared" si="86"/>
        <v>841.7</v>
      </c>
      <c r="L304" s="14">
        <v>276.4</v>
      </c>
      <c r="M304" s="7"/>
      <c r="N304" s="50">
        <f t="shared" si="87"/>
        <v>1118.1</v>
      </c>
    </row>
    <row r="305" spans="1:14" ht="12.75">
      <c r="A305" s="75" t="s">
        <v>160</v>
      </c>
      <c r="B305" s="49"/>
      <c r="C305" s="7">
        <v>75.9</v>
      </c>
      <c r="D305" s="7"/>
      <c r="E305" s="50">
        <f t="shared" si="84"/>
        <v>75.9</v>
      </c>
      <c r="F305" s="49">
        <v>62</v>
      </c>
      <c r="G305" s="101"/>
      <c r="H305" s="14">
        <f t="shared" si="85"/>
        <v>137.9</v>
      </c>
      <c r="I305" s="7">
        <v>133.2</v>
      </c>
      <c r="J305" s="7"/>
      <c r="K305" s="50">
        <f t="shared" si="86"/>
        <v>271.1</v>
      </c>
      <c r="L305" s="49"/>
      <c r="M305" s="7"/>
      <c r="N305" s="50">
        <f t="shared" si="87"/>
        <v>271.1</v>
      </c>
    </row>
    <row r="306" spans="1:14" ht="12.75">
      <c r="A306" s="77" t="s">
        <v>83</v>
      </c>
      <c r="B306" s="57">
        <f aca="true" t="shared" si="88" ref="B306:H306">SUM(B308:B314)</f>
        <v>3000</v>
      </c>
      <c r="C306" s="12">
        <f t="shared" si="88"/>
        <v>29205.7</v>
      </c>
      <c r="D306" s="12">
        <f t="shared" si="88"/>
        <v>1641.2</v>
      </c>
      <c r="E306" s="58">
        <f t="shared" si="88"/>
        <v>33846.9</v>
      </c>
      <c r="F306" s="57">
        <f t="shared" si="88"/>
        <v>25824.699999999997</v>
      </c>
      <c r="G306" s="133">
        <f t="shared" si="88"/>
        <v>45000</v>
      </c>
      <c r="H306" s="159">
        <f t="shared" si="88"/>
        <v>104671.6</v>
      </c>
      <c r="I306" s="12">
        <f aca="true" t="shared" si="89" ref="I306:N306">SUM(I308:I314)</f>
        <v>19864.6</v>
      </c>
      <c r="J306" s="12">
        <f t="shared" si="89"/>
        <v>-18212.1</v>
      </c>
      <c r="K306" s="58">
        <f t="shared" si="89"/>
        <v>106324.09999999999</v>
      </c>
      <c r="L306" s="57">
        <f t="shared" si="89"/>
        <v>0</v>
      </c>
      <c r="M306" s="169">
        <f t="shared" si="89"/>
        <v>0</v>
      </c>
      <c r="N306" s="58">
        <f t="shared" si="89"/>
        <v>106324.09999999999</v>
      </c>
    </row>
    <row r="307" spans="1:14" ht="12.75">
      <c r="A307" s="73" t="s">
        <v>47</v>
      </c>
      <c r="B307" s="49"/>
      <c r="C307" s="7"/>
      <c r="D307" s="7"/>
      <c r="E307" s="50"/>
      <c r="F307" s="49"/>
      <c r="G307" s="101"/>
      <c r="H307" s="14"/>
      <c r="I307" s="7"/>
      <c r="J307" s="7"/>
      <c r="K307" s="50"/>
      <c r="L307" s="49"/>
      <c r="M307" s="7"/>
      <c r="N307" s="50"/>
    </row>
    <row r="308" spans="1:14" ht="12.75">
      <c r="A308" s="75" t="s">
        <v>114</v>
      </c>
      <c r="B308" s="49"/>
      <c r="C308" s="7">
        <f>8567+19070.9</f>
        <v>27637.9</v>
      </c>
      <c r="D308" s="7">
        <v>1641.2</v>
      </c>
      <c r="E308" s="50">
        <f aca="true" t="shared" si="90" ref="E308:E314">B308+C308+D308</f>
        <v>29279.100000000002</v>
      </c>
      <c r="F308" s="49">
        <v>11597.4</v>
      </c>
      <c r="G308" s="101"/>
      <c r="H308" s="14">
        <f aca="true" t="shared" si="91" ref="H308:H314">E308+F308+G308</f>
        <v>40876.5</v>
      </c>
      <c r="I308" s="7"/>
      <c r="J308" s="7">
        <v>-18212.1</v>
      </c>
      <c r="K308" s="50">
        <f aca="true" t="shared" si="92" ref="K308:K314">H308+I308+J308</f>
        <v>22664.4</v>
      </c>
      <c r="L308" s="49"/>
      <c r="M308" s="7"/>
      <c r="N308" s="50">
        <f aca="true" t="shared" si="93" ref="N308:N314">K308+L308+M308</f>
        <v>22664.4</v>
      </c>
    </row>
    <row r="309" spans="1:14" ht="12.75">
      <c r="A309" s="75" t="s">
        <v>267</v>
      </c>
      <c r="B309" s="49"/>
      <c r="C309" s="7"/>
      <c r="D309" s="7"/>
      <c r="E309" s="50">
        <f t="shared" si="90"/>
        <v>0</v>
      </c>
      <c r="F309" s="49"/>
      <c r="G309" s="101">
        <v>45000</v>
      </c>
      <c r="H309" s="14">
        <f t="shared" si="91"/>
        <v>45000</v>
      </c>
      <c r="I309" s="7"/>
      <c r="J309" s="7"/>
      <c r="K309" s="50">
        <f t="shared" si="92"/>
        <v>45000</v>
      </c>
      <c r="L309" s="49"/>
      <c r="M309" s="7"/>
      <c r="N309" s="50">
        <f t="shared" si="93"/>
        <v>45000</v>
      </c>
    </row>
    <row r="310" spans="1:14" ht="12.75">
      <c r="A310" s="80" t="s">
        <v>161</v>
      </c>
      <c r="B310" s="49">
        <v>3000</v>
      </c>
      <c r="C310" s="7"/>
      <c r="D310" s="7"/>
      <c r="E310" s="50">
        <f t="shared" si="90"/>
        <v>3000</v>
      </c>
      <c r="F310" s="49"/>
      <c r="G310" s="101"/>
      <c r="H310" s="14">
        <f t="shared" si="91"/>
        <v>3000</v>
      </c>
      <c r="I310" s="7"/>
      <c r="J310" s="7"/>
      <c r="K310" s="50">
        <f t="shared" si="92"/>
        <v>3000</v>
      </c>
      <c r="L310" s="49"/>
      <c r="M310" s="7"/>
      <c r="N310" s="50">
        <f t="shared" si="93"/>
        <v>3000</v>
      </c>
    </row>
    <row r="311" spans="1:14" ht="12.75" hidden="1">
      <c r="A311" s="75" t="s">
        <v>155</v>
      </c>
      <c r="B311" s="49"/>
      <c r="C311" s="7"/>
      <c r="D311" s="7"/>
      <c r="E311" s="50">
        <f t="shared" si="90"/>
        <v>0</v>
      </c>
      <c r="F311" s="49"/>
      <c r="G311" s="101"/>
      <c r="H311" s="14">
        <f t="shared" si="91"/>
        <v>0</v>
      </c>
      <c r="I311" s="7"/>
      <c r="J311" s="7"/>
      <c r="K311" s="50">
        <f t="shared" si="92"/>
        <v>0</v>
      </c>
      <c r="L311" s="49"/>
      <c r="M311" s="7"/>
      <c r="N311" s="50">
        <f t="shared" si="93"/>
        <v>0</v>
      </c>
    </row>
    <row r="312" spans="1:14" ht="12.75">
      <c r="A312" s="75" t="s">
        <v>277</v>
      </c>
      <c r="B312" s="49"/>
      <c r="C312" s="101"/>
      <c r="D312" s="101"/>
      <c r="E312" s="50"/>
      <c r="F312" s="49"/>
      <c r="G312" s="101"/>
      <c r="H312" s="14">
        <f t="shared" si="91"/>
        <v>0</v>
      </c>
      <c r="I312" s="7">
        <v>7500</v>
      </c>
      <c r="J312" s="101"/>
      <c r="K312" s="50">
        <f t="shared" si="92"/>
        <v>7500</v>
      </c>
      <c r="L312" s="49"/>
      <c r="M312" s="101"/>
      <c r="N312" s="50">
        <f t="shared" si="93"/>
        <v>7500</v>
      </c>
    </row>
    <row r="313" spans="1:14" ht="12.75">
      <c r="A313" s="95" t="s">
        <v>243</v>
      </c>
      <c r="B313" s="49"/>
      <c r="C313" s="101">
        <v>1567.8</v>
      </c>
      <c r="D313" s="101"/>
      <c r="E313" s="50">
        <f t="shared" si="90"/>
        <v>1567.8</v>
      </c>
      <c r="F313" s="49">
        <v>10727.3</v>
      </c>
      <c r="G313" s="101"/>
      <c r="H313" s="14">
        <f t="shared" si="91"/>
        <v>12295.099999999999</v>
      </c>
      <c r="I313" s="7">
        <f>11362.1+1002.5</f>
        <v>12364.6</v>
      </c>
      <c r="J313" s="101"/>
      <c r="K313" s="50">
        <f t="shared" si="92"/>
        <v>24659.699999999997</v>
      </c>
      <c r="L313" s="49"/>
      <c r="M313" s="101"/>
      <c r="N313" s="50">
        <f t="shared" si="93"/>
        <v>24659.699999999997</v>
      </c>
    </row>
    <row r="314" spans="1:14" ht="12.75">
      <c r="A314" s="74" t="s">
        <v>84</v>
      </c>
      <c r="B314" s="53"/>
      <c r="C314" s="16"/>
      <c r="D314" s="16"/>
      <c r="E314" s="54">
        <f t="shared" si="90"/>
        <v>0</v>
      </c>
      <c r="F314" s="53">
        <f>3500</f>
        <v>3500</v>
      </c>
      <c r="G314" s="16"/>
      <c r="H314" s="160">
        <f t="shared" si="91"/>
        <v>3500</v>
      </c>
      <c r="I314" s="10"/>
      <c r="J314" s="16"/>
      <c r="K314" s="54">
        <f t="shared" si="92"/>
        <v>3500</v>
      </c>
      <c r="L314" s="53"/>
      <c r="M314" s="16"/>
      <c r="N314" s="54">
        <f t="shared" si="93"/>
        <v>3500</v>
      </c>
    </row>
    <row r="315" spans="1:14" ht="12.75">
      <c r="A315" s="83" t="s">
        <v>162</v>
      </c>
      <c r="B315" s="51">
        <f aca="true" t="shared" si="94" ref="B315:N315">B316+B327</f>
        <v>153702.5</v>
      </c>
      <c r="C315" s="17">
        <f t="shared" si="94"/>
        <v>31104.9</v>
      </c>
      <c r="D315" s="17">
        <f t="shared" si="94"/>
        <v>700</v>
      </c>
      <c r="E315" s="64">
        <f t="shared" si="94"/>
        <v>185507.4</v>
      </c>
      <c r="F315" s="51">
        <f t="shared" si="94"/>
        <v>-3100</v>
      </c>
      <c r="G315" s="17">
        <f t="shared" si="94"/>
        <v>0</v>
      </c>
      <c r="H315" s="162">
        <f t="shared" si="94"/>
        <v>182407.4</v>
      </c>
      <c r="I315" s="8">
        <f t="shared" si="94"/>
        <v>904.3000000000001</v>
      </c>
      <c r="J315" s="17">
        <f t="shared" si="94"/>
        <v>-15240.1</v>
      </c>
      <c r="K315" s="64">
        <f t="shared" si="94"/>
        <v>168071.6</v>
      </c>
      <c r="L315" s="51">
        <f t="shared" si="94"/>
        <v>221</v>
      </c>
      <c r="M315" s="17">
        <f t="shared" si="94"/>
        <v>0</v>
      </c>
      <c r="N315" s="64">
        <f t="shared" si="94"/>
        <v>168292.6</v>
      </c>
    </row>
    <row r="316" spans="1:14" ht="12.75">
      <c r="A316" s="77" t="s">
        <v>77</v>
      </c>
      <c r="B316" s="57">
        <f aca="true" t="shared" si="95" ref="B316:N316">SUM(B318:B326)</f>
        <v>153702.5</v>
      </c>
      <c r="C316" s="12">
        <f t="shared" si="95"/>
        <v>3200</v>
      </c>
      <c r="D316" s="12">
        <f t="shared" si="95"/>
        <v>0</v>
      </c>
      <c r="E316" s="58">
        <f t="shared" si="95"/>
        <v>156902.5</v>
      </c>
      <c r="F316" s="57">
        <f t="shared" si="95"/>
        <v>-3100</v>
      </c>
      <c r="G316" s="122">
        <f t="shared" si="95"/>
        <v>0</v>
      </c>
      <c r="H316" s="159">
        <f t="shared" si="95"/>
        <v>153802.5</v>
      </c>
      <c r="I316" s="12">
        <f t="shared" si="95"/>
        <v>-49.39999999999998</v>
      </c>
      <c r="J316" s="12">
        <f t="shared" si="95"/>
        <v>394.5</v>
      </c>
      <c r="K316" s="58">
        <f t="shared" si="95"/>
        <v>154147.6</v>
      </c>
      <c r="L316" s="57">
        <f t="shared" si="95"/>
        <v>221</v>
      </c>
      <c r="M316" s="12">
        <f t="shared" si="95"/>
        <v>0</v>
      </c>
      <c r="N316" s="58">
        <f t="shared" si="95"/>
        <v>154368.6</v>
      </c>
    </row>
    <row r="317" spans="1:14" ht="12.75">
      <c r="A317" s="73" t="s">
        <v>47</v>
      </c>
      <c r="B317" s="49"/>
      <c r="C317" s="7"/>
      <c r="D317" s="7"/>
      <c r="E317" s="50"/>
      <c r="F317" s="49"/>
      <c r="G317" s="101"/>
      <c r="H317" s="14"/>
      <c r="I317" s="7"/>
      <c r="J317" s="7"/>
      <c r="K317" s="50"/>
      <c r="L317" s="49"/>
      <c r="M317" s="7"/>
      <c r="N317" s="50"/>
    </row>
    <row r="318" spans="1:14" ht="12.75">
      <c r="A318" s="75" t="s">
        <v>110</v>
      </c>
      <c r="B318" s="49">
        <v>127400</v>
      </c>
      <c r="C318" s="7"/>
      <c r="D318" s="7">
        <v>210</v>
      </c>
      <c r="E318" s="50">
        <f>B318+C318+D318</f>
        <v>127610</v>
      </c>
      <c r="F318" s="49"/>
      <c r="G318" s="101"/>
      <c r="H318" s="14">
        <f>E318+F318+G318</f>
        <v>127610</v>
      </c>
      <c r="I318" s="7"/>
      <c r="J318" s="7"/>
      <c r="K318" s="50">
        <f>H318+I318+J318</f>
        <v>127610</v>
      </c>
      <c r="L318" s="49">
        <f>120+260</f>
        <v>380</v>
      </c>
      <c r="M318" s="7"/>
      <c r="N318" s="50">
        <f>K318+L318+M318</f>
        <v>127990</v>
      </c>
    </row>
    <row r="319" spans="1:14" ht="12.75">
      <c r="A319" s="75" t="s">
        <v>80</v>
      </c>
      <c r="B319" s="49">
        <v>23102.5</v>
      </c>
      <c r="C319" s="7">
        <f>-5830+3000</f>
        <v>-2830</v>
      </c>
      <c r="D319" s="7">
        <v>-950</v>
      </c>
      <c r="E319" s="50">
        <f aca="true" t="shared" si="96" ref="E319:E326">B319+C319+D319</f>
        <v>19322.5</v>
      </c>
      <c r="F319" s="49">
        <v>-8000</v>
      </c>
      <c r="G319" s="101"/>
      <c r="H319" s="14">
        <f aca="true" t="shared" si="97" ref="H319:H326">E319+F319+G319</f>
        <v>11322.5</v>
      </c>
      <c r="I319" s="7">
        <f>37-700</f>
        <v>-663</v>
      </c>
      <c r="J319" s="7"/>
      <c r="K319" s="50">
        <f aca="true" t="shared" si="98" ref="K319:K326">H319+I319+J319</f>
        <v>10659.5</v>
      </c>
      <c r="L319" s="49">
        <f>-100-80+100</f>
        <v>-80</v>
      </c>
      <c r="M319" s="7"/>
      <c r="N319" s="50">
        <f aca="true" t="shared" si="99" ref="N319:N326">K319+L319+M319</f>
        <v>10579.5</v>
      </c>
    </row>
    <row r="320" spans="1:14" ht="12.75">
      <c r="A320" s="75" t="s">
        <v>214</v>
      </c>
      <c r="B320" s="49">
        <v>3200</v>
      </c>
      <c r="C320" s="7"/>
      <c r="D320" s="7"/>
      <c r="E320" s="50">
        <f t="shared" si="96"/>
        <v>3200</v>
      </c>
      <c r="F320" s="49"/>
      <c r="G320" s="101"/>
      <c r="H320" s="14">
        <f t="shared" si="97"/>
        <v>3200</v>
      </c>
      <c r="I320" s="7"/>
      <c r="J320" s="7"/>
      <c r="K320" s="50">
        <f t="shared" si="98"/>
        <v>3200</v>
      </c>
      <c r="L320" s="49">
        <v>-200</v>
      </c>
      <c r="M320" s="7"/>
      <c r="N320" s="50">
        <f t="shared" si="99"/>
        <v>3000</v>
      </c>
    </row>
    <row r="321" spans="1:14" ht="12.75">
      <c r="A321" s="75" t="s">
        <v>95</v>
      </c>
      <c r="B321" s="49"/>
      <c r="C321" s="7">
        <v>5830</v>
      </c>
      <c r="D321" s="7">
        <v>740</v>
      </c>
      <c r="E321" s="50">
        <f t="shared" si="96"/>
        <v>6570</v>
      </c>
      <c r="F321" s="49"/>
      <c r="G321" s="101"/>
      <c r="H321" s="14">
        <f t="shared" si="97"/>
        <v>6570</v>
      </c>
      <c r="I321" s="7"/>
      <c r="J321" s="7"/>
      <c r="K321" s="50">
        <f t="shared" si="98"/>
        <v>6570</v>
      </c>
      <c r="L321" s="49"/>
      <c r="M321" s="7"/>
      <c r="N321" s="50">
        <f t="shared" si="99"/>
        <v>6570</v>
      </c>
    </row>
    <row r="322" spans="1:14" ht="12.75">
      <c r="A322" s="75" t="s">
        <v>221</v>
      </c>
      <c r="B322" s="49"/>
      <c r="C322" s="7"/>
      <c r="D322" s="7"/>
      <c r="E322" s="50">
        <f t="shared" si="96"/>
        <v>0</v>
      </c>
      <c r="F322" s="49">
        <v>4900</v>
      </c>
      <c r="G322" s="101"/>
      <c r="H322" s="14">
        <f t="shared" si="97"/>
        <v>4900</v>
      </c>
      <c r="I322" s="7"/>
      <c r="J322" s="7"/>
      <c r="K322" s="50">
        <f t="shared" si="98"/>
        <v>4900</v>
      </c>
      <c r="L322" s="49"/>
      <c r="M322" s="7"/>
      <c r="N322" s="50">
        <f t="shared" si="99"/>
        <v>4900</v>
      </c>
    </row>
    <row r="323" spans="1:14" ht="12.75">
      <c r="A323" s="75" t="s">
        <v>163</v>
      </c>
      <c r="B323" s="49"/>
      <c r="C323" s="7"/>
      <c r="D323" s="7"/>
      <c r="E323" s="50">
        <f t="shared" si="96"/>
        <v>0</v>
      </c>
      <c r="F323" s="49"/>
      <c r="G323" s="101"/>
      <c r="H323" s="14">
        <f t="shared" si="97"/>
        <v>0</v>
      </c>
      <c r="I323" s="7">
        <v>97</v>
      </c>
      <c r="J323" s="7"/>
      <c r="K323" s="50">
        <f t="shared" si="98"/>
        <v>97</v>
      </c>
      <c r="L323" s="49"/>
      <c r="M323" s="7"/>
      <c r="N323" s="50">
        <f t="shared" si="99"/>
        <v>97</v>
      </c>
    </row>
    <row r="324" spans="1:14" ht="12.75">
      <c r="A324" s="75" t="s">
        <v>164</v>
      </c>
      <c r="B324" s="49"/>
      <c r="C324" s="7"/>
      <c r="D324" s="7"/>
      <c r="E324" s="50">
        <f t="shared" si="96"/>
        <v>0</v>
      </c>
      <c r="F324" s="49"/>
      <c r="G324" s="101"/>
      <c r="H324" s="14">
        <f t="shared" si="97"/>
        <v>0</v>
      </c>
      <c r="I324" s="7">
        <v>99</v>
      </c>
      <c r="J324" s="7"/>
      <c r="K324" s="50">
        <f t="shared" si="98"/>
        <v>99</v>
      </c>
      <c r="L324" s="49">
        <v>121</v>
      </c>
      <c r="M324" s="7"/>
      <c r="N324" s="50">
        <f t="shared" si="99"/>
        <v>220</v>
      </c>
    </row>
    <row r="325" spans="1:14" ht="12.75">
      <c r="A325" s="136" t="s">
        <v>251</v>
      </c>
      <c r="B325" s="49"/>
      <c r="C325" s="7"/>
      <c r="D325" s="7"/>
      <c r="E325" s="50"/>
      <c r="F325" s="49"/>
      <c r="G325" s="101"/>
      <c r="H325" s="14"/>
      <c r="I325" s="7">
        <v>417.6</v>
      </c>
      <c r="J325" s="7"/>
      <c r="K325" s="50">
        <f t="shared" si="98"/>
        <v>417.6</v>
      </c>
      <c r="L325" s="49"/>
      <c r="M325" s="7"/>
      <c r="N325" s="50">
        <f t="shared" si="99"/>
        <v>417.6</v>
      </c>
    </row>
    <row r="326" spans="1:14" ht="12.75">
      <c r="A326" s="75" t="s">
        <v>114</v>
      </c>
      <c r="B326" s="49"/>
      <c r="C326" s="7">
        <v>200</v>
      </c>
      <c r="D326" s="7"/>
      <c r="E326" s="50">
        <f t="shared" si="96"/>
        <v>200</v>
      </c>
      <c r="F326" s="49"/>
      <c r="G326" s="101"/>
      <c r="H326" s="14">
        <f t="shared" si="97"/>
        <v>200</v>
      </c>
      <c r="I326" s="7"/>
      <c r="J326" s="7">
        <v>394.5</v>
      </c>
      <c r="K326" s="50">
        <f t="shared" si="98"/>
        <v>594.5</v>
      </c>
      <c r="L326" s="49"/>
      <c r="M326" s="7"/>
      <c r="N326" s="50">
        <f t="shared" si="99"/>
        <v>594.5</v>
      </c>
    </row>
    <row r="327" spans="1:14" ht="12.75">
      <c r="A327" s="77" t="s">
        <v>83</v>
      </c>
      <c r="B327" s="57">
        <f aca="true" t="shared" si="100" ref="B327:H327">SUM(B329:B331)</f>
        <v>0</v>
      </c>
      <c r="C327" s="12">
        <f t="shared" si="100"/>
        <v>27904.9</v>
      </c>
      <c r="D327" s="12">
        <f t="shared" si="100"/>
        <v>700</v>
      </c>
      <c r="E327" s="58">
        <f t="shared" si="100"/>
        <v>28604.9</v>
      </c>
      <c r="F327" s="57">
        <f t="shared" si="100"/>
        <v>0</v>
      </c>
      <c r="G327" s="133">
        <f t="shared" si="100"/>
        <v>0</v>
      </c>
      <c r="H327" s="159">
        <f t="shared" si="100"/>
        <v>28604.9</v>
      </c>
      <c r="I327" s="12">
        <f>SUM(I329:I331)</f>
        <v>953.7</v>
      </c>
      <c r="J327" s="12">
        <f>SUM(J331:J331)</f>
        <v>-15634.6</v>
      </c>
      <c r="K327" s="58">
        <f>SUM(K329:K331)</f>
        <v>13924</v>
      </c>
      <c r="L327" s="57">
        <f>SUM(L329:L331)</f>
        <v>0</v>
      </c>
      <c r="M327" s="169">
        <f>SUM(M329:M331)</f>
        <v>0</v>
      </c>
      <c r="N327" s="58">
        <f>SUM(N329:N331)</f>
        <v>13924</v>
      </c>
    </row>
    <row r="328" spans="1:14" ht="12.75">
      <c r="A328" s="73" t="s">
        <v>47</v>
      </c>
      <c r="B328" s="49"/>
      <c r="C328" s="7"/>
      <c r="D328" s="7"/>
      <c r="E328" s="50"/>
      <c r="F328" s="49"/>
      <c r="G328" s="101"/>
      <c r="H328" s="14"/>
      <c r="I328" s="7"/>
      <c r="J328" s="7"/>
      <c r="K328" s="50"/>
      <c r="L328" s="49"/>
      <c r="M328" s="7"/>
      <c r="N328" s="50"/>
    </row>
    <row r="329" spans="1:14" ht="12.75">
      <c r="A329" s="136" t="s">
        <v>251</v>
      </c>
      <c r="B329" s="49"/>
      <c r="C329" s="7">
        <v>3969.4</v>
      </c>
      <c r="D329" s="7"/>
      <c r="E329" s="50">
        <f>B329+C329+D329</f>
        <v>3969.4</v>
      </c>
      <c r="F329" s="49"/>
      <c r="G329" s="101"/>
      <c r="H329" s="14">
        <f>E329+F329+G329</f>
        <v>3969.4</v>
      </c>
      <c r="I329" s="7">
        <v>953.7</v>
      </c>
      <c r="J329" s="7"/>
      <c r="K329" s="50">
        <f>H329+I329+J329</f>
        <v>4923.1</v>
      </c>
      <c r="L329" s="49"/>
      <c r="M329" s="7"/>
      <c r="N329" s="50">
        <f>K329+L329+M329</f>
        <v>4923.1</v>
      </c>
    </row>
    <row r="330" spans="1:14" ht="12.75">
      <c r="A330" s="116" t="s">
        <v>252</v>
      </c>
      <c r="B330" s="49"/>
      <c r="C330" s="7"/>
      <c r="D330" s="7">
        <v>700</v>
      </c>
      <c r="E330" s="50">
        <f>B330+C330+D330</f>
        <v>700</v>
      </c>
      <c r="F330" s="49"/>
      <c r="G330" s="101"/>
      <c r="H330" s="14">
        <f>E330+F330+G330</f>
        <v>700</v>
      </c>
      <c r="I330" s="7"/>
      <c r="J330" s="7"/>
      <c r="K330" s="50">
        <f>H330+I330+J330</f>
        <v>700</v>
      </c>
      <c r="L330" s="49"/>
      <c r="M330" s="7"/>
      <c r="N330" s="50">
        <f>K330+L330+M330</f>
        <v>700</v>
      </c>
    </row>
    <row r="331" spans="1:14" ht="12.75">
      <c r="A331" s="82" t="s">
        <v>114</v>
      </c>
      <c r="B331" s="53"/>
      <c r="C331" s="10">
        <f>19413.5+4522</f>
        <v>23935.5</v>
      </c>
      <c r="D331" s="10"/>
      <c r="E331" s="54">
        <f>B331+C331+D331</f>
        <v>23935.5</v>
      </c>
      <c r="F331" s="53"/>
      <c r="G331" s="16"/>
      <c r="H331" s="160">
        <f>E331+F331+G331</f>
        <v>23935.5</v>
      </c>
      <c r="I331" s="10"/>
      <c r="J331" s="10">
        <v>-15634.6</v>
      </c>
      <c r="K331" s="54">
        <f>H331+I331+J331</f>
        <v>8300.9</v>
      </c>
      <c r="L331" s="53"/>
      <c r="M331" s="10"/>
      <c r="N331" s="54">
        <f>K331+L331+M331</f>
        <v>8300.9</v>
      </c>
    </row>
    <row r="332" spans="1:14" ht="12.75">
      <c r="A332" s="68" t="s">
        <v>165</v>
      </c>
      <c r="B332" s="47">
        <f aca="true" t="shared" si="101" ref="B332:N332">B333+B353</f>
        <v>133078.2</v>
      </c>
      <c r="C332" s="6">
        <f t="shared" si="101"/>
        <v>65916.5</v>
      </c>
      <c r="D332" s="6">
        <f t="shared" si="101"/>
        <v>205.5</v>
      </c>
      <c r="E332" s="48">
        <f t="shared" si="101"/>
        <v>199200.2</v>
      </c>
      <c r="F332" s="47">
        <f t="shared" si="101"/>
        <v>28076.7</v>
      </c>
      <c r="G332" s="120">
        <f t="shared" si="101"/>
        <v>26600</v>
      </c>
      <c r="H332" s="157">
        <f t="shared" si="101"/>
        <v>253876.90000000002</v>
      </c>
      <c r="I332" s="6">
        <f t="shared" si="101"/>
        <v>55298.70000000001</v>
      </c>
      <c r="J332" s="6">
        <f t="shared" si="101"/>
        <v>-15495.7</v>
      </c>
      <c r="K332" s="48">
        <f t="shared" si="101"/>
        <v>293679.89999999997</v>
      </c>
      <c r="L332" s="47">
        <f t="shared" si="101"/>
        <v>57232.399999999994</v>
      </c>
      <c r="M332" s="6">
        <f t="shared" si="101"/>
        <v>0</v>
      </c>
      <c r="N332" s="48">
        <f t="shared" si="101"/>
        <v>350912.3</v>
      </c>
    </row>
    <row r="333" spans="1:14" ht="12.75">
      <c r="A333" s="77" t="s">
        <v>77</v>
      </c>
      <c r="B333" s="57">
        <f>SUM(B335:B352)</f>
        <v>133078.2</v>
      </c>
      <c r="C333" s="12">
        <f aca="true" t="shared" si="102" ref="C333:N333">SUM(C335:C352)</f>
        <v>64685.299999999996</v>
      </c>
      <c r="D333" s="12">
        <f t="shared" si="102"/>
        <v>205.5</v>
      </c>
      <c r="E333" s="58">
        <f t="shared" si="102"/>
        <v>197969</v>
      </c>
      <c r="F333" s="57">
        <f t="shared" si="102"/>
        <v>28076.7</v>
      </c>
      <c r="G333" s="122">
        <f t="shared" si="102"/>
        <v>26350</v>
      </c>
      <c r="H333" s="159">
        <f t="shared" si="102"/>
        <v>252395.7</v>
      </c>
      <c r="I333" s="12">
        <f t="shared" si="102"/>
        <v>34918.90000000001</v>
      </c>
      <c r="J333" s="12">
        <f t="shared" si="102"/>
        <v>-14447</v>
      </c>
      <c r="K333" s="58">
        <f t="shared" si="102"/>
        <v>272867.6</v>
      </c>
      <c r="L333" s="57">
        <f t="shared" si="102"/>
        <v>30296.699999999997</v>
      </c>
      <c r="M333" s="12">
        <f t="shared" si="102"/>
        <v>0</v>
      </c>
      <c r="N333" s="58">
        <f t="shared" si="102"/>
        <v>303164.3</v>
      </c>
    </row>
    <row r="334" spans="1:14" ht="12.75">
      <c r="A334" s="73" t="s">
        <v>47</v>
      </c>
      <c r="B334" s="49"/>
      <c r="C334" s="7"/>
      <c r="D334" s="7"/>
      <c r="E334" s="50"/>
      <c r="F334" s="49"/>
      <c r="G334" s="101"/>
      <c r="H334" s="14"/>
      <c r="I334" s="7"/>
      <c r="J334" s="7"/>
      <c r="K334" s="50"/>
      <c r="L334" s="49"/>
      <c r="M334" s="7"/>
      <c r="N334" s="50"/>
    </row>
    <row r="335" spans="1:14" ht="12.75">
      <c r="A335" s="84" t="s">
        <v>166</v>
      </c>
      <c r="B335" s="49">
        <v>78118.2</v>
      </c>
      <c r="C335" s="7">
        <v>620.6</v>
      </c>
      <c r="D335" s="7"/>
      <c r="E335" s="50">
        <f>B335+C335+D335</f>
        <v>78738.8</v>
      </c>
      <c r="F335" s="49"/>
      <c r="G335" s="101"/>
      <c r="H335" s="14">
        <f>E335+F335+G335</f>
        <v>78738.8</v>
      </c>
      <c r="I335" s="7"/>
      <c r="J335" s="7">
        <v>38920</v>
      </c>
      <c r="K335" s="50">
        <f>H335+I335+J335</f>
        <v>117658.8</v>
      </c>
      <c r="L335" s="49"/>
      <c r="M335" s="7"/>
      <c r="N335" s="50">
        <f>K335+L335+M335</f>
        <v>117658.8</v>
      </c>
    </row>
    <row r="336" spans="1:14" ht="12.75">
      <c r="A336" s="71" t="s">
        <v>221</v>
      </c>
      <c r="B336" s="49">
        <v>45700</v>
      </c>
      <c r="C336" s="7"/>
      <c r="D336" s="7"/>
      <c r="E336" s="50">
        <f aca="true" t="shared" si="103" ref="E336:E352">B336+C336+D336</f>
        <v>45700</v>
      </c>
      <c r="F336" s="49"/>
      <c r="G336" s="101"/>
      <c r="H336" s="14">
        <f aca="true" t="shared" si="104" ref="H336:H352">E336+F336+G336</f>
        <v>45700</v>
      </c>
      <c r="I336" s="7"/>
      <c r="J336" s="7">
        <f>-31253-14447</f>
        <v>-45700</v>
      </c>
      <c r="K336" s="50">
        <f aca="true" t="shared" si="105" ref="K336:K352">H336+I336+J336</f>
        <v>0</v>
      </c>
      <c r="L336" s="66">
        <v>8966</v>
      </c>
      <c r="M336" s="7"/>
      <c r="N336" s="50">
        <f aca="true" t="shared" si="106" ref="N336:N352">K336+L336+M336</f>
        <v>8966</v>
      </c>
    </row>
    <row r="337" spans="1:14" ht="12.75">
      <c r="A337" s="71" t="s">
        <v>80</v>
      </c>
      <c r="B337" s="49">
        <v>9260</v>
      </c>
      <c r="C337" s="7">
        <f>-182.5+7667+10</f>
        <v>7494.5</v>
      </c>
      <c r="D337" s="7">
        <v>205.5</v>
      </c>
      <c r="E337" s="50">
        <f t="shared" si="103"/>
        <v>16960</v>
      </c>
      <c r="F337" s="49"/>
      <c r="G337" s="101">
        <v>-250</v>
      </c>
      <c r="H337" s="14">
        <f t="shared" si="104"/>
        <v>16710</v>
      </c>
      <c r="I337" s="7"/>
      <c r="J337" s="7">
        <v>-7667</v>
      </c>
      <c r="K337" s="50">
        <f t="shared" si="105"/>
        <v>9043</v>
      </c>
      <c r="L337" s="49"/>
      <c r="M337" s="7"/>
      <c r="N337" s="50">
        <f t="shared" si="106"/>
        <v>9043</v>
      </c>
    </row>
    <row r="338" spans="1:14" ht="12.75" hidden="1">
      <c r="A338" s="71" t="s">
        <v>95</v>
      </c>
      <c r="B338" s="49"/>
      <c r="C338" s="7"/>
      <c r="D338" s="7"/>
      <c r="E338" s="50">
        <f t="shared" si="103"/>
        <v>0</v>
      </c>
      <c r="F338" s="49"/>
      <c r="G338" s="101"/>
      <c r="H338" s="14">
        <f t="shared" si="104"/>
        <v>0</v>
      </c>
      <c r="I338" s="7"/>
      <c r="J338" s="7"/>
      <c r="K338" s="50">
        <f t="shared" si="105"/>
        <v>0</v>
      </c>
      <c r="L338" s="49"/>
      <c r="M338" s="7"/>
      <c r="N338" s="50">
        <f t="shared" si="106"/>
        <v>0</v>
      </c>
    </row>
    <row r="339" spans="1:14" ht="12.75">
      <c r="A339" s="80" t="s">
        <v>232</v>
      </c>
      <c r="B339" s="49"/>
      <c r="C339" s="7">
        <v>629.5</v>
      </c>
      <c r="D339" s="7"/>
      <c r="E339" s="50">
        <f t="shared" si="103"/>
        <v>629.5</v>
      </c>
      <c r="F339" s="49"/>
      <c r="G339" s="101"/>
      <c r="H339" s="14">
        <f t="shared" si="104"/>
        <v>629.5</v>
      </c>
      <c r="I339" s="7"/>
      <c r="J339" s="7"/>
      <c r="K339" s="50">
        <f t="shared" si="105"/>
        <v>629.5</v>
      </c>
      <c r="L339" s="49"/>
      <c r="M339" s="7"/>
      <c r="N339" s="50">
        <f t="shared" si="106"/>
        <v>629.5</v>
      </c>
    </row>
    <row r="340" spans="1:14" ht="12.75">
      <c r="A340" s="80" t="s">
        <v>246</v>
      </c>
      <c r="B340" s="49"/>
      <c r="C340" s="7">
        <v>5277.6</v>
      </c>
      <c r="D340" s="7"/>
      <c r="E340" s="50">
        <f t="shared" si="103"/>
        <v>5277.6</v>
      </c>
      <c r="F340" s="49">
        <v>2920</v>
      </c>
      <c r="G340" s="101"/>
      <c r="H340" s="14">
        <f t="shared" si="104"/>
        <v>8197.6</v>
      </c>
      <c r="I340" s="7">
        <v>4757.3</v>
      </c>
      <c r="J340" s="7"/>
      <c r="K340" s="50">
        <f t="shared" si="105"/>
        <v>12954.900000000001</v>
      </c>
      <c r="L340" s="49"/>
      <c r="M340" s="7"/>
      <c r="N340" s="50">
        <f t="shared" si="106"/>
        <v>12954.900000000001</v>
      </c>
    </row>
    <row r="341" spans="1:14" ht="12.75">
      <c r="A341" s="80" t="s">
        <v>296</v>
      </c>
      <c r="B341" s="49"/>
      <c r="C341" s="7">
        <v>3098.8</v>
      </c>
      <c r="D341" s="7"/>
      <c r="E341" s="50">
        <f t="shared" si="103"/>
        <v>3098.8</v>
      </c>
      <c r="F341" s="49"/>
      <c r="G341" s="101"/>
      <c r="H341" s="14">
        <f t="shared" si="104"/>
        <v>3098.8</v>
      </c>
      <c r="I341" s="7"/>
      <c r="J341" s="7"/>
      <c r="K341" s="50">
        <f t="shared" si="105"/>
        <v>3098.8</v>
      </c>
      <c r="L341" s="49"/>
      <c r="M341" s="7"/>
      <c r="N341" s="50">
        <f t="shared" si="106"/>
        <v>3098.8</v>
      </c>
    </row>
    <row r="342" spans="1:14" ht="12.75">
      <c r="A342" s="80" t="s">
        <v>247</v>
      </c>
      <c r="B342" s="49"/>
      <c r="C342" s="7">
        <v>3670.4</v>
      </c>
      <c r="D342" s="7"/>
      <c r="E342" s="50">
        <f t="shared" si="103"/>
        <v>3670.4</v>
      </c>
      <c r="F342" s="49">
        <v>4226.8</v>
      </c>
      <c r="G342" s="101"/>
      <c r="H342" s="14">
        <f t="shared" si="104"/>
        <v>7897.200000000001</v>
      </c>
      <c r="I342" s="7">
        <v>5016.3</v>
      </c>
      <c r="J342" s="7"/>
      <c r="K342" s="50">
        <f t="shared" si="105"/>
        <v>12913.5</v>
      </c>
      <c r="L342" s="49"/>
      <c r="M342" s="7"/>
      <c r="N342" s="50">
        <f t="shared" si="106"/>
        <v>12913.5</v>
      </c>
    </row>
    <row r="343" spans="1:14" ht="12.75">
      <c r="A343" s="71" t="s">
        <v>233</v>
      </c>
      <c r="B343" s="49"/>
      <c r="C343" s="7">
        <v>17524.6</v>
      </c>
      <c r="D343" s="7"/>
      <c r="E343" s="50">
        <f t="shared" si="103"/>
        <v>17524.6</v>
      </c>
      <c r="F343" s="49"/>
      <c r="G343" s="101"/>
      <c r="H343" s="14">
        <f t="shared" si="104"/>
        <v>17524.6</v>
      </c>
      <c r="I343" s="7"/>
      <c r="J343" s="7"/>
      <c r="K343" s="50">
        <f t="shared" si="105"/>
        <v>17524.6</v>
      </c>
      <c r="L343" s="49"/>
      <c r="M343" s="7"/>
      <c r="N343" s="50">
        <f t="shared" si="106"/>
        <v>17524.6</v>
      </c>
    </row>
    <row r="344" spans="1:14" ht="12.75">
      <c r="A344" s="71" t="s">
        <v>248</v>
      </c>
      <c r="B344" s="49"/>
      <c r="C344" s="7">
        <v>22692.1</v>
      </c>
      <c r="D344" s="7"/>
      <c r="E344" s="50">
        <f t="shared" si="103"/>
        <v>22692.1</v>
      </c>
      <c r="F344" s="49">
        <v>17297.8</v>
      </c>
      <c r="G344" s="101"/>
      <c r="H344" s="14">
        <f t="shared" si="104"/>
        <v>39989.899999999994</v>
      </c>
      <c r="I344" s="7">
        <v>21124.3</v>
      </c>
      <c r="J344" s="7"/>
      <c r="K344" s="50">
        <f t="shared" si="105"/>
        <v>61114.2</v>
      </c>
      <c r="L344" s="49">
        <v>18107.8</v>
      </c>
      <c r="M344" s="7"/>
      <c r="N344" s="50">
        <f t="shared" si="106"/>
        <v>79222</v>
      </c>
    </row>
    <row r="345" spans="1:14" ht="12.75">
      <c r="A345" s="69" t="s">
        <v>297</v>
      </c>
      <c r="B345" s="49"/>
      <c r="C345" s="7">
        <v>42.5</v>
      </c>
      <c r="D345" s="7"/>
      <c r="E345" s="50">
        <f t="shared" si="103"/>
        <v>42.5</v>
      </c>
      <c r="F345" s="49"/>
      <c r="G345" s="101"/>
      <c r="H345" s="14">
        <f t="shared" si="104"/>
        <v>42.5</v>
      </c>
      <c r="I345" s="7"/>
      <c r="J345" s="7"/>
      <c r="K345" s="50">
        <f t="shared" si="105"/>
        <v>42.5</v>
      </c>
      <c r="L345" s="49"/>
      <c r="M345" s="7"/>
      <c r="N345" s="50">
        <f t="shared" si="106"/>
        <v>42.5</v>
      </c>
    </row>
    <row r="346" spans="1:14" ht="12.75">
      <c r="A346" s="80" t="s">
        <v>234</v>
      </c>
      <c r="B346" s="49"/>
      <c r="C346" s="7">
        <v>3189.5</v>
      </c>
      <c r="D346" s="7"/>
      <c r="E346" s="50">
        <f t="shared" si="103"/>
        <v>3189.5</v>
      </c>
      <c r="F346" s="49">
        <v>2368</v>
      </c>
      <c r="G346" s="101"/>
      <c r="H346" s="14">
        <f t="shared" si="104"/>
        <v>5557.5</v>
      </c>
      <c r="I346" s="7">
        <v>1927.3</v>
      </c>
      <c r="J346" s="7"/>
      <c r="K346" s="50">
        <f t="shared" si="105"/>
        <v>7484.8</v>
      </c>
      <c r="L346" s="49">
        <v>1957.6</v>
      </c>
      <c r="M346" s="7"/>
      <c r="N346" s="50">
        <f t="shared" si="106"/>
        <v>9442.4</v>
      </c>
    </row>
    <row r="347" spans="1:14" ht="12.75" hidden="1">
      <c r="A347" s="70" t="s">
        <v>167</v>
      </c>
      <c r="B347" s="49"/>
      <c r="C347" s="7"/>
      <c r="D347" s="7"/>
      <c r="E347" s="50">
        <f t="shared" si="103"/>
        <v>0</v>
      </c>
      <c r="F347" s="49"/>
      <c r="G347" s="101"/>
      <c r="H347" s="14">
        <f t="shared" si="104"/>
        <v>0</v>
      </c>
      <c r="I347" s="7"/>
      <c r="J347" s="7"/>
      <c r="K347" s="50">
        <f t="shared" si="105"/>
        <v>0</v>
      </c>
      <c r="L347" s="49"/>
      <c r="M347" s="7"/>
      <c r="N347" s="50">
        <f t="shared" si="106"/>
        <v>0</v>
      </c>
    </row>
    <row r="348" spans="1:14" ht="12.75">
      <c r="A348" s="74" t="s">
        <v>168</v>
      </c>
      <c r="B348" s="53"/>
      <c r="C348" s="10">
        <v>445.2</v>
      </c>
      <c r="D348" s="10"/>
      <c r="E348" s="54">
        <f t="shared" si="103"/>
        <v>445.2</v>
      </c>
      <c r="F348" s="53">
        <v>174.4</v>
      </c>
      <c r="G348" s="16"/>
      <c r="H348" s="160">
        <f t="shared" si="104"/>
        <v>619.6</v>
      </c>
      <c r="I348" s="10">
        <f>287.6+475.3+305.2+380.8</f>
        <v>1448.9</v>
      </c>
      <c r="J348" s="10"/>
      <c r="K348" s="54">
        <f t="shared" si="105"/>
        <v>2068.5</v>
      </c>
      <c r="L348" s="160">
        <f>440.5+468+356.8</f>
        <v>1265.3</v>
      </c>
      <c r="M348" s="10"/>
      <c r="N348" s="54">
        <f t="shared" si="106"/>
        <v>3333.8</v>
      </c>
    </row>
    <row r="349" spans="1:14" ht="12.75">
      <c r="A349" s="71" t="s">
        <v>257</v>
      </c>
      <c r="B349" s="49"/>
      <c r="C349" s="7"/>
      <c r="D349" s="7"/>
      <c r="E349" s="50">
        <f t="shared" si="103"/>
        <v>0</v>
      </c>
      <c r="F349" s="49">
        <v>1089.7</v>
      </c>
      <c r="G349" s="101"/>
      <c r="H349" s="14">
        <f t="shared" si="104"/>
        <v>1089.7</v>
      </c>
      <c r="I349" s="7">
        <f>131.7+330.1+40+43</f>
        <v>544.8</v>
      </c>
      <c r="J349" s="7"/>
      <c r="K349" s="50">
        <f t="shared" si="105"/>
        <v>1634.5</v>
      </c>
      <c r="L349" s="49"/>
      <c r="M349" s="7"/>
      <c r="N349" s="50">
        <f t="shared" si="106"/>
        <v>1634.5</v>
      </c>
    </row>
    <row r="350" spans="1:14" ht="12.75">
      <c r="A350" s="95" t="s">
        <v>159</v>
      </c>
      <c r="B350" s="49"/>
      <c r="C350" s="7"/>
      <c r="D350" s="7"/>
      <c r="E350" s="50"/>
      <c r="F350" s="49"/>
      <c r="G350" s="101"/>
      <c r="H350" s="14"/>
      <c r="I350" s="7">
        <v>100</v>
      </c>
      <c r="J350" s="7"/>
      <c r="K350" s="50">
        <f t="shared" si="105"/>
        <v>100</v>
      </c>
      <c r="L350" s="49"/>
      <c r="M350" s="7"/>
      <c r="N350" s="50">
        <f t="shared" si="106"/>
        <v>100</v>
      </c>
    </row>
    <row r="351" spans="1:14" ht="12.75" hidden="1">
      <c r="A351" s="71" t="s">
        <v>98</v>
      </c>
      <c r="B351" s="49"/>
      <c r="C351" s="7"/>
      <c r="D351" s="7"/>
      <c r="E351" s="50">
        <f t="shared" si="103"/>
        <v>0</v>
      </c>
      <c r="F351" s="49"/>
      <c r="G351" s="101"/>
      <c r="H351" s="14">
        <f t="shared" si="104"/>
        <v>0</v>
      </c>
      <c r="I351" s="7"/>
      <c r="J351" s="7"/>
      <c r="K351" s="50">
        <f t="shared" si="105"/>
        <v>0</v>
      </c>
      <c r="L351" s="49"/>
      <c r="M351" s="7"/>
      <c r="N351" s="50">
        <f t="shared" si="106"/>
        <v>0</v>
      </c>
    </row>
    <row r="352" spans="1:14" ht="12.75">
      <c r="A352" s="71" t="s">
        <v>99</v>
      </c>
      <c r="B352" s="49"/>
      <c r="C352" s="7"/>
      <c r="D352" s="7"/>
      <c r="E352" s="50">
        <f t="shared" si="103"/>
        <v>0</v>
      </c>
      <c r="F352" s="49"/>
      <c r="G352" s="101">
        <v>26600</v>
      </c>
      <c r="H352" s="14">
        <f t="shared" si="104"/>
        <v>26600</v>
      </c>
      <c r="I352" s="7"/>
      <c r="J352" s="7"/>
      <c r="K352" s="50">
        <f t="shared" si="105"/>
        <v>26600</v>
      </c>
      <c r="L352" s="49"/>
      <c r="M352" s="7"/>
      <c r="N352" s="50">
        <f t="shared" si="106"/>
        <v>26600</v>
      </c>
    </row>
    <row r="353" spans="1:14" ht="12.75">
      <c r="A353" s="77" t="s">
        <v>83</v>
      </c>
      <c r="B353" s="57">
        <f aca="true" t="shared" si="107" ref="B353:N353">SUM(B355:B358)</f>
        <v>0</v>
      </c>
      <c r="C353" s="12">
        <f t="shared" si="107"/>
        <v>1231.2</v>
      </c>
      <c r="D353" s="12">
        <f t="shared" si="107"/>
        <v>0</v>
      </c>
      <c r="E353" s="58">
        <f t="shared" si="107"/>
        <v>1231.2</v>
      </c>
      <c r="F353" s="57">
        <f t="shared" si="107"/>
        <v>0</v>
      </c>
      <c r="G353" s="122">
        <f t="shared" si="107"/>
        <v>250</v>
      </c>
      <c r="H353" s="159">
        <f t="shared" si="107"/>
        <v>1481.2</v>
      </c>
      <c r="I353" s="12">
        <f t="shared" si="107"/>
        <v>20379.8</v>
      </c>
      <c r="J353" s="12">
        <f t="shared" si="107"/>
        <v>-1048.7</v>
      </c>
      <c r="K353" s="58">
        <f t="shared" si="107"/>
        <v>20812.3</v>
      </c>
      <c r="L353" s="57">
        <f t="shared" si="107"/>
        <v>26935.7</v>
      </c>
      <c r="M353" s="12">
        <f t="shared" si="107"/>
        <v>0</v>
      </c>
      <c r="N353" s="58">
        <f t="shared" si="107"/>
        <v>47748</v>
      </c>
    </row>
    <row r="354" spans="1:14" ht="12.75">
      <c r="A354" s="73" t="s">
        <v>47</v>
      </c>
      <c r="B354" s="49"/>
      <c r="C354" s="7"/>
      <c r="D354" s="7"/>
      <c r="E354" s="50"/>
      <c r="F354" s="49"/>
      <c r="G354" s="101"/>
      <c r="H354" s="14"/>
      <c r="I354" s="7"/>
      <c r="J354" s="7"/>
      <c r="K354" s="50"/>
      <c r="L354" s="49"/>
      <c r="M354" s="7"/>
      <c r="N354" s="50"/>
    </row>
    <row r="355" spans="1:14" ht="12.75" hidden="1">
      <c r="A355" s="71" t="s">
        <v>155</v>
      </c>
      <c r="B355" s="49"/>
      <c r="C355" s="7"/>
      <c r="D355" s="7"/>
      <c r="E355" s="50">
        <f>B355+C355+D355</f>
        <v>0</v>
      </c>
      <c r="F355" s="49"/>
      <c r="G355" s="101"/>
      <c r="H355" s="14">
        <f>E355+F355+G355</f>
        <v>0</v>
      </c>
      <c r="I355" s="7"/>
      <c r="J355" s="7"/>
      <c r="K355" s="50">
        <f>H355+I355+J355</f>
        <v>0</v>
      </c>
      <c r="L355" s="49"/>
      <c r="M355" s="7"/>
      <c r="N355" s="50">
        <f>K355+L355+M355</f>
        <v>0</v>
      </c>
    </row>
    <row r="356" spans="1:14" ht="12.75">
      <c r="A356" s="71" t="s">
        <v>280</v>
      </c>
      <c r="B356" s="49"/>
      <c r="C356" s="7"/>
      <c r="D356" s="7"/>
      <c r="E356" s="50"/>
      <c r="F356" s="49"/>
      <c r="G356" s="101"/>
      <c r="H356" s="14">
        <f>E356+F356+G356</f>
        <v>0</v>
      </c>
      <c r="I356" s="7">
        <f>12322.1+8057.7</f>
        <v>20379.8</v>
      </c>
      <c r="J356" s="7"/>
      <c r="K356" s="50">
        <f>H356+I356+J356</f>
        <v>20379.8</v>
      </c>
      <c r="L356" s="14">
        <v>26935.7</v>
      </c>
      <c r="M356" s="7"/>
      <c r="N356" s="50">
        <f>K356+L356+M356</f>
        <v>47315.5</v>
      </c>
    </row>
    <row r="357" spans="1:14" ht="12.75" hidden="1">
      <c r="A357" s="71" t="s">
        <v>113</v>
      </c>
      <c r="B357" s="49"/>
      <c r="C357" s="7">
        <v>1048.7</v>
      </c>
      <c r="D357" s="7"/>
      <c r="E357" s="50">
        <f>B357+C357+D357</f>
        <v>1048.7</v>
      </c>
      <c r="F357" s="49"/>
      <c r="G357" s="101"/>
      <c r="H357" s="14">
        <f>E357+F357+G357</f>
        <v>1048.7</v>
      </c>
      <c r="I357" s="7"/>
      <c r="J357" s="7">
        <v>-1048.7</v>
      </c>
      <c r="K357" s="50">
        <f>H357+I357+J357</f>
        <v>0</v>
      </c>
      <c r="L357" s="49"/>
      <c r="M357" s="7"/>
      <c r="N357" s="50">
        <f>K357+L357+M357</f>
        <v>0</v>
      </c>
    </row>
    <row r="358" spans="1:14" ht="12.75">
      <c r="A358" s="74" t="s">
        <v>84</v>
      </c>
      <c r="B358" s="53"/>
      <c r="C358" s="10">
        <v>182.5</v>
      </c>
      <c r="D358" s="10"/>
      <c r="E358" s="54">
        <f>B358+C358+D358</f>
        <v>182.5</v>
      </c>
      <c r="F358" s="53"/>
      <c r="G358" s="16">
        <v>250</v>
      </c>
      <c r="H358" s="160">
        <f>E358+F358+G358</f>
        <v>432.5</v>
      </c>
      <c r="I358" s="10"/>
      <c r="J358" s="10"/>
      <c r="K358" s="54">
        <f>H358+I358+J358</f>
        <v>432.5</v>
      </c>
      <c r="L358" s="53"/>
      <c r="M358" s="10"/>
      <c r="N358" s="54">
        <f>K358+L358+M358</f>
        <v>432.5</v>
      </c>
    </row>
    <row r="359" spans="1:14" ht="12.75">
      <c r="A359" s="72" t="s">
        <v>169</v>
      </c>
      <c r="B359" s="47">
        <f aca="true" t="shared" si="108" ref="B359:N359">B360+B373</f>
        <v>7720</v>
      </c>
      <c r="C359" s="6" t="e">
        <f t="shared" si="108"/>
        <v>#REF!</v>
      </c>
      <c r="D359" s="6" t="e">
        <f t="shared" si="108"/>
        <v>#REF!</v>
      </c>
      <c r="E359" s="48" t="e">
        <f t="shared" si="108"/>
        <v>#REF!</v>
      </c>
      <c r="F359" s="47" t="e">
        <f t="shared" si="108"/>
        <v>#REF!</v>
      </c>
      <c r="G359" s="120" t="e">
        <f t="shared" si="108"/>
        <v>#REF!</v>
      </c>
      <c r="H359" s="157">
        <f t="shared" si="108"/>
        <v>114262.3</v>
      </c>
      <c r="I359" s="6">
        <f t="shared" si="108"/>
        <v>38598.100000000006</v>
      </c>
      <c r="J359" s="6">
        <f t="shared" si="108"/>
        <v>2549.9</v>
      </c>
      <c r="K359" s="48">
        <f t="shared" si="108"/>
        <v>155410.30000000002</v>
      </c>
      <c r="L359" s="47">
        <f t="shared" si="108"/>
        <v>33693.1</v>
      </c>
      <c r="M359" s="6" t="e">
        <f t="shared" si="108"/>
        <v>#REF!</v>
      </c>
      <c r="N359" s="48">
        <f t="shared" si="108"/>
        <v>189103.39999999997</v>
      </c>
    </row>
    <row r="360" spans="1:14" ht="12.75">
      <c r="A360" s="77" t="s">
        <v>77</v>
      </c>
      <c r="B360" s="57">
        <f>SUM(B362:B372)</f>
        <v>5920</v>
      </c>
      <c r="C360" s="12" t="e">
        <f>SUM(C362:C372)-#REF!</f>
        <v>#REF!</v>
      </c>
      <c r="D360" s="12" t="e">
        <f>SUM(D362:D372)-#REF!</f>
        <v>#REF!</v>
      </c>
      <c r="E360" s="58" t="e">
        <f>SUM(E362:E372)-#REF!</f>
        <v>#REF!</v>
      </c>
      <c r="F360" s="57" t="e">
        <f>SUM(F362:F372)-#REF!</f>
        <v>#REF!</v>
      </c>
      <c r="G360" s="122" t="e">
        <f>SUM(G362:G372)-#REF!</f>
        <v>#REF!</v>
      </c>
      <c r="H360" s="159">
        <f>SUM(H362:H372)</f>
        <v>44503.7</v>
      </c>
      <c r="I360" s="12">
        <f>SUM(I362:I372)</f>
        <v>1775.4</v>
      </c>
      <c r="J360" s="12">
        <f>SUM(J362:J372)</f>
        <v>-113.69999999999999</v>
      </c>
      <c r="K360" s="58">
        <f>SUM(K362:K372)</f>
        <v>46165.4</v>
      </c>
      <c r="L360" s="57">
        <f>SUM(L362:L372)</f>
        <v>-2067.5</v>
      </c>
      <c r="M360" s="12" t="e">
        <f>SUM(M362:M372)-#REF!</f>
        <v>#REF!</v>
      </c>
      <c r="N360" s="58">
        <f>SUM(N362:N372)</f>
        <v>44097.9</v>
      </c>
    </row>
    <row r="361" spans="1:14" ht="12.75">
      <c r="A361" s="73" t="s">
        <v>47</v>
      </c>
      <c r="B361" s="49"/>
      <c r="C361" s="7"/>
      <c r="D361" s="7"/>
      <c r="E361" s="48"/>
      <c r="F361" s="49"/>
      <c r="G361" s="101"/>
      <c r="H361" s="157"/>
      <c r="I361" s="7"/>
      <c r="J361" s="7"/>
      <c r="K361" s="48"/>
      <c r="L361" s="49"/>
      <c r="M361" s="7"/>
      <c r="N361" s="48"/>
    </row>
    <row r="362" spans="1:14" ht="12.75">
      <c r="A362" s="71" t="s">
        <v>80</v>
      </c>
      <c r="B362" s="49">
        <v>5920</v>
      </c>
      <c r="C362" s="7">
        <v>2000</v>
      </c>
      <c r="D362" s="7">
        <v>2000</v>
      </c>
      <c r="E362" s="50">
        <f>B362+C362+D362</f>
        <v>9920</v>
      </c>
      <c r="F362" s="49"/>
      <c r="G362" s="101">
        <f>200+200</f>
        <v>400</v>
      </c>
      <c r="H362" s="14">
        <f>E362+F362+G362</f>
        <v>10320</v>
      </c>
      <c r="I362" s="7"/>
      <c r="J362" s="7"/>
      <c r="K362" s="50">
        <f>H362+I362+J362</f>
        <v>10320</v>
      </c>
      <c r="L362" s="49">
        <f>-756-80-2375</f>
        <v>-3211</v>
      </c>
      <c r="M362" s="7"/>
      <c r="N362" s="50">
        <f>K362+L362+M362</f>
        <v>7109</v>
      </c>
    </row>
    <row r="363" spans="1:14" ht="12.75" hidden="1">
      <c r="A363" s="71" t="s">
        <v>170</v>
      </c>
      <c r="B363" s="49"/>
      <c r="C363" s="7"/>
      <c r="D363" s="7"/>
      <c r="E363" s="50">
        <f aca="true" t="shared" si="109" ref="E363:E372">B363+C363+D363</f>
        <v>0</v>
      </c>
      <c r="F363" s="49"/>
      <c r="G363" s="101"/>
      <c r="H363" s="14">
        <f aca="true" t="shared" si="110" ref="H363:H372">E363+F363+G363</f>
        <v>0</v>
      </c>
      <c r="I363" s="7"/>
      <c r="J363" s="7"/>
      <c r="K363" s="50">
        <f aca="true" t="shared" si="111" ref="K363:K372">H363+I363+J363</f>
        <v>0</v>
      </c>
      <c r="L363" s="49"/>
      <c r="M363" s="7"/>
      <c r="N363" s="50">
        <f aca="true" t="shared" si="112" ref="N363:N372">K363+L363+M363</f>
        <v>0</v>
      </c>
    </row>
    <row r="364" spans="1:14" ht="12.75">
      <c r="A364" s="71" t="s">
        <v>171</v>
      </c>
      <c r="B364" s="49"/>
      <c r="C364" s="7">
        <v>150</v>
      </c>
      <c r="D364" s="7"/>
      <c r="E364" s="50">
        <f t="shared" si="109"/>
        <v>150</v>
      </c>
      <c r="F364" s="49"/>
      <c r="G364" s="101"/>
      <c r="H364" s="14">
        <f t="shared" si="110"/>
        <v>150</v>
      </c>
      <c r="I364" s="7"/>
      <c r="J364" s="7"/>
      <c r="K364" s="50">
        <f t="shared" si="111"/>
        <v>150</v>
      </c>
      <c r="L364" s="49"/>
      <c r="M364" s="7"/>
      <c r="N364" s="50">
        <f t="shared" si="112"/>
        <v>150</v>
      </c>
    </row>
    <row r="365" spans="1:14" ht="12.75">
      <c r="A365" s="71" t="s">
        <v>278</v>
      </c>
      <c r="B365" s="49"/>
      <c r="C365" s="7"/>
      <c r="D365" s="7"/>
      <c r="E365" s="50"/>
      <c r="F365" s="49"/>
      <c r="G365" s="101"/>
      <c r="H365" s="14">
        <f t="shared" si="110"/>
        <v>0</v>
      </c>
      <c r="I365" s="7">
        <f>751.9+23.5</f>
        <v>775.4</v>
      </c>
      <c r="J365" s="7"/>
      <c r="K365" s="50">
        <f t="shared" si="111"/>
        <v>775.4</v>
      </c>
      <c r="L365" s="49">
        <v>-421.9</v>
      </c>
      <c r="M365" s="7"/>
      <c r="N365" s="50">
        <f t="shared" si="112"/>
        <v>353.5</v>
      </c>
    </row>
    <row r="366" spans="1:14" ht="12.75">
      <c r="A366" s="71" t="s">
        <v>113</v>
      </c>
      <c r="B366" s="49"/>
      <c r="C366" s="7">
        <f>44.6+170.4+215.7+740</f>
        <v>1170.7</v>
      </c>
      <c r="D366" s="7"/>
      <c r="E366" s="50">
        <f t="shared" si="109"/>
        <v>1170.7</v>
      </c>
      <c r="F366" s="49"/>
      <c r="G366" s="101">
        <v>21</v>
      </c>
      <c r="H366" s="14">
        <f t="shared" si="110"/>
        <v>1191.7</v>
      </c>
      <c r="I366" s="7"/>
      <c r="J366" s="7">
        <v>-215.7</v>
      </c>
      <c r="K366" s="50">
        <f t="shared" si="111"/>
        <v>976</v>
      </c>
      <c r="L366" s="49">
        <f>-740+90+421.9</f>
        <v>-228.10000000000002</v>
      </c>
      <c r="M366" s="7"/>
      <c r="N366" s="50">
        <f t="shared" si="112"/>
        <v>747.9</v>
      </c>
    </row>
    <row r="367" spans="1:14" ht="12.75">
      <c r="A367" s="71" t="s">
        <v>128</v>
      </c>
      <c r="B367" s="49"/>
      <c r="C367" s="7"/>
      <c r="D367" s="7">
        <v>16500</v>
      </c>
      <c r="E367" s="50">
        <f t="shared" si="109"/>
        <v>16500</v>
      </c>
      <c r="F367" s="49">
        <v>8500</v>
      </c>
      <c r="G367" s="101"/>
      <c r="H367" s="14">
        <f t="shared" si="110"/>
        <v>25000</v>
      </c>
      <c r="I367" s="7">
        <v>1000</v>
      </c>
      <c r="J367" s="7"/>
      <c r="K367" s="50">
        <f t="shared" si="111"/>
        <v>26000</v>
      </c>
      <c r="L367" s="49">
        <f>2359+529.7+42</f>
        <v>2930.7</v>
      </c>
      <c r="M367" s="7"/>
      <c r="N367" s="50">
        <f t="shared" si="112"/>
        <v>28930.7</v>
      </c>
    </row>
    <row r="368" spans="1:14" ht="12.75">
      <c r="A368" s="71" t="s">
        <v>95</v>
      </c>
      <c r="B368" s="49"/>
      <c r="C368" s="7"/>
      <c r="D368" s="7"/>
      <c r="E368" s="50">
        <f t="shared" si="109"/>
        <v>0</v>
      </c>
      <c r="F368" s="49"/>
      <c r="G368" s="101"/>
      <c r="H368" s="14">
        <f t="shared" si="110"/>
        <v>0</v>
      </c>
      <c r="I368" s="9"/>
      <c r="J368" s="7">
        <f>102</f>
        <v>102</v>
      </c>
      <c r="K368" s="50">
        <f t="shared" si="111"/>
        <v>102</v>
      </c>
      <c r="L368" s="49">
        <v>80</v>
      </c>
      <c r="M368" s="7"/>
      <c r="N368" s="50">
        <f t="shared" si="112"/>
        <v>182</v>
      </c>
    </row>
    <row r="369" spans="1:14" ht="12.75" hidden="1">
      <c r="A369" s="71" t="s">
        <v>96</v>
      </c>
      <c r="B369" s="49"/>
      <c r="C369" s="7"/>
      <c r="D369" s="7"/>
      <c r="E369" s="50">
        <f t="shared" si="109"/>
        <v>0</v>
      </c>
      <c r="F369" s="49"/>
      <c r="G369" s="101"/>
      <c r="H369" s="14">
        <f t="shared" si="110"/>
        <v>0</v>
      </c>
      <c r="I369" s="9"/>
      <c r="J369" s="7"/>
      <c r="K369" s="50">
        <f t="shared" si="111"/>
        <v>0</v>
      </c>
      <c r="L369" s="49"/>
      <c r="M369" s="7"/>
      <c r="N369" s="50">
        <f t="shared" si="112"/>
        <v>0</v>
      </c>
    </row>
    <row r="370" spans="1:14" ht="12.75">
      <c r="A370" s="80" t="s">
        <v>172</v>
      </c>
      <c r="B370" s="49"/>
      <c r="C370" s="7"/>
      <c r="D370" s="7"/>
      <c r="E370" s="50">
        <f t="shared" si="109"/>
        <v>0</v>
      </c>
      <c r="F370" s="49">
        <v>7842</v>
      </c>
      <c r="G370" s="101"/>
      <c r="H370" s="14">
        <f t="shared" si="110"/>
        <v>7842</v>
      </c>
      <c r="I370" s="7"/>
      <c r="J370" s="7"/>
      <c r="K370" s="50">
        <f t="shared" si="111"/>
        <v>7842</v>
      </c>
      <c r="L370" s="49">
        <v>-1568</v>
      </c>
      <c r="M370" s="7"/>
      <c r="N370" s="50">
        <f t="shared" si="112"/>
        <v>6274</v>
      </c>
    </row>
    <row r="371" spans="1:14" ht="12.75">
      <c r="A371" s="71" t="s">
        <v>293</v>
      </c>
      <c r="B371" s="49"/>
      <c r="C371" s="7"/>
      <c r="D371" s="7"/>
      <c r="E371" s="50"/>
      <c r="F371" s="49"/>
      <c r="G371" s="101"/>
      <c r="H371" s="14"/>
      <c r="I371" s="7"/>
      <c r="J371" s="7"/>
      <c r="K371" s="50">
        <f t="shared" si="111"/>
        <v>0</v>
      </c>
      <c r="L371" s="49">
        <v>350.8</v>
      </c>
      <c r="M371" s="7"/>
      <c r="N371" s="50">
        <f t="shared" si="112"/>
        <v>350.8</v>
      </c>
    </row>
    <row r="372" spans="1:14" ht="12.75" hidden="1">
      <c r="A372" s="71" t="s">
        <v>99</v>
      </c>
      <c r="B372" s="49"/>
      <c r="C372" s="7"/>
      <c r="D372" s="7"/>
      <c r="E372" s="50">
        <f t="shared" si="109"/>
        <v>0</v>
      </c>
      <c r="F372" s="49"/>
      <c r="G372" s="101"/>
      <c r="H372" s="14">
        <f t="shared" si="110"/>
        <v>0</v>
      </c>
      <c r="I372" s="7"/>
      <c r="J372" s="7"/>
      <c r="K372" s="50">
        <f t="shared" si="111"/>
        <v>0</v>
      </c>
      <c r="L372" s="49"/>
      <c r="M372" s="7"/>
      <c r="N372" s="50">
        <f t="shared" si="112"/>
        <v>0</v>
      </c>
    </row>
    <row r="373" spans="1:14" ht="12.75">
      <c r="A373" s="77" t="s">
        <v>83</v>
      </c>
      <c r="B373" s="57">
        <f aca="true" t="shared" si="113" ref="B373:N373">SUM(B375:B382)</f>
        <v>1800</v>
      </c>
      <c r="C373" s="12">
        <f t="shared" si="113"/>
        <v>5746.7</v>
      </c>
      <c r="D373" s="12">
        <f t="shared" si="113"/>
        <v>6500</v>
      </c>
      <c r="E373" s="58">
        <f t="shared" si="113"/>
        <v>14046.7</v>
      </c>
      <c r="F373" s="57">
        <f t="shared" si="113"/>
        <v>55732.9</v>
      </c>
      <c r="G373" s="122">
        <f t="shared" si="113"/>
        <v>-21</v>
      </c>
      <c r="H373" s="159">
        <f t="shared" si="113"/>
        <v>69758.6</v>
      </c>
      <c r="I373" s="12">
        <f t="shared" si="113"/>
        <v>36822.700000000004</v>
      </c>
      <c r="J373" s="12">
        <f t="shared" si="113"/>
        <v>2663.6</v>
      </c>
      <c r="K373" s="58">
        <f t="shared" si="113"/>
        <v>109244.90000000001</v>
      </c>
      <c r="L373" s="57">
        <f t="shared" si="113"/>
        <v>35760.6</v>
      </c>
      <c r="M373" s="12">
        <f t="shared" si="113"/>
        <v>0</v>
      </c>
      <c r="N373" s="58">
        <f t="shared" si="113"/>
        <v>145005.49999999997</v>
      </c>
    </row>
    <row r="374" spans="1:14" ht="12.75">
      <c r="A374" s="73" t="s">
        <v>47</v>
      </c>
      <c r="B374" s="49"/>
      <c r="C374" s="7"/>
      <c r="D374" s="7"/>
      <c r="E374" s="50"/>
      <c r="F374" s="49"/>
      <c r="G374" s="101"/>
      <c r="H374" s="14"/>
      <c r="I374" s="7"/>
      <c r="J374" s="7"/>
      <c r="K374" s="50"/>
      <c r="L374" s="49"/>
      <c r="M374" s="7"/>
      <c r="N374" s="50"/>
    </row>
    <row r="375" spans="1:14" ht="12.75">
      <c r="A375" s="75" t="s">
        <v>102</v>
      </c>
      <c r="B375" s="49"/>
      <c r="C375" s="7">
        <v>2000</v>
      </c>
      <c r="D375" s="7">
        <v>-2000</v>
      </c>
      <c r="E375" s="50">
        <f aca="true" t="shared" si="114" ref="E375:E382">B375+C375+D375</f>
        <v>0</v>
      </c>
      <c r="F375" s="49"/>
      <c r="G375" s="101"/>
      <c r="H375" s="14">
        <f aca="true" t="shared" si="115" ref="H375:H382">E375+F375+G375</f>
        <v>0</v>
      </c>
      <c r="I375" s="7">
        <f>2800+2000+650</f>
        <v>5450</v>
      </c>
      <c r="J375" s="7">
        <f>-102+3000</f>
        <v>2898</v>
      </c>
      <c r="K375" s="50">
        <f aca="true" t="shared" si="116" ref="K375:K382">H375+I375+J375</f>
        <v>8348</v>
      </c>
      <c r="L375" s="49"/>
      <c r="M375" s="7"/>
      <c r="N375" s="50">
        <f aca="true" t="shared" si="117" ref="N375:N382">K375+L375+M375</f>
        <v>8348</v>
      </c>
    </row>
    <row r="376" spans="1:14" ht="12.75">
      <c r="A376" s="116" t="s">
        <v>252</v>
      </c>
      <c r="B376" s="49"/>
      <c r="C376" s="7"/>
      <c r="D376" s="7"/>
      <c r="E376" s="50">
        <f t="shared" si="114"/>
        <v>0</v>
      </c>
      <c r="F376" s="49">
        <v>2000</v>
      </c>
      <c r="G376" s="101"/>
      <c r="H376" s="14">
        <f t="shared" si="115"/>
        <v>2000</v>
      </c>
      <c r="I376" s="7"/>
      <c r="J376" s="7"/>
      <c r="K376" s="50">
        <f t="shared" si="116"/>
        <v>2000</v>
      </c>
      <c r="L376" s="49"/>
      <c r="M376" s="7"/>
      <c r="N376" s="50">
        <f t="shared" si="117"/>
        <v>2000</v>
      </c>
    </row>
    <row r="377" spans="1:14" ht="12.75">
      <c r="A377" s="71" t="s">
        <v>128</v>
      </c>
      <c r="B377" s="49"/>
      <c r="C377" s="7"/>
      <c r="D377" s="7">
        <v>8500</v>
      </c>
      <c r="E377" s="50">
        <f t="shared" si="114"/>
        <v>8500</v>
      </c>
      <c r="F377" s="49">
        <v>11000</v>
      </c>
      <c r="G377" s="101"/>
      <c r="H377" s="14">
        <f t="shared" si="115"/>
        <v>19500</v>
      </c>
      <c r="I377" s="7"/>
      <c r="J377" s="7"/>
      <c r="K377" s="50">
        <f t="shared" si="116"/>
        <v>19500</v>
      </c>
      <c r="L377" s="49">
        <f>16-529.7-42</f>
        <v>-555.7</v>
      </c>
      <c r="M377" s="7"/>
      <c r="N377" s="50">
        <f t="shared" si="117"/>
        <v>18944.3</v>
      </c>
    </row>
    <row r="378" spans="1:14" ht="12.75">
      <c r="A378" s="71" t="s">
        <v>84</v>
      </c>
      <c r="B378" s="49">
        <v>600</v>
      </c>
      <c r="C378" s="7"/>
      <c r="D378" s="7"/>
      <c r="E378" s="50">
        <f t="shared" si="114"/>
        <v>600</v>
      </c>
      <c r="F378" s="49"/>
      <c r="G378" s="101"/>
      <c r="H378" s="14">
        <f t="shared" si="115"/>
        <v>600</v>
      </c>
      <c r="I378" s="7"/>
      <c r="J378" s="7"/>
      <c r="K378" s="50">
        <f t="shared" si="116"/>
        <v>600</v>
      </c>
      <c r="L378" s="49">
        <v>-600</v>
      </c>
      <c r="M378" s="7"/>
      <c r="N378" s="50">
        <f t="shared" si="117"/>
        <v>0</v>
      </c>
    </row>
    <row r="379" spans="1:14" ht="12.75">
      <c r="A379" s="71" t="s">
        <v>259</v>
      </c>
      <c r="B379" s="49"/>
      <c r="C379" s="7"/>
      <c r="D379" s="7"/>
      <c r="E379" s="50">
        <f t="shared" si="114"/>
        <v>0</v>
      </c>
      <c r="F379" s="49">
        <f>39351.3+3381.6</f>
        <v>42732.9</v>
      </c>
      <c r="G379" s="101"/>
      <c r="H379" s="14">
        <f t="shared" si="115"/>
        <v>42732.9</v>
      </c>
      <c r="I379" s="7">
        <f>9478.2+14952.1+6942.4</f>
        <v>31372.700000000004</v>
      </c>
      <c r="J379" s="7"/>
      <c r="K379" s="50">
        <f t="shared" si="116"/>
        <v>74105.6</v>
      </c>
      <c r="L379" s="14">
        <f>12856.3+17435.6-11522.2+17380.6</f>
        <v>36150.299999999996</v>
      </c>
      <c r="M379" s="7"/>
      <c r="N379" s="50">
        <f t="shared" si="117"/>
        <v>110255.9</v>
      </c>
    </row>
    <row r="380" spans="1:14" ht="12.75">
      <c r="A380" s="71" t="s">
        <v>113</v>
      </c>
      <c r="B380" s="49"/>
      <c r="C380" s="7">
        <f>500+3246.7</f>
        <v>3746.7</v>
      </c>
      <c r="D380" s="7"/>
      <c r="E380" s="50">
        <f t="shared" si="114"/>
        <v>3746.7</v>
      </c>
      <c r="F380" s="49"/>
      <c r="G380" s="101">
        <v>-21</v>
      </c>
      <c r="H380" s="14">
        <f t="shared" si="115"/>
        <v>3725.7</v>
      </c>
      <c r="I380" s="7"/>
      <c r="J380" s="7">
        <v>-234.4</v>
      </c>
      <c r="K380" s="50">
        <f t="shared" si="116"/>
        <v>3491.2999999999997</v>
      </c>
      <c r="L380" s="49">
        <v>-90</v>
      </c>
      <c r="M380" s="7"/>
      <c r="N380" s="50">
        <f t="shared" si="117"/>
        <v>3401.2999999999997</v>
      </c>
    </row>
    <row r="381" spans="1:14" ht="12.75" hidden="1">
      <c r="A381" s="71" t="s">
        <v>99</v>
      </c>
      <c r="B381" s="49"/>
      <c r="C381" s="7"/>
      <c r="D381" s="7"/>
      <c r="E381" s="50">
        <f t="shared" si="114"/>
        <v>0</v>
      </c>
      <c r="F381" s="49"/>
      <c r="G381" s="101"/>
      <c r="H381" s="14">
        <f t="shared" si="115"/>
        <v>0</v>
      </c>
      <c r="I381" s="7"/>
      <c r="J381" s="7"/>
      <c r="K381" s="50">
        <f t="shared" si="116"/>
        <v>0</v>
      </c>
      <c r="L381" s="49"/>
      <c r="M381" s="7"/>
      <c r="N381" s="50">
        <f t="shared" si="117"/>
        <v>0</v>
      </c>
    </row>
    <row r="382" spans="1:14" ht="12.75">
      <c r="A382" s="81" t="s">
        <v>222</v>
      </c>
      <c r="B382" s="53">
        <v>1200</v>
      </c>
      <c r="C382" s="10"/>
      <c r="D382" s="10"/>
      <c r="E382" s="54">
        <f t="shared" si="114"/>
        <v>1200</v>
      </c>
      <c r="F382" s="53"/>
      <c r="G382" s="16"/>
      <c r="H382" s="160">
        <f t="shared" si="115"/>
        <v>1200</v>
      </c>
      <c r="I382" s="10"/>
      <c r="J382" s="10"/>
      <c r="K382" s="54">
        <f t="shared" si="116"/>
        <v>1200</v>
      </c>
      <c r="L382" s="53">
        <f>600+256</f>
        <v>856</v>
      </c>
      <c r="M382" s="10"/>
      <c r="N382" s="54">
        <f t="shared" si="117"/>
        <v>2056</v>
      </c>
    </row>
    <row r="383" spans="1:14" ht="12.75">
      <c r="A383" s="68" t="s">
        <v>173</v>
      </c>
      <c r="B383" s="47">
        <f aca="true" t="shared" si="118" ref="B383:N383">B384+B387</f>
        <v>5505.299999999999</v>
      </c>
      <c r="C383" s="6">
        <f t="shared" si="118"/>
        <v>0</v>
      </c>
      <c r="D383" s="6">
        <f t="shared" si="118"/>
        <v>0</v>
      </c>
      <c r="E383" s="48">
        <f t="shared" si="118"/>
        <v>5505.299999999999</v>
      </c>
      <c r="F383" s="47">
        <f t="shared" si="118"/>
        <v>0</v>
      </c>
      <c r="G383" s="120">
        <f t="shared" si="118"/>
        <v>0</v>
      </c>
      <c r="H383" s="157">
        <f t="shared" si="118"/>
        <v>5505.299999999999</v>
      </c>
      <c r="I383" s="6">
        <f t="shared" si="118"/>
        <v>0</v>
      </c>
      <c r="J383" s="6">
        <f t="shared" si="118"/>
        <v>0</v>
      </c>
      <c r="K383" s="48">
        <f t="shared" si="118"/>
        <v>5505.299999999999</v>
      </c>
      <c r="L383" s="47">
        <f t="shared" si="118"/>
        <v>0</v>
      </c>
      <c r="M383" s="6">
        <f t="shared" si="118"/>
        <v>0</v>
      </c>
      <c r="N383" s="48">
        <f t="shared" si="118"/>
        <v>5505.299999999999</v>
      </c>
    </row>
    <row r="384" spans="1:14" ht="12.75">
      <c r="A384" s="77" t="s">
        <v>77</v>
      </c>
      <c r="B384" s="57">
        <f>SUM(B386:B386)</f>
        <v>4838.9</v>
      </c>
      <c r="C384" s="12">
        <f aca="true" t="shared" si="119" ref="C384:N384">SUM(C386:C386)</f>
        <v>0</v>
      </c>
      <c r="D384" s="12">
        <f t="shared" si="119"/>
        <v>0</v>
      </c>
      <c r="E384" s="58">
        <f t="shared" si="119"/>
        <v>4838.9</v>
      </c>
      <c r="F384" s="57">
        <f t="shared" si="119"/>
        <v>0</v>
      </c>
      <c r="G384" s="122">
        <f t="shared" si="119"/>
        <v>-5.6</v>
      </c>
      <c r="H384" s="159">
        <f t="shared" si="119"/>
        <v>4833.299999999999</v>
      </c>
      <c r="I384" s="12">
        <f t="shared" si="119"/>
        <v>0</v>
      </c>
      <c r="J384" s="12">
        <f t="shared" si="119"/>
        <v>0</v>
      </c>
      <c r="K384" s="58">
        <f t="shared" si="119"/>
        <v>4833.299999999999</v>
      </c>
      <c r="L384" s="57">
        <f t="shared" si="119"/>
        <v>0</v>
      </c>
      <c r="M384" s="12">
        <f t="shared" si="119"/>
        <v>0</v>
      </c>
      <c r="N384" s="58">
        <f t="shared" si="119"/>
        <v>4833.299999999999</v>
      </c>
    </row>
    <row r="385" spans="1:14" ht="12.75">
      <c r="A385" s="73" t="s">
        <v>47</v>
      </c>
      <c r="B385" s="49"/>
      <c r="C385" s="7"/>
      <c r="D385" s="7"/>
      <c r="E385" s="48"/>
      <c r="F385" s="49"/>
      <c r="G385" s="101"/>
      <c r="H385" s="157"/>
      <c r="I385" s="7"/>
      <c r="J385" s="7"/>
      <c r="K385" s="48"/>
      <c r="L385" s="49"/>
      <c r="M385" s="7"/>
      <c r="N385" s="48"/>
    </row>
    <row r="386" spans="1:14" ht="12.75">
      <c r="A386" s="71" t="s">
        <v>80</v>
      </c>
      <c r="B386" s="67">
        <v>4838.9</v>
      </c>
      <c r="C386" s="7"/>
      <c r="D386" s="7"/>
      <c r="E386" s="50">
        <f>B386+C386+D386</f>
        <v>4838.9</v>
      </c>
      <c r="F386" s="49"/>
      <c r="G386" s="101">
        <v>-5.6</v>
      </c>
      <c r="H386" s="14">
        <f>E386+F386+G386</f>
        <v>4833.299999999999</v>
      </c>
      <c r="I386" s="7"/>
      <c r="J386" s="7"/>
      <c r="K386" s="50">
        <f>H386+I386+J386</f>
        <v>4833.299999999999</v>
      </c>
      <c r="L386" s="49"/>
      <c r="M386" s="7"/>
      <c r="N386" s="50">
        <f>K386+L386+M386</f>
        <v>4833.299999999999</v>
      </c>
    </row>
    <row r="387" spans="1:14" ht="12.75">
      <c r="A387" s="77" t="s">
        <v>83</v>
      </c>
      <c r="B387" s="57">
        <f aca="true" t="shared" si="120" ref="B387:N387">SUM(B389:B389)</f>
        <v>666.4</v>
      </c>
      <c r="C387" s="12">
        <f t="shared" si="120"/>
        <v>0</v>
      </c>
      <c r="D387" s="12">
        <f t="shared" si="120"/>
        <v>0</v>
      </c>
      <c r="E387" s="58">
        <f t="shared" si="120"/>
        <v>666.4</v>
      </c>
      <c r="F387" s="57">
        <f t="shared" si="120"/>
        <v>0</v>
      </c>
      <c r="G387" s="122">
        <f t="shared" si="120"/>
        <v>5.6</v>
      </c>
      <c r="H387" s="159">
        <f t="shared" si="120"/>
        <v>672</v>
      </c>
      <c r="I387" s="12">
        <f t="shared" si="120"/>
        <v>0</v>
      </c>
      <c r="J387" s="12">
        <f t="shared" si="120"/>
        <v>0</v>
      </c>
      <c r="K387" s="58">
        <f t="shared" si="120"/>
        <v>672</v>
      </c>
      <c r="L387" s="57">
        <f t="shared" si="120"/>
        <v>0</v>
      </c>
      <c r="M387" s="12">
        <f t="shared" si="120"/>
        <v>0</v>
      </c>
      <c r="N387" s="58">
        <f t="shared" si="120"/>
        <v>672</v>
      </c>
    </row>
    <row r="388" spans="1:14" ht="12.75">
      <c r="A388" s="73" t="s">
        <v>47</v>
      </c>
      <c r="B388" s="49"/>
      <c r="C388" s="7"/>
      <c r="D388" s="7"/>
      <c r="E388" s="50"/>
      <c r="F388" s="49"/>
      <c r="G388" s="101"/>
      <c r="H388" s="14"/>
      <c r="I388" s="7"/>
      <c r="J388" s="7"/>
      <c r="K388" s="50"/>
      <c r="L388" s="49"/>
      <c r="M388" s="7"/>
      <c r="N388" s="50"/>
    </row>
    <row r="389" spans="1:14" ht="12.75">
      <c r="A389" s="74" t="s">
        <v>84</v>
      </c>
      <c r="B389" s="53">
        <v>666.4</v>
      </c>
      <c r="C389" s="10"/>
      <c r="D389" s="10"/>
      <c r="E389" s="54">
        <f>B389+C389+D389</f>
        <v>666.4</v>
      </c>
      <c r="F389" s="53"/>
      <c r="G389" s="16">
        <v>5.6</v>
      </c>
      <c r="H389" s="160">
        <f>E389+F389+G389</f>
        <v>672</v>
      </c>
      <c r="I389" s="10"/>
      <c r="J389" s="10"/>
      <c r="K389" s="54">
        <f>H389+I389+J389</f>
        <v>672</v>
      </c>
      <c r="L389" s="53"/>
      <c r="M389" s="10"/>
      <c r="N389" s="54">
        <f>K389+L389+M389</f>
        <v>672</v>
      </c>
    </row>
    <row r="390" spans="1:14" ht="12.75">
      <c r="A390" s="68" t="s">
        <v>174</v>
      </c>
      <c r="B390" s="47">
        <f aca="true" t="shared" si="121" ref="B390:N390">B391</f>
        <v>168000</v>
      </c>
      <c r="C390" s="6">
        <f t="shared" si="121"/>
        <v>-95000</v>
      </c>
      <c r="D390" s="6">
        <f t="shared" si="121"/>
        <v>0</v>
      </c>
      <c r="E390" s="48">
        <f t="shared" si="121"/>
        <v>73000</v>
      </c>
      <c r="F390" s="47">
        <f t="shared" si="121"/>
        <v>41022.3</v>
      </c>
      <c r="G390" s="120">
        <f t="shared" si="121"/>
        <v>22182.4</v>
      </c>
      <c r="H390" s="157">
        <f t="shared" si="121"/>
        <v>136204.7</v>
      </c>
      <c r="I390" s="6">
        <f t="shared" si="121"/>
        <v>-19000</v>
      </c>
      <c r="J390" s="6">
        <f t="shared" si="121"/>
        <v>14447</v>
      </c>
      <c r="K390" s="48">
        <f t="shared" si="121"/>
        <v>131651.7</v>
      </c>
      <c r="L390" s="47">
        <f t="shared" si="121"/>
        <v>-5314</v>
      </c>
      <c r="M390" s="6">
        <f t="shared" si="121"/>
        <v>0</v>
      </c>
      <c r="N390" s="48">
        <f t="shared" si="121"/>
        <v>126337.70000000001</v>
      </c>
    </row>
    <row r="391" spans="1:14" ht="12.75">
      <c r="A391" s="77" t="s">
        <v>77</v>
      </c>
      <c r="B391" s="57">
        <f>SUM(B393:B396)</f>
        <v>168000</v>
      </c>
      <c r="C391" s="12">
        <f aca="true" t="shared" si="122" ref="C391:N391">SUM(C393:C396)</f>
        <v>-95000</v>
      </c>
      <c r="D391" s="12">
        <f t="shared" si="122"/>
        <v>0</v>
      </c>
      <c r="E391" s="58">
        <f t="shared" si="122"/>
        <v>73000</v>
      </c>
      <c r="F391" s="57">
        <f t="shared" si="122"/>
        <v>41022.3</v>
      </c>
      <c r="G391" s="122">
        <f t="shared" si="122"/>
        <v>22182.4</v>
      </c>
      <c r="H391" s="159">
        <f t="shared" si="122"/>
        <v>136204.7</v>
      </c>
      <c r="I391" s="12">
        <f t="shared" si="122"/>
        <v>-19000</v>
      </c>
      <c r="J391" s="12">
        <f t="shared" si="122"/>
        <v>14447</v>
      </c>
      <c r="K391" s="58">
        <f t="shared" si="122"/>
        <v>131651.7</v>
      </c>
      <c r="L391" s="57">
        <f t="shared" si="122"/>
        <v>-5314</v>
      </c>
      <c r="M391" s="12">
        <f t="shared" si="122"/>
        <v>0</v>
      </c>
      <c r="N391" s="58">
        <f t="shared" si="122"/>
        <v>126337.70000000001</v>
      </c>
    </row>
    <row r="392" spans="1:14" ht="12.75">
      <c r="A392" s="73" t="s">
        <v>47</v>
      </c>
      <c r="B392" s="47"/>
      <c r="C392" s="6"/>
      <c r="D392" s="6"/>
      <c r="E392" s="48"/>
      <c r="F392" s="47"/>
      <c r="G392" s="120"/>
      <c r="H392" s="157"/>
      <c r="I392" s="6"/>
      <c r="J392" s="6"/>
      <c r="K392" s="48"/>
      <c r="L392" s="47"/>
      <c r="M392" s="6"/>
      <c r="N392" s="48"/>
    </row>
    <row r="393" spans="1:14" ht="12.75">
      <c r="A393" s="80" t="s">
        <v>175</v>
      </c>
      <c r="B393" s="49">
        <v>98000</v>
      </c>
      <c r="C393" s="7">
        <f>-62504-32496</f>
        <v>-95000</v>
      </c>
      <c r="D393" s="7"/>
      <c r="E393" s="50">
        <f>B393+C393+D393</f>
        <v>3000</v>
      </c>
      <c r="F393" s="49">
        <f>-150-360-2215+3000</f>
        <v>275</v>
      </c>
      <c r="G393" s="101">
        <f>15000-2000-580-200-200+4620</f>
        <v>16640</v>
      </c>
      <c r="H393" s="14">
        <f>E393+F393+G393</f>
        <v>19915</v>
      </c>
      <c r="I393" s="9">
        <v>-19000</v>
      </c>
      <c r="J393" s="7">
        <v>14447</v>
      </c>
      <c r="K393" s="50">
        <f>H393+I393+J393</f>
        <v>15362</v>
      </c>
      <c r="L393" s="49">
        <f>-100-1700-2000+868-2382</f>
        <v>-5314</v>
      </c>
      <c r="M393" s="7"/>
      <c r="N393" s="50">
        <f>K393+L393+M393</f>
        <v>10048</v>
      </c>
    </row>
    <row r="394" spans="1:14" ht="12.75">
      <c r="A394" s="80" t="s">
        <v>176</v>
      </c>
      <c r="B394" s="49"/>
      <c r="C394" s="7"/>
      <c r="D394" s="7"/>
      <c r="E394" s="50">
        <f>B394+C394+D394</f>
        <v>0</v>
      </c>
      <c r="F394" s="49">
        <v>40747.3</v>
      </c>
      <c r="G394" s="101"/>
      <c r="H394" s="14">
        <f>E394+F394+G394</f>
        <v>40747.3</v>
      </c>
      <c r="I394" s="7"/>
      <c r="J394" s="7"/>
      <c r="K394" s="50">
        <f>H394+I394+J394</f>
        <v>40747.3</v>
      </c>
      <c r="L394" s="49"/>
      <c r="M394" s="7"/>
      <c r="N394" s="50">
        <f>K394+L394+M394</f>
        <v>40747.3</v>
      </c>
    </row>
    <row r="395" spans="1:14" ht="12.75">
      <c r="A395" s="80" t="s">
        <v>177</v>
      </c>
      <c r="B395" s="49"/>
      <c r="C395" s="7"/>
      <c r="D395" s="7"/>
      <c r="E395" s="50">
        <f>B395+C395+D395</f>
        <v>0</v>
      </c>
      <c r="F395" s="49"/>
      <c r="G395" s="101">
        <v>5542.4</v>
      </c>
      <c r="H395" s="14">
        <f>E395+F395+G395</f>
        <v>5542.4</v>
      </c>
      <c r="I395" s="7"/>
      <c r="J395" s="7"/>
      <c r="K395" s="50">
        <f>H395+I395+J395</f>
        <v>5542.4</v>
      </c>
      <c r="L395" s="49"/>
      <c r="M395" s="7"/>
      <c r="N395" s="50">
        <f>K395+L395+M395</f>
        <v>5542.4</v>
      </c>
    </row>
    <row r="396" spans="1:14" ht="12.75">
      <c r="A396" s="74" t="s">
        <v>80</v>
      </c>
      <c r="B396" s="53">
        <v>70000</v>
      </c>
      <c r="C396" s="10"/>
      <c r="D396" s="10"/>
      <c r="E396" s="54">
        <f>B396+C396+D396</f>
        <v>70000</v>
      </c>
      <c r="F396" s="53"/>
      <c r="G396" s="16"/>
      <c r="H396" s="160">
        <f>E396+F396+G396</f>
        <v>70000</v>
      </c>
      <c r="I396" s="10"/>
      <c r="J396" s="10"/>
      <c r="K396" s="54">
        <f>H396+I396+J396</f>
        <v>70000</v>
      </c>
      <c r="L396" s="53"/>
      <c r="M396" s="10"/>
      <c r="N396" s="54">
        <f>K396+L396+M396</f>
        <v>70000</v>
      </c>
    </row>
    <row r="397" spans="1:14" ht="12.75">
      <c r="A397" s="68" t="s">
        <v>268</v>
      </c>
      <c r="B397" s="47">
        <f>B398+B401</f>
        <v>0</v>
      </c>
      <c r="C397" s="47">
        <f aca="true" t="shared" si="123" ref="C397:K397">C398+C401</f>
        <v>0</v>
      </c>
      <c r="D397" s="47">
        <f t="shared" si="123"/>
        <v>0</v>
      </c>
      <c r="E397" s="47">
        <f t="shared" si="123"/>
        <v>0</v>
      </c>
      <c r="F397" s="47">
        <f t="shared" si="123"/>
        <v>0</v>
      </c>
      <c r="G397" s="135">
        <f t="shared" si="123"/>
        <v>5.6</v>
      </c>
      <c r="H397" s="163">
        <f t="shared" si="123"/>
        <v>0</v>
      </c>
      <c r="I397" s="6">
        <f t="shared" si="123"/>
        <v>1500</v>
      </c>
      <c r="J397" s="144">
        <f t="shared" si="123"/>
        <v>0</v>
      </c>
      <c r="K397" s="145">
        <f t="shared" si="123"/>
        <v>1500</v>
      </c>
      <c r="L397" s="170">
        <f>L398+L401</f>
        <v>0</v>
      </c>
      <c r="M397" s="168">
        <f>M398+M401</f>
        <v>0</v>
      </c>
      <c r="N397" s="145">
        <f>N398+N401</f>
        <v>1500</v>
      </c>
    </row>
    <row r="398" spans="1:14" ht="12.75">
      <c r="A398" s="77" t="s">
        <v>77</v>
      </c>
      <c r="B398" s="57">
        <f aca="true" t="shared" si="124" ref="B398:K398">SUM(B400:B400)</f>
        <v>0</v>
      </c>
      <c r="C398" s="57">
        <f t="shared" si="124"/>
        <v>0</v>
      </c>
      <c r="D398" s="57">
        <f t="shared" si="124"/>
        <v>0</v>
      </c>
      <c r="E398" s="57">
        <f t="shared" si="124"/>
        <v>0</v>
      </c>
      <c r="F398" s="57">
        <f t="shared" si="124"/>
        <v>0</v>
      </c>
      <c r="G398" s="143">
        <f t="shared" si="124"/>
        <v>0</v>
      </c>
      <c r="H398" s="159">
        <f t="shared" si="124"/>
        <v>0</v>
      </c>
      <c r="I398" s="12">
        <f t="shared" si="124"/>
        <v>1500</v>
      </c>
      <c r="J398" s="12">
        <f t="shared" si="124"/>
        <v>0</v>
      </c>
      <c r="K398" s="58">
        <f t="shared" si="124"/>
        <v>1500</v>
      </c>
      <c r="L398" s="57">
        <f>SUM(L400:L400)</f>
        <v>0</v>
      </c>
      <c r="M398" s="169">
        <f>SUM(M400:M400)</f>
        <v>0</v>
      </c>
      <c r="N398" s="58">
        <f>SUM(N400:N400)</f>
        <v>1500</v>
      </c>
    </row>
    <row r="399" spans="1:14" ht="12.75">
      <c r="A399" s="73" t="s">
        <v>47</v>
      </c>
      <c r="B399" s="49"/>
      <c r="C399" s="7"/>
      <c r="D399" s="7"/>
      <c r="E399" s="50"/>
      <c r="F399" s="49"/>
      <c r="G399" s="124"/>
      <c r="H399" s="14"/>
      <c r="I399" s="7"/>
      <c r="J399" s="7"/>
      <c r="K399" s="50"/>
      <c r="L399" s="49"/>
      <c r="M399" s="7"/>
      <c r="N399" s="50"/>
    </row>
    <row r="400" spans="1:14" ht="12.75">
      <c r="A400" s="74" t="s">
        <v>80</v>
      </c>
      <c r="B400" s="53"/>
      <c r="C400" s="10"/>
      <c r="D400" s="10"/>
      <c r="E400" s="54"/>
      <c r="F400" s="53"/>
      <c r="G400" s="146"/>
      <c r="H400" s="160"/>
      <c r="I400" s="10">
        <v>1500</v>
      </c>
      <c r="J400" s="10"/>
      <c r="K400" s="54">
        <f>H400+I400+J400</f>
        <v>1500</v>
      </c>
      <c r="L400" s="53"/>
      <c r="M400" s="10"/>
      <c r="N400" s="54">
        <f>K400+L400+M400</f>
        <v>1500</v>
      </c>
    </row>
    <row r="401" spans="1:14" ht="12.75" hidden="1">
      <c r="A401" s="77" t="s">
        <v>83</v>
      </c>
      <c r="B401" s="57">
        <f aca="true" t="shared" si="125" ref="B401:K401">SUM(B403:B403)</f>
        <v>0</v>
      </c>
      <c r="C401" s="57">
        <f t="shared" si="125"/>
        <v>0</v>
      </c>
      <c r="D401" s="57">
        <f t="shared" si="125"/>
        <v>0</v>
      </c>
      <c r="E401" s="57">
        <f t="shared" si="125"/>
        <v>0</v>
      </c>
      <c r="F401" s="57">
        <f t="shared" si="125"/>
        <v>0</v>
      </c>
      <c r="G401" s="143">
        <f t="shared" si="125"/>
        <v>5.6</v>
      </c>
      <c r="H401" s="159">
        <f t="shared" si="125"/>
        <v>0</v>
      </c>
      <c r="I401" s="12">
        <f t="shared" si="125"/>
        <v>0</v>
      </c>
      <c r="J401" s="12">
        <f t="shared" si="125"/>
        <v>0</v>
      </c>
      <c r="K401" s="58">
        <f t="shared" si="125"/>
        <v>0</v>
      </c>
      <c r="L401" s="49"/>
      <c r="M401" s="7"/>
      <c r="N401" s="50"/>
    </row>
    <row r="402" spans="1:14" ht="12.75" hidden="1">
      <c r="A402" s="73" t="s">
        <v>47</v>
      </c>
      <c r="B402" s="49"/>
      <c r="C402" s="7"/>
      <c r="D402" s="7"/>
      <c r="E402" s="50"/>
      <c r="F402" s="49"/>
      <c r="G402" s="101"/>
      <c r="H402" s="14"/>
      <c r="I402" s="7"/>
      <c r="J402" s="7"/>
      <c r="K402" s="50"/>
      <c r="L402" s="49"/>
      <c r="M402" s="7"/>
      <c r="N402" s="50"/>
    </row>
    <row r="403" spans="1:14" ht="12.75" hidden="1">
      <c r="A403" s="74" t="s">
        <v>84</v>
      </c>
      <c r="B403" s="53"/>
      <c r="C403" s="10"/>
      <c r="D403" s="10"/>
      <c r="E403" s="54">
        <f>B403+C403+D403</f>
        <v>0</v>
      </c>
      <c r="F403" s="53"/>
      <c r="G403" s="16">
        <v>5.6</v>
      </c>
      <c r="H403" s="160"/>
      <c r="I403" s="10"/>
      <c r="J403" s="10"/>
      <c r="K403" s="54">
        <f>H403+I403+J403</f>
        <v>0</v>
      </c>
      <c r="L403" s="53"/>
      <c r="M403" s="10"/>
      <c r="N403" s="54"/>
    </row>
    <row r="404" spans="1:14" ht="12.75">
      <c r="A404" s="68" t="s">
        <v>178</v>
      </c>
      <c r="B404" s="47">
        <f>B406+B407</f>
        <v>213220.7</v>
      </c>
      <c r="C404" s="6">
        <f aca="true" t="shared" si="126" ref="C404:N404">C406+C407</f>
        <v>166928</v>
      </c>
      <c r="D404" s="6">
        <f t="shared" si="126"/>
        <v>2553.5</v>
      </c>
      <c r="E404" s="48">
        <f t="shared" si="126"/>
        <v>382702.19999999995</v>
      </c>
      <c r="F404" s="47">
        <f t="shared" si="126"/>
        <v>58495</v>
      </c>
      <c r="G404" s="120">
        <f t="shared" si="126"/>
        <v>6970.800000000003</v>
      </c>
      <c r="H404" s="157">
        <f t="shared" si="126"/>
        <v>448168.00000000006</v>
      </c>
      <c r="I404" s="6">
        <f t="shared" si="126"/>
        <v>22150</v>
      </c>
      <c r="J404" s="6">
        <f t="shared" si="126"/>
        <v>1436.3999999999996</v>
      </c>
      <c r="K404" s="48">
        <f t="shared" si="126"/>
        <v>471754.4</v>
      </c>
      <c r="L404" s="47">
        <f t="shared" si="126"/>
        <v>1999.999999999999</v>
      </c>
      <c r="M404" s="6">
        <f t="shared" si="126"/>
        <v>0</v>
      </c>
      <c r="N404" s="48">
        <f t="shared" si="126"/>
        <v>473754.4</v>
      </c>
    </row>
    <row r="405" spans="1:14" ht="12.75">
      <c r="A405" s="70" t="s">
        <v>47</v>
      </c>
      <c r="B405" s="47"/>
      <c r="C405" s="6"/>
      <c r="D405" s="6"/>
      <c r="E405" s="48"/>
      <c r="F405" s="47"/>
      <c r="G405" s="120"/>
      <c r="H405" s="157"/>
      <c r="I405" s="6"/>
      <c r="J405" s="6"/>
      <c r="K405" s="48"/>
      <c r="L405" s="47"/>
      <c r="M405" s="6"/>
      <c r="N405" s="48"/>
    </row>
    <row r="406" spans="1:14" ht="12.75">
      <c r="A406" s="68" t="s">
        <v>77</v>
      </c>
      <c r="B406" s="47">
        <f>B420+B429+B431+B436+B441+B432+B423+B443</f>
        <v>19525</v>
      </c>
      <c r="C406" s="6">
        <f>C420+C436+C441+C432+C423+C431+C443</f>
        <v>16158.1</v>
      </c>
      <c r="D406" s="6">
        <f>D420+D436+D441+D432+D423</f>
        <v>0</v>
      </c>
      <c r="E406" s="48">
        <f>B406+C406+D406</f>
        <v>35683.1</v>
      </c>
      <c r="F406" s="135">
        <f aca="true" t="shared" si="127" ref="F406:N406">F420+F436+F441+F432+F423+F431+F429+F443</f>
        <v>269</v>
      </c>
      <c r="G406" s="6">
        <f t="shared" si="127"/>
        <v>1923.8</v>
      </c>
      <c r="H406" s="164">
        <f t="shared" si="127"/>
        <v>37875.9</v>
      </c>
      <c r="I406" s="6">
        <f t="shared" si="127"/>
        <v>-134.70000000000005</v>
      </c>
      <c r="J406" s="6">
        <f>J420+J436+J441+J432+J423+J431+J429+J443</f>
        <v>2350.5</v>
      </c>
      <c r="K406" s="48">
        <f t="shared" si="127"/>
        <v>40091.700000000004</v>
      </c>
      <c r="L406" s="47">
        <f t="shared" si="127"/>
        <v>4953.5</v>
      </c>
      <c r="M406" s="171">
        <f t="shared" si="127"/>
        <v>0</v>
      </c>
      <c r="N406" s="48">
        <f t="shared" si="127"/>
        <v>45045.2</v>
      </c>
    </row>
    <row r="407" spans="1:14" ht="12.75">
      <c r="A407" s="68" t="s">
        <v>83</v>
      </c>
      <c r="B407" s="47">
        <f aca="true" t="shared" si="128" ref="B407:N407">B410+B411+B413+B414+B416+B417+B418+B422+B424+B425+B427+B428+B430+B433+B435+B437+B438+B440+B442+B444+B445</f>
        <v>193695.7</v>
      </c>
      <c r="C407" s="6">
        <f t="shared" si="128"/>
        <v>150769.9</v>
      </c>
      <c r="D407" s="6">
        <f t="shared" si="128"/>
        <v>2553.5</v>
      </c>
      <c r="E407" s="48">
        <f t="shared" si="128"/>
        <v>347019.1</v>
      </c>
      <c r="F407" s="135">
        <f t="shared" si="128"/>
        <v>58226</v>
      </c>
      <c r="G407" s="6">
        <f t="shared" si="128"/>
        <v>5047.000000000003</v>
      </c>
      <c r="H407" s="164">
        <f t="shared" si="128"/>
        <v>410292.10000000003</v>
      </c>
      <c r="I407" s="6">
        <f t="shared" si="128"/>
        <v>22284.7</v>
      </c>
      <c r="J407" s="6">
        <f>J410+J411+J413+J414+J416+J417+J418+J422+J424+J425+J427+J428+J430+J433+J435+J437+J438+J440+J442+J444+J445</f>
        <v>-914.1000000000004</v>
      </c>
      <c r="K407" s="48">
        <f t="shared" si="128"/>
        <v>431662.7</v>
      </c>
      <c r="L407" s="47">
        <f t="shared" si="128"/>
        <v>-2953.500000000001</v>
      </c>
      <c r="M407" s="171">
        <f t="shared" si="128"/>
        <v>0</v>
      </c>
      <c r="N407" s="48">
        <f t="shared" si="128"/>
        <v>428709.2</v>
      </c>
    </row>
    <row r="408" spans="1:14" ht="12.75">
      <c r="A408" s="69" t="s">
        <v>179</v>
      </c>
      <c r="B408" s="47"/>
      <c r="C408" s="6"/>
      <c r="D408" s="6"/>
      <c r="E408" s="48"/>
      <c r="F408" s="47"/>
      <c r="G408" s="120"/>
      <c r="H408" s="157"/>
      <c r="I408" s="6"/>
      <c r="J408" s="6"/>
      <c r="K408" s="48"/>
      <c r="L408" s="47"/>
      <c r="M408" s="6"/>
      <c r="N408" s="48"/>
    </row>
    <row r="409" spans="1:14" ht="12.75">
      <c r="A409" s="70" t="s">
        <v>180</v>
      </c>
      <c r="B409" s="49">
        <f>B410+B411</f>
        <v>0</v>
      </c>
      <c r="C409" s="7">
        <f aca="true" t="shared" si="129" ref="C409:N409">C410+C411</f>
        <v>0</v>
      </c>
      <c r="D409" s="7">
        <f t="shared" si="129"/>
        <v>0</v>
      </c>
      <c r="E409" s="50">
        <f t="shared" si="129"/>
        <v>0</v>
      </c>
      <c r="F409" s="49">
        <f t="shared" si="129"/>
        <v>0</v>
      </c>
      <c r="G409" s="101">
        <f t="shared" si="129"/>
        <v>310.3</v>
      </c>
      <c r="H409" s="14">
        <f t="shared" si="129"/>
        <v>310.3</v>
      </c>
      <c r="I409" s="7">
        <f t="shared" si="129"/>
        <v>0</v>
      </c>
      <c r="J409" s="7">
        <f t="shared" si="129"/>
        <v>0</v>
      </c>
      <c r="K409" s="50">
        <f t="shared" si="129"/>
        <v>310.3</v>
      </c>
      <c r="L409" s="49">
        <f t="shared" si="129"/>
        <v>0</v>
      </c>
      <c r="M409" s="7">
        <f t="shared" si="129"/>
        <v>0</v>
      </c>
      <c r="N409" s="50">
        <f t="shared" si="129"/>
        <v>310.3</v>
      </c>
    </row>
    <row r="410" spans="1:14" ht="12.75">
      <c r="A410" s="70" t="s">
        <v>181</v>
      </c>
      <c r="B410" s="49"/>
      <c r="C410" s="7"/>
      <c r="D410" s="6"/>
      <c r="E410" s="50">
        <f aca="true" t="shared" si="130" ref="E410:E445">B410+C410+D410</f>
        <v>0</v>
      </c>
      <c r="F410" s="49"/>
      <c r="G410" s="120"/>
      <c r="H410" s="14">
        <f>E410+F410+G410</f>
        <v>0</v>
      </c>
      <c r="I410" s="7"/>
      <c r="J410" s="6"/>
      <c r="K410" s="50">
        <f>H410+I410+J410</f>
        <v>0</v>
      </c>
      <c r="L410" s="49"/>
      <c r="M410" s="6"/>
      <c r="N410" s="50">
        <f>K410+L410+M410</f>
        <v>0</v>
      </c>
    </row>
    <row r="411" spans="1:14" ht="12.75">
      <c r="A411" s="70" t="s">
        <v>182</v>
      </c>
      <c r="B411" s="49"/>
      <c r="C411" s="7"/>
      <c r="D411" s="7"/>
      <c r="E411" s="50">
        <f t="shared" si="130"/>
        <v>0</v>
      </c>
      <c r="F411" s="49"/>
      <c r="G411" s="101">
        <v>310.3</v>
      </c>
      <c r="H411" s="14">
        <f>E411+F411+G411</f>
        <v>310.3</v>
      </c>
      <c r="I411" s="7"/>
      <c r="J411" s="6"/>
      <c r="K411" s="50">
        <f>H411+I411+J411</f>
        <v>310.3</v>
      </c>
      <c r="L411" s="49"/>
      <c r="M411" s="6"/>
      <c r="N411" s="50">
        <f>K411+L411+M411</f>
        <v>310.3</v>
      </c>
    </row>
    <row r="412" spans="1:14" ht="12.75">
      <c r="A412" s="70" t="s">
        <v>183</v>
      </c>
      <c r="B412" s="49">
        <f>B413+B414</f>
        <v>3000</v>
      </c>
      <c r="C412" s="7">
        <f aca="true" t="shared" si="131" ref="C412:N412">C413+C414</f>
        <v>0</v>
      </c>
      <c r="D412" s="7">
        <f t="shared" si="131"/>
        <v>0</v>
      </c>
      <c r="E412" s="50">
        <f t="shared" si="131"/>
        <v>3000</v>
      </c>
      <c r="F412" s="49">
        <f t="shared" si="131"/>
        <v>510</v>
      </c>
      <c r="G412" s="101">
        <f t="shared" si="131"/>
        <v>2022.1</v>
      </c>
      <c r="H412" s="14">
        <f t="shared" si="131"/>
        <v>5532.1</v>
      </c>
      <c r="I412" s="7">
        <f t="shared" si="131"/>
        <v>0</v>
      </c>
      <c r="J412" s="7">
        <f t="shared" si="131"/>
        <v>0</v>
      </c>
      <c r="K412" s="50">
        <f t="shared" si="131"/>
        <v>5532.1</v>
      </c>
      <c r="L412" s="49">
        <f t="shared" si="131"/>
        <v>0</v>
      </c>
      <c r="M412" s="7">
        <f t="shared" si="131"/>
        <v>0</v>
      </c>
      <c r="N412" s="50">
        <f t="shared" si="131"/>
        <v>5532.1</v>
      </c>
    </row>
    <row r="413" spans="1:14" ht="12.75">
      <c r="A413" s="70" t="s">
        <v>181</v>
      </c>
      <c r="B413" s="49">
        <v>3000</v>
      </c>
      <c r="C413" s="7"/>
      <c r="D413" s="7"/>
      <c r="E413" s="50">
        <f t="shared" si="130"/>
        <v>3000</v>
      </c>
      <c r="F413" s="49">
        <f>150+360</f>
        <v>510</v>
      </c>
      <c r="G413" s="101"/>
      <c r="H413" s="14">
        <f>E413+F413+G413</f>
        <v>3510</v>
      </c>
      <c r="I413" s="7">
        <v>408</v>
      </c>
      <c r="J413" s="6"/>
      <c r="K413" s="50">
        <f>H413+I413+J413</f>
        <v>3918</v>
      </c>
      <c r="L413" s="49"/>
      <c r="M413" s="6"/>
      <c r="N413" s="50">
        <f>K413+L413+M413</f>
        <v>3918</v>
      </c>
    </row>
    <row r="414" spans="1:14" ht="12.75">
      <c r="A414" s="70" t="s">
        <v>182</v>
      </c>
      <c r="B414" s="49"/>
      <c r="C414" s="7"/>
      <c r="D414" s="7"/>
      <c r="E414" s="50">
        <f t="shared" si="130"/>
        <v>0</v>
      </c>
      <c r="F414" s="49"/>
      <c r="G414" s="101">
        <v>2022.1</v>
      </c>
      <c r="H414" s="14">
        <f>E414+F414+G414</f>
        <v>2022.1</v>
      </c>
      <c r="I414" s="7">
        <v>-408</v>
      </c>
      <c r="J414" s="6"/>
      <c r="K414" s="50">
        <f>H414+I414+J414</f>
        <v>1614.1</v>
      </c>
      <c r="L414" s="49"/>
      <c r="M414" s="6"/>
      <c r="N414" s="50">
        <f>K414+L414+M414</f>
        <v>1614.1</v>
      </c>
    </row>
    <row r="415" spans="1:14" ht="12.75">
      <c r="A415" s="70" t="s">
        <v>184</v>
      </c>
      <c r="B415" s="49">
        <f>SUM(B416:B418)</f>
        <v>17939.899999999998</v>
      </c>
      <c r="C415" s="7">
        <f aca="true" t="shared" si="132" ref="C415:N415">SUM(C416:C418)</f>
        <v>27985.100000000002</v>
      </c>
      <c r="D415" s="7">
        <f t="shared" si="132"/>
        <v>0</v>
      </c>
      <c r="E415" s="50">
        <f t="shared" si="132"/>
        <v>45925</v>
      </c>
      <c r="F415" s="49">
        <f t="shared" si="132"/>
        <v>28000</v>
      </c>
      <c r="G415" s="101">
        <f t="shared" si="132"/>
        <v>0</v>
      </c>
      <c r="H415" s="14">
        <f t="shared" si="132"/>
        <v>73925</v>
      </c>
      <c r="I415" s="7">
        <f t="shared" si="132"/>
        <v>0</v>
      </c>
      <c r="J415" s="7">
        <f t="shared" si="132"/>
        <v>0</v>
      </c>
      <c r="K415" s="50">
        <f t="shared" si="132"/>
        <v>73925</v>
      </c>
      <c r="L415" s="49">
        <f t="shared" si="132"/>
        <v>0</v>
      </c>
      <c r="M415" s="7">
        <f t="shared" si="132"/>
        <v>0</v>
      </c>
      <c r="N415" s="50">
        <f t="shared" si="132"/>
        <v>73925</v>
      </c>
    </row>
    <row r="416" spans="1:14" ht="12.75">
      <c r="A416" s="70" t="s">
        <v>185</v>
      </c>
      <c r="B416" s="49">
        <v>2210.6</v>
      </c>
      <c r="C416" s="7">
        <v>9310.2</v>
      </c>
      <c r="D416" s="7"/>
      <c r="E416" s="50">
        <f t="shared" si="130"/>
        <v>11520.800000000001</v>
      </c>
      <c r="F416" s="49">
        <v>12000</v>
      </c>
      <c r="G416" s="101"/>
      <c r="H416" s="14">
        <f>E416+F416+G416</f>
        <v>23520.800000000003</v>
      </c>
      <c r="I416" s="7"/>
      <c r="J416" s="7"/>
      <c r="K416" s="50">
        <f>H416+I416+J416</f>
        <v>23520.800000000003</v>
      </c>
      <c r="L416" s="49"/>
      <c r="M416" s="7"/>
      <c r="N416" s="50">
        <f>K416+L416+M416</f>
        <v>23520.800000000003</v>
      </c>
    </row>
    <row r="417" spans="1:14" ht="12.75">
      <c r="A417" s="70" t="s">
        <v>186</v>
      </c>
      <c r="B417" s="49">
        <v>15729.3</v>
      </c>
      <c r="C417" s="9">
        <v>18674.9</v>
      </c>
      <c r="D417" s="7"/>
      <c r="E417" s="50">
        <f t="shared" si="130"/>
        <v>34404.2</v>
      </c>
      <c r="F417" s="49">
        <v>16000</v>
      </c>
      <c r="G417" s="101"/>
      <c r="H417" s="14">
        <f>E417+F417+G417</f>
        <v>50404.2</v>
      </c>
      <c r="I417" s="7"/>
      <c r="J417" s="7"/>
      <c r="K417" s="50">
        <f>H417+I417+J417</f>
        <v>50404.2</v>
      </c>
      <c r="L417" s="49"/>
      <c r="M417" s="7"/>
      <c r="N417" s="50">
        <f>K417+L417+M417</f>
        <v>50404.2</v>
      </c>
    </row>
    <row r="418" spans="1:14" ht="12.75" hidden="1">
      <c r="A418" s="70" t="s">
        <v>182</v>
      </c>
      <c r="B418" s="49"/>
      <c r="C418" s="7"/>
      <c r="D418" s="7"/>
      <c r="E418" s="50">
        <f t="shared" si="130"/>
        <v>0</v>
      </c>
      <c r="F418" s="49"/>
      <c r="G418" s="101"/>
      <c r="H418" s="14">
        <f>E418+F418+G418</f>
        <v>0</v>
      </c>
      <c r="I418" s="7"/>
      <c r="J418" s="7"/>
      <c r="K418" s="50">
        <f>H418+I418+J418</f>
        <v>0</v>
      </c>
      <c r="L418" s="49"/>
      <c r="M418" s="7"/>
      <c r="N418" s="50">
        <f>K418+L418+M418</f>
        <v>0</v>
      </c>
    </row>
    <row r="419" spans="1:14" ht="12.75">
      <c r="A419" s="79" t="s">
        <v>187</v>
      </c>
      <c r="B419" s="53">
        <f>B420</f>
        <v>1618</v>
      </c>
      <c r="C419" s="10">
        <f aca="true" t="shared" si="133" ref="C419:N419">C420</f>
        <v>0</v>
      </c>
      <c r="D419" s="10">
        <f t="shared" si="133"/>
        <v>0</v>
      </c>
      <c r="E419" s="54">
        <f t="shared" si="133"/>
        <v>1618</v>
      </c>
      <c r="F419" s="53">
        <f t="shared" si="133"/>
        <v>0</v>
      </c>
      <c r="G419" s="16">
        <f t="shared" si="133"/>
        <v>293.8</v>
      </c>
      <c r="H419" s="160">
        <f t="shared" si="133"/>
        <v>1911.8</v>
      </c>
      <c r="I419" s="10">
        <f t="shared" si="133"/>
        <v>0</v>
      </c>
      <c r="J419" s="10">
        <f t="shared" si="133"/>
        <v>-370.5</v>
      </c>
      <c r="K419" s="54">
        <f t="shared" si="133"/>
        <v>1541.3</v>
      </c>
      <c r="L419" s="53">
        <f t="shared" si="133"/>
        <v>0</v>
      </c>
      <c r="M419" s="10">
        <f t="shared" si="133"/>
        <v>0</v>
      </c>
      <c r="N419" s="54">
        <f t="shared" si="133"/>
        <v>1541.3</v>
      </c>
    </row>
    <row r="420" spans="1:14" ht="12.75">
      <c r="A420" s="70" t="s">
        <v>188</v>
      </c>
      <c r="B420" s="49">
        <v>1618</v>
      </c>
      <c r="C420" s="7"/>
      <c r="D420" s="7"/>
      <c r="E420" s="50">
        <f t="shared" si="130"/>
        <v>1618</v>
      </c>
      <c r="F420" s="49"/>
      <c r="G420" s="101">
        <v>293.8</v>
      </c>
      <c r="H420" s="14">
        <f>E420+F420+G420</f>
        <v>1911.8</v>
      </c>
      <c r="I420" s="7"/>
      <c r="J420" s="7">
        <v>-370.5</v>
      </c>
      <c r="K420" s="50">
        <f>H420+I420+J420</f>
        <v>1541.3</v>
      </c>
      <c r="L420" s="49"/>
      <c r="M420" s="7"/>
      <c r="N420" s="50">
        <f>K420+L420+M420</f>
        <v>1541.3</v>
      </c>
    </row>
    <row r="421" spans="1:14" ht="12.75">
      <c r="A421" s="70" t="s">
        <v>189</v>
      </c>
      <c r="B421" s="49">
        <f>SUM(B422:B425)</f>
        <v>50950</v>
      </c>
      <c r="C421" s="7">
        <f aca="true" t="shared" si="134" ref="C421:N421">SUM(C422:C425)</f>
        <v>30358.2</v>
      </c>
      <c r="D421" s="7">
        <f t="shared" si="134"/>
        <v>1691.1</v>
      </c>
      <c r="E421" s="50">
        <f t="shared" si="134"/>
        <v>82999.3</v>
      </c>
      <c r="F421" s="49">
        <f t="shared" si="134"/>
        <v>2215</v>
      </c>
      <c r="G421" s="101">
        <f t="shared" si="134"/>
        <v>2609</v>
      </c>
      <c r="H421" s="14">
        <f t="shared" si="134"/>
        <v>87823.3</v>
      </c>
      <c r="I421" s="7">
        <f t="shared" si="134"/>
        <v>20650</v>
      </c>
      <c r="J421" s="7">
        <f t="shared" si="134"/>
        <v>1806.9</v>
      </c>
      <c r="K421" s="50">
        <f t="shared" si="134"/>
        <v>110280.2</v>
      </c>
      <c r="L421" s="49">
        <f t="shared" si="134"/>
        <v>2000</v>
      </c>
      <c r="M421" s="7">
        <f t="shared" si="134"/>
        <v>0</v>
      </c>
      <c r="N421" s="50">
        <f t="shared" si="134"/>
        <v>112280.2</v>
      </c>
    </row>
    <row r="422" spans="1:14" ht="12.75">
      <c r="A422" s="70" t="s">
        <v>190</v>
      </c>
      <c r="B422" s="49">
        <v>39600</v>
      </c>
      <c r="C422" s="7">
        <f>10265.2+16400</f>
        <v>26665.2</v>
      </c>
      <c r="D422" s="7">
        <v>1691.1</v>
      </c>
      <c r="E422" s="50">
        <f t="shared" si="130"/>
        <v>67956.3</v>
      </c>
      <c r="F422" s="49">
        <v>2065</v>
      </c>
      <c r="G422" s="101">
        <v>319</v>
      </c>
      <c r="H422" s="14">
        <f>E422+F422+G422</f>
        <v>70340.3</v>
      </c>
      <c r="I422" s="7">
        <f>-380+20650</f>
        <v>20270</v>
      </c>
      <c r="J422" s="7">
        <v>906.9</v>
      </c>
      <c r="K422" s="50">
        <f>H422+I422+J422</f>
        <v>91517.2</v>
      </c>
      <c r="L422" s="49">
        <f>-286+194-142</f>
        <v>-234</v>
      </c>
      <c r="M422" s="7"/>
      <c r="N422" s="50">
        <f>K422+L422+M422</f>
        <v>91283.2</v>
      </c>
    </row>
    <row r="423" spans="1:14" ht="12.75">
      <c r="A423" s="70" t="s">
        <v>191</v>
      </c>
      <c r="B423" s="49">
        <v>10600</v>
      </c>
      <c r="C423" s="7">
        <f>93+3600</f>
        <v>3693</v>
      </c>
      <c r="D423" s="7"/>
      <c r="E423" s="50">
        <f t="shared" si="130"/>
        <v>14293</v>
      </c>
      <c r="F423" s="49">
        <v>150</v>
      </c>
      <c r="G423" s="101">
        <v>1630</v>
      </c>
      <c r="H423" s="14">
        <f>E423+F423+G423</f>
        <v>16073</v>
      </c>
      <c r="I423" s="7">
        <v>1040</v>
      </c>
      <c r="J423" s="7">
        <v>900</v>
      </c>
      <c r="K423" s="50">
        <f>H423+I423+J423</f>
        <v>18013</v>
      </c>
      <c r="L423" s="49">
        <f>286+1806+142</f>
        <v>2234</v>
      </c>
      <c r="M423" s="7"/>
      <c r="N423" s="50">
        <f>K423+L423+M423</f>
        <v>20247</v>
      </c>
    </row>
    <row r="424" spans="1:14" ht="13.5" customHeight="1">
      <c r="A424" s="70" t="s">
        <v>192</v>
      </c>
      <c r="B424" s="49">
        <v>750</v>
      </c>
      <c r="C424" s="7"/>
      <c r="D424" s="7"/>
      <c r="E424" s="50">
        <f t="shared" si="130"/>
        <v>750</v>
      </c>
      <c r="F424" s="49"/>
      <c r="G424" s="101"/>
      <c r="H424" s="14">
        <f>E424+F424+G424</f>
        <v>750</v>
      </c>
      <c r="I424" s="7"/>
      <c r="J424" s="7"/>
      <c r="K424" s="50">
        <f>H424+I424+J424</f>
        <v>750</v>
      </c>
      <c r="L424" s="66"/>
      <c r="M424" s="7"/>
      <c r="N424" s="50">
        <f>K424+L424+M424</f>
        <v>750</v>
      </c>
    </row>
    <row r="425" spans="1:14" ht="12.75" hidden="1">
      <c r="A425" s="70" t="s">
        <v>193</v>
      </c>
      <c r="B425" s="49"/>
      <c r="C425" s="7"/>
      <c r="D425" s="7"/>
      <c r="E425" s="50">
        <f t="shared" si="130"/>
        <v>0</v>
      </c>
      <c r="F425" s="49"/>
      <c r="G425" s="101">
        <v>660</v>
      </c>
      <c r="H425" s="14">
        <f>E425+F425+G425</f>
        <v>660</v>
      </c>
      <c r="I425" s="7">
        <v>-660</v>
      </c>
      <c r="J425" s="7"/>
      <c r="K425" s="50">
        <f>H425+I425+J425</f>
        <v>0</v>
      </c>
      <c r="L425" s="49"/>
      <c r="M425" s="7"/>
      <c r="N425" s="50">
        <f>K425+L425+M425</f>
        <v>0</v>
      </c>
    </row>
    <row r="426" spans="1:14" ht="12.75">
      <c r="A426" s="70" t="s">
        <v>194</v>
      </c>
      <c r="B426" s="49">
        <f>SUM(B427:B433)</f>
        <v>65681.8</v>
      </c>
      <c r="C426" s="7">
        <f aca="true" t="shared" si="135" ref="C426:N426">SUM(C427:C433)</f>
        <v>36731.6</v>
      </c>
      <c r="D426" s="7">
        <f t="shared" si="135"/>
        <v>0</v>
      </c>
      <c r="E426" s="50">
        <f t="shared" si="135"/>
        <v>102413.40000000001</v>
      </c>
      <c r="F426" s="49">
        <f t="shared" si="135"/>
        <v>27770</v>
      </c>
      <c r="G426" s="101">
        <f t="shared" si="135"/>
        <v>1338.6</v>
      </c>
      <c r="H426" s="14">
        <f t="shared" si="135"/>
        <v>131522</v>
      </c>
      <c r="I426" s="7">
        <f t="shared" si="135"/>
        <v>1500</v>
      </c>
      <c r="J426" s="7">
        <f t="shared" si="135"/>
        <v>0</v>
      </c>
      <c r="K426" s="50">
        <f t="shared" si="135"/>
        <v>133022</v>
      </c>
      <c r="L426" s="49">
        <f t="shared" si="135"/>
        <v>0</v>
      </c>
      <c r="M426" s="7">
        <f t="shared" si="135"/>
        <v>0</v>
      </c>
      <c r="N426" s="50">
        <f t="shared" si="135"/>
        <v>133022</v>
      </c>
    </row>
    <row r="427" spans="1:14" ht="12.75">
      <c r="A427" s="70" t="s">
        <v>195</v>
      </c>
      <c r="B427" s="49">
        <v>7074</v>
      </c>
      <c r="C427" s="7">
        <f>12061+5465</f>
        <v>17526</v>
      </c>
      <c r="D427" s="7"/>
      <c r="E427" s="50">
        <f t="shared" si="130"/>
        <v>24600</v>
      </c>
      <c r="F427" s="49">
        <f>1267.8+5000+20000</f>
        <v>26267.8</v>
      </c>
      <c r="G427" s="101">
        <v>11236.1</v>
      </c>
      <c r="H427" s="14">
        <f aca="true" t="shared" si="136" ref="H427:H433">E427+F427+G427</f>
        <v>62103.9</v>
      </c>
      <c r="I427" s="7"/>
      <c r="J427" s="7">
        <v>1462.8</v>
      </c>
      <c r="K427" s="50">
        <f aca="true" t="shared" si="137" ref="K427:K433">H427+I427+J427</f>
        <v>63566.700000000004</v>
      </c>
      <c r="L427" s="49">
        <v>-2831.3</v>
      </c>
      <c r="M427" s="7"/>
      <c r="N427" s="50">
        <f aca="true" t="shared" si="138" ref="N427:N433">K427+L427+M427</f>
        <v>60735.4</v>
      </c>
    </row>
    <row r="428" spans="1:14" ht="12.75">
      <c r="A428" s="70" t="s">
        <v>196</v>
      </c>
      <c r="B428" s="49">
        <v>54215</v>
      </c>
      <c r="C428" s="7">
        <f>16896.6+645</f>
        <v>17541.6</v>
      </c>
      <c r="D428" s="7"/>
      <c r="E428" s="50">
        <f t="shared" si="130"/>
        <v>71756.6</v>
      </c>
      <c r="F428" s="49">
        <v>199.2</v>
      </c>
      <c r="G428" s="101">
        <v>-11229.6</v>
      </c>
      <c r="H428" s="14">
        <f t="shared" si="136"/>
        <v>60726.200000000004</v>
      </c>
      <c r="I428" s="7"/>
      <c r="J428" s="7">
        <v>-1272.4</v>
      </c>
      <c r="K428" s="50">
        <f t="shared" si="137"/>
        <v>59453.8</v>
      </c>
      <c r="L428" s="49">
        <v>1120.2</v>
      </c>
      <c r="M428" s="7"/>
      <c r="N428" s="50">
        <f t="shared" si="138"/>
        <v>60574</v>
      </c>
    </row>
    <row r="429" spans="1:14" ht="12.75" hidden="1">
      <c r="A429" s="70" t="s">
        <v>197</v>
      </c>
      <c r="B429" s="49"/>
      <c r="C429" s="7"/>
      <c r="D429" s="7"/>
      <c r="E429" s="50">
        <f t="shared" si="130"/>
        <v>0</v>
      </c>
      <c r="F429" s="49"/>
      <c r="G429" s="101"/>
      <c r="H429" s="14">
        <f t="shared" si="136"/>
        <v>0</v>
      </c>
      <c r="I429" s="7"/>
      <c r="J429" s="7"/>
      <c r="K429" s="50">
        <f t="shared" si="137"/>
        <v>0</v>
      </c>
      <c r="L429" s="49"/>
      <c r="M429" s="7"/>
      <c r="N429" s="50">
        <f t="shared" si="138"/>
        <v>0</v>
      </c>
    </row>
    <row r="430" spans="1:14" ht="12.75">
      <c r="A430" s="70" t="s">
        <v>198</v>
      </c>
      <c r="B430" s="49">
        <v>2481</v>
      </c>
      <c r="C430" s="7"/>
      <c r="D430" s="7"/>
      <c r="E430" s="50">
        <f t="shared" si="130"/>
        <v>2481</v>
      </c>
      <c r="F430" s="49">
        <f>2770</f>
        <v>2770</v>
      </c>
      <c r="G430" s="101"/>
      <c r="H430" s="14">
        <f t="shared" si="136"/>
        <v>5251</v>
      </c>
      <c r="I430" s="7">
        <v>1500</v>
      </c>
      <c r="J430" s="7"/>
      <c r="K430" s="50">
        <f t="shared" si="137"/>
        <v>6751</v>
      </c>
      <c r="L430" s="49">
        <v>48.6</v>
      </c>
      <c r="M430" s="7"/>
      <c r="N430" s="50">
        <f t="shared" si="138"/>
        <v>6799.6</v>
      </c>
    </row>
    <row r="431" spans="1:14" ht="12.75" hidden="1">
      <c r="A431" s="70" t="s">
        <v>199</v>
      </c>
      <c r="B431" s="49"/>
      <c r="C431" s="7"/>
      <c r="D431" s="7"/>
      <c r="E431" s="50">
        <f t="shared" si="130"/>
        <v>0</v>
      </c>
      <c r="F431" s="49"/>
      <c r="G431" s="101"/>
      <c r="H431" s="14">
        <f t="shared" si="136"/>
        <v>0</v>
      </c>
      <c r="I431" s="9"/>
      <c r="J431" s="7"/>
      <c r="K431" s="50">
        <f t="shared" si="137"/>
        <v>0</v>
      </c>
      <c r="L431" s="49"/>
      <c r="M431" s="7"/>
      <c r="N431" s="50">
        <f t="shared" si="138"/>
        <v>0</v>
      </c>
    </row>
    <row r="432" spans="1:14" ht="12.75">
      <c r="A432" s="70" t="s">
        <v>200</v>
      </c>
      <c r="B432" s="49"/>
      <c r="C432" s="7">
        <f>145+1519</f>
        <v>1664</v>
      </c>
      <c r="D432" s="7"/>
      <c r="E432" s="50">
        <f t="shared" si="130"/>
        <v>1664</v>
      </c>
      <c r="F432" s="49"/>
      <c r="G432" s="101"/>
      <c r="H432" s="14">
        <f t="shared" si="136"/>
        <v>1664</v>
      </c>
      <c r="I432" s="7"/>
      <c r="J432" s="7">
        <v>1581</v>
      </c>
      <c r="K432" s="50">
        <f t="shared" si="137"/>
        <v>3245</v>
      </c>
      <c r="L432" s="49">
        <v>1662.5</v>
      </c>
      <c r="M432" s="7"/>
      <c r="N432" s="50">
        <f t="shared" si="138"/>
        <v>4907.5</v>
      </c>
    </row>
    <row r="433" spans="1:14" ht="12.75">
      <c r="A433" s="70" t="s">
        <v>193</v>
      </c>
      <c r="B433" s="49">
        <v>1911.8</v>
      </c>
      <c r="C433" s="7"/>
      <c r="D433" s="7"/>
      <c r="E433" s="50">
        <f t="shared" si="130"/>
        <v>1911.8</v>
      </c>
      <c r="F433" s="49">
        <v>-1467</v>
      </c>
      <c r="G433" s="101">
        <f>-6.5+1338.6</f>
        <v>1332.1</v>
      </c>
      <c r="H433" s="14">
        <f t="shared" si="136"/>
        <v>1776.8999999999999</v>
      </c>
      <c r="I433" s="7"/>
      <c r="J433" s="7">
        <v>-1771.4</v>
      </c>
      <c r="K433" s="50">
        <f t="shared" si="137"/>
        <v>5.499999999999773</v>
      </c>
      <c r="L433" s="49"/>
      <c r="M433" s="7"/>
      <c r="N433" s="50">
        <f t="shared" si="138"/>
        <v>5.499999999999773</v>
      </c>
    </row>
    <row r="434" spans="1:14" ht="12.75">
      <c r="A434" s="70" t="s">
        <v>201</v>
      </c>
      <c r="B434" s="49">
        <f>SUM(B435:B438)</f>
        <v>5000</v>
      </c>
      <c r="C434" s="7">
        <f aca="true" t="shared" si="139" ref="C434:N434">SUM(C435:C438)</f>
        <v>0</v>
      </c>
      <c r="D434" s="7">
        <f t="shared" si="139"/>
        <v>862.4</v>
      </c>
      <c r="E434" s="50">
        <f t="shared" si="139"/>
        <v>5862.4</v>
      </c>
      <c r="F434" s="49">
        <f t="shared" si="139"/>
        <v>0</v>
      </c>
      <c r="G434" s="101">
        <f t="shared" si="139"/>
        <v>4.8</v>
      </c>
      <c r="H434" s="14">
        <f t="shared" si="139"/>
        <v>5867.2</v>
      </c>
      <c r="I434" s="7">
        <f t="shared" si="139"/>
        <v>0</v>
      </c>
      <c r="J434" s="7">
        <f t="shared" si="139"/>
        <v>0</v>
      </c>
      <c r="K434" s="50">
        <f t="shared" si="139"/>
        <v>5867.2</v>
      </c>
      <c r="L434" s="49">
        <f t="shared" si="139"/>
        <v>0</v>
      </c>
      <c r="M434" s="7">
        <f t="shared" si="139"/>
        <v>0</v>
      </c>
      <c r="N434" s="50">
        <f t="shared" si="139"/>
        <v>5867.2</v>
      </c>
    </row>
    <row r="435" spans="1:14" ht="12.75">
      <c r="A435" s="70" t="s">
        <v>190</v>
      </c>
      <c r="B435" s="49">
        <v>5000</v>
      </c>
      <c r="C435" s="7"/>
      <c r="D435" s="7">
        <v>-180</v>
      </c>
      <c r="E435" s="50">
        <f t="shared" si="130"/>
        <v>4820</v>
      </c>
      <c r="F435" s="49"/>
      <c r="G435" s="101"/>
      <c r="H435" s="14">
        <f>E435+F435+G435</f>
        <v>4820</v>
      </c>
      <c r="I435" s="7">
        <v>150</v>
      </c>
      <c r="J435" s="7">
        <v>-240</v>
      </c>
      <c r="K435" s="50">
        <f>H435+I435+J435</f>
        <v>4730</v>
      </c>
      <c r="L435" s="49"/>
      <c r="M435" s="7"/>
      <c r="N435" s="50">
        <f>K435+L435+M435</f>
        <v>4730</v>
      </c>
    </row>
    <row r="436" spans="1:14" ht="12.75">
      <c r="A436" s="70" t="s">
        <v>191</v>
      </c>
      <c r="B436" s="49"/>
      <c r="C436" s="7"/>
      <c r="D436" s="7"/>
      <c r="E436" s="50">
        <f t="shared" si="130"/>
        <v>0</v>
      </c>
      <c r="F436" s="49"/>
      <c r="G436" s="101"/>
      <c r="H436" s="14">
        <f>E436+F436+G436</f>
        <v>0</v>
      </c>
      <c r="I436" s="7">
        <v>38</v>
      </c>
      <c r="J436" s="7">
        <v>240</v>
      </c>
      <c r="K436" s="50">
        <f>H436+I436+J436</f>
        <v>278</v>
      </c>
      <c r="L436" s="49"/>
      <c r="M436" s="7"/>
      <c r="N436" s="50">
        <f>K436+L436+M436</f>
        <v>278</v>
      </c>
    </row>
    <row r="437" spans="1:14" ht="12.75">
      <c r="A437" s="70" t="s">
        <v>192</v>
      </c>
      <c r="B437" s="49"/>
      <c r="C437" s="7"/>
      <c r="D437" s="7">
        <v>180</v>
      </c>
      <c r="E437" s="50">
        <f t="shared" si="130"/>
        <v>180</v>
      </c>
      <c r="F437" s="49"/>
      <c r="G437" s="101"/>
      <c r="H437" s="14">
        <f>E437+F437+G437</f>
        <v>180</v>
      </c>
      <c r="I437" s="7">
        <v>679.2</v>
      </c>
      <c r="J437" s="7"/>
      <c r="K437" s="50">
        <f>H437+I437+J437</f>
        <v>859.2</v>
      </c>
      <c r="L437" s="49"/>
      <c r="M437" s="7"/>
      <c r="N437" s="50">
        <f>K437+L437+M437</f>
        <v>859.2</v>
      </c>
    </row>
    <row r="438" spans="1:14" ht="12.75" hidden="1">
      <c r="A438" s="70" t="s">
        <v>193</v>
      </c>
      <c r="B438" s="49"/>
      <c r="C438" s="7"/>
      <c r="D438" s="7">
        <v>862.4</v>
      </c>
      <c r="E438" s="50">
        <f t="shared" si="130"/>
        <v>862.4</v>
      </c>
      <c r="F438" s="49"/>
      <c r="G438" s="101">
        <v>4.8</v>
      </c>
      <c r="H438" s="14">
        <f>E438+F438+G438</f>
        <v>867.1999999999999</v>
      </c>
      <c r="I438" s="7">
        <v>-867.2</v>
      </c>
      <c r="J438" s="7"/>
      <c r="K438" s="50">
        <f>H438+I438+J438</f>
        <v>-1.1368683772161603E-13</v>
      </c>
      <c r="L438" s="49"/>
      <c r="M438" s="7"/>
      <c r="N438" s="50">
        <f>K438+L438+M438</f>
        <v>-1.1368683772161603E-13</v>
      </c>
    </row>
    <row r="439" spans="1:14" ht="12.75">
      <c r="A439" s="70" t="s">
        <v>202</v>
      </c>
      <c r="B439" s="49">
        <f>SUM(B440:B444)</f>
        <v>69031</v>
      </c>
      <c r="C439" s="7">
        <f aca="true" t="shared" si="140" ref="C439:N439">SUM(C440:C444)</f>
        <v>71853.1</v>
      </c>
      <c r="D439" s="7">
        <f t="shared" si="140"/>
        <v>0</v>
      </c>
      <c r="E439" s="50">
        <f t="shared" si="140"/>
        <v>140884.1</v>
      </c>
      <c r="F439" s="49">
        <f t="shared" si="140"/>
        <v>0</v>
      </c>
      <c r="G439" s="101">
        <f t="shared" si="140"/>
        <v>57.2</v>
      </c>
      <c r="H439" s="14">
        <f t="shared" si="140"/>
        <v>140941.30000000002</v>
      </c>
      <c r="I439" s="7">
        <f t="shared" si="140"/>
        <v>0</v>
      </c>
      <c r="J439" s="7">
        <f t="shared" si="140"/>
        <v>0</v>
      </c>
      <c r="K439" s="50">
        <f t="shared" si="140"/>
        <v>140941.3</v>
      </c>
      <c r="L439" s="49">
        <f t="shared" si="140"/>
        <v>-2.8421709430404007E-13</v>
      </c>
      <c r="M439" s="7">
        <f t="shared" si="140"/>
        <v>0</v>
      </c>
      <c r="N439" s="50">
        <f t="shared" si="140"/>
        <v>140941.3</v>
      </c>
    </row>
    <row r="440" spans="1:14" ht="12.75">
      <c r="A440" s="70" t="s">
        <v>190</v>
      </c>
      <c r="B440" s="49">
        <v>53599</v>
      </c>
      <c r="C440" s="7">
        <f>44361.6-2677</f>
        <v>41684.6</v>
      </c>
      <c r="D440" s="7"/>
      <c r="E440" s="50">
        <f t="shared" si="130"/>
        <v>95283.6</v>
      </c>
      <c r="F440" s="49">
        <f>-1000-300</f>
        <v>-1300</v>
      </c>
      <c r="G440" s="101">
        <f>-38000-8468+2000</f>
        <v>-44468</v>
      </c>
      <c r="H440" s="14">
        <f>E440+F440+G440</f>
        <v>49515.600000000006</v>
      </c>
      <c r="I440" s="7"/>
      <c r="J440" s="7"/>
      <c r="K440" s="50">
        <f aca="true" t="shared" si="141" ref="K440:K445">H440+I440+J440</f>
        <v>49515.600000000006</v>
      </c>
      <c r="L440" s="49">
        <f>-938.9-1788.5</f>
        <v>-2727.4</v>
      </c>
      <c r="M440" s="7"/>
      <c r="N440" s="50">
        <f aca="true" t="shared" si="142" ref="N440:N445">K440+L440+M440</f>
        <v>46788.200000000004</v>
      </c>
    </row>
    <row r="441" spans="1:14" ht="12.75">
      <c r="A441" s="70" t="s">
        <v>191</v>
      </c>
      <c r="B441" s="49">
        <v>993</v>
      </c>
      <c r="C441" s="7">
        <f>8124.1+2677</f>
        <v>10801.1</v>
      </c>
      <c r="D441" s="7"/>
      <c r="E441" s="50">
        <f t="shared" si="130"/>
        <v>11794.1</v>
      </c>
      <c r="F441" s="49"/>
      <c r="G441" s="101"/>
      <c r="H441" s="14">
        <f>E441+F441+G441</f>
        <v>11794.1</v>
      </c>
      <c r="I441" s="7"/>
      <c r="J441" s="7"/>
      <c r="K441" s="50">
        <f t="shared" si="141"/>
        <v>11794.1</v>
      </c>
      <c r="L441" s="49">
        <f>-934.2+1788.5</f>
        <v>854.3</v>
      </c>
      <c r="M441" s="7"/>
      <c r="N441" s="50">
        <f t="shared" si="142"/>
        <v>12648.4</v>
      </c>
    </row>
    <row r="442" spans="1:14" ht="12.75">
      <c r="A442" s="70" t="s">
        <v>203</v>
      </c>
      <c r="B442" s="49">
        <v>8125</v>
      </c>
      <c r="C442" s="7">
        <v>19367.4</v>
      </c>
      <c r="D442" s="7"/>
      <c r="E442" s="50">
        <f t="shared" si="130"/>
        <v>27492.4</v>
      </c>
      <c r="F442" s="49">
        <f>881+300</f>
        <v>1181</v>
      </c>
      <c r="G442" s="101">
        <f>38000+8468-2000</f>
        <v>44468</v>
      </c>
      <c r="H442" s="14">
        <f>E442+F442+G442</f>
        <v>73141.4</v>
      </c>
      <c r="I442" s="7">
        <v>1212.7</v>
      </c>
      <c r="J442" s="7"/>
      <c r="K442" s="50">
        <f t="shared" si="141"/>
        <v>74354.09999999999</v>
      </c>
      <c r="L442" s="49">
        <f>-202.7+1873.1</f>
        <v>1670.3999999999999</v>
      </c>
      <c r="M442" s="7"/>
      <c r="N442" s="50">
        <f t="shared" si="142"/>
        <v>76024.49999999999</v>
      </c>
    </row>
    <row r="443" spans="1:14" ht="12.75">
      <c r="A443" s="70" t="s">
        <v>200</v>
      </c>
      <c r="B443" s="49">
        <v>6314</v>
      </c>
      <c r="C443" s="7"/>
      <c r="D443" s="7"/>
      <c r="E443" s="50">
        <f t="shared" si="130"/>
        <v>6314</v>
      </c>
      <c r="F443" s="49">
        <v>119</v>
      </c>
      <c r="G443" s="101"/>
      <c r="H443" s="14">
        <f>E443+F443+G443</f>
        <v>6433</v>
      </c>
      <c r="I443" s="7">
        <v>-1212.7</v>
      </c>
      <c r="J443" s="7"/>
      <c r="K443" s="50">
        <f t="shared" si="141"/>
        <v>5220.3</v>
      </c>
      <c r="L443" s="49">
        <v>202.7</v>
      </c>
      <c r="M443" s="7"/>
      <c r="N443" s="50">
        <f t="shared" si="142"/>
        <v>5423</v>
      </c>
    </row>
    <row r="444" spans="1:14" ht="12.75">
      <c r="A444" s="70" t="s">
        <v>193</v>
      </c>
      <c r="B444" s="49"/>
      <c r="C444" s="7"/>
      <c r="D444" s="7"/>
      <c r="E444" s="50">
        <f t="shared" si="130"/>
        <v>0</v>
      </c>
      <c r="F444" s="49"/>
      <c r="G444" s="101">
        <v>57.2</v>
      </c>
      <c r="H444" s="14">
        <f>E444+F444+G444</f>
        <v>57.2</v>
      </c>
      <c r="I444" s="7"/>
      <c r="J444" s="7"/>
      <c r="K444" s="50">
        <f t="shared" si="141"/>
        <v>57.2</v>
      </c>
      <c r="L444" s="49"/>
      <c r="M444" s="7"/>
      <c r="N444" s="50">
        <f t="shared" si="142"/>
        <v>57.2</v>
      </c>
    </row>
    <row r="445" spans="1:14" ht="12.75">
      <c r="A445" s="79" t="s">
        <v>204</v>
      </c>
      <c r="B445" s="53"/>
      <c r="C445" s="10"/>
      <c r="D445" s="10"/>
      <c r="E445" s="54">
        <f t="shared" si="130"/>
        <v>0</v>
      </c>
      <c r="F445" s="53"/>
      <c r="G445" s="16">
        <v>335</v>
      </c>
      <c r="H445" s="160">
        <f>SUM(E445:G445)</f>
        <v>335</v>
      </c>
      <c r="I445" s="10"/>
      <c r="J445" s="10"/>
      <c r="K445" s="54">
        <f t="shared" si="141"/>
        <v>335</v>
      </c>
      <c r="L445" s="53"/>
      <c r="M445" s="10"/>
      <c r="N445" s="54">
        <f t="shared" si="142"/>
        <v>335</v>
      </c>
    </row>
    <row r="446" spans="1:14" ht="13.5" thickBot="1">
      <c r="A446" s="85" t="s">
        <v>205</v>
      </c>
      <c r="B446" s="51">
        <v>4819</v>
      </c>
      <c r="C446" s="8">
        <v>167</v>
      </c>
      <c r="D446" s="110"/>
      <c r="E446" s="131">
        <f>SUM(B446:D446)</f>
        <v>4986</v>
      </c>
      <c r="F446" s="51">
        <f>3000</f>
        <v>3000</v>
      </c>
      <c r="G446" s="17"/>
      <c r="H446" s="165">
        <f>SUM(E446:G446)</f>
        <v>7986</v>
      </c>
      <c r="I446" s="166"/>
      <c r="J446" s="8"/>
      <c r="K446" s="52">
        <f>SUM(H446:J446)</f>
        <v>7986</v>
      </c>
      <c r="L446" s="51"/>
      <c r="M446" s="8"/>
      <c r="N446" s="52">
        <f>SUM(K446:M446)</f>
        <v>7986</v>
      </c>
    </row>
    <row r="447" spans="1:17" ht="15.75" thickBot="1">
      <c r="A447" s="86" t="s">
        <v>206</v>
      </c>
      <c r="B447" s="102">
        <f aca="true" t="shared" si="143" ref="B447:N447">B83+B96+B119+B137+B146+B170+B179+B189+B246+B295+B315+B332+B359+B383+B390+B404+B397+B446</f>
        <v>3205033</v>
      </c>
      <c r="C447" s="102" t="e">
        <f t="shared" si="143"/>
        <v>#REF!</v>
      </c>
      <c r="D447" s="102" t="e">
        <f t="shared" si="143"/>
        <v>#REF!</v>
      </c>
      <c r="E447" s="102" t="e">
        <f t="shared" si="143"/>
        <v>#REF!</v>
      </c>
      <c r="F447" s="102" t="e">
        <f t="shared" si="143"/>
        <v>#REF!</v>
      </c>
      <c r="G447" s="102" t="e">
        <f t="shared" si="143"/>
        <v>#REF!</v>
      </c>
      <c r="H447" s="102">
        <f t="shared" si="143"/>
        <v>6655840.8</v>
      </c>
      <c r="I447" s="102">
        <f t="shared" si="143"/>
        <v>1294219.2000000002</v>
      </c>
      <c r="J447" s="18">
        <f t="shared" si="143"/>
        <v>-79180.20000000003</v>
      </c>
      <c r="K447" s="19">
        <f t="shared" si="143"/>
        <v>7870879.8</v>
      </c>
      <c r="L447" s="40">
        <f t="shared" si="143"/>
        <v>1504630.2</v>
      </c>
      <c r="M447" s="174" t="e">
        <f t="shared" si="143"/>
        <v>#REF!</v>
      </c>
      <c r="N447" s="19">
        <f t="shared" si="143"/>
        <v>9375510.000000002</v>
      </c>
      <c r="Q447" s="115"/>
    </row>
    <row r="448" spans="1:14" ht="13.5" thickBot="1">
      <c r="A448" s="87" t="s">
        <v>207</v>
      </c>
      <c r="B448" s="103">
        <v>-4819</v>
      </c>
      <c r="C448" s="20">
        <v>-167</v>
      </c>
      <c r="D448" s="111"/>
      <c r="E448" s="21">
        <f>SUM(B448:D448)</f>
        <v>-4986</v>
      </c>
      <c r="F448" s="103"/>
      <c r="G448" s="20"/>
      <c r="H448" s="50">
        <f>E448+F448+G448</f>
        <v>-4986</v>
      </c>
      <c r="I448" s="103"/>
      <c r="J448" s="20"/>
      <c r="K448" s="50">
        <f>H448+I448+J448</f>
        <v>-4986</v>
      </c>
      <c r="L448" s="41"/>
      <c r="M448" s="175"/>
      <c r="N448" s="21">
        <f>SUM(K448:M448)</f>
        <v>-4986</v>
      </c>
    </row>
    <row r="449" spans="1:14" ht="16.5" thickBot="1">
      <c r="A449" s="88" t="s">
        <v>208</v>
      </c>
      <c r="B449" s="104">
        <f aca="true" t="shared" si="144" ref="B449:N449">B447+B448</f>
        <v>3200214</v>
      </c>
      <c r="C449" s="104" t="e">
        <f t="shared" si="144"/>
        <v>#REF!</v>
      </c>
      <c r="D449" s="104" t="e">
        <f t="shared" si="144"/>
        <v>#REF!</v>
      </c>
      <c r="E449" s="104" t="e">
        <f t="shared" si="144"/>
        <v>#REF!</v>
      </c>
      <c r="F449" s="104" t="e">
        <f t="shared" si="144"/>
        <v>#REF!</v>
      </c>
      <c r="G449" s="104" t="e">
        <f t="shared" si="144"/>
        <v>#REF!</v>
      </c>
      <c r="H449" s="104">
        <f t="shared" si="144"/>
        <v>6650854.8</v>
      </c>
      <c r="I449" s="104">
        <f t="shared" si="144"/>
        <v>1294219.2000000002</v>
      </c>
      <c r="J449" s="22">
        <f t="shared" si="144"/>
        <v>-79180.20000000003</v>
      </c>
      <c r="K449" s="23">
        <f t="shared" si="144"/>
        <v>7865893.8</v>
      </c>
      <c r="L449" s="173">
        <f t="shared" si="144"/>
        <v>1504630.2</v>
      </c>
      <c r="M449" s="172" t="e">
        <f t="shared" si="144"/>
        <v>#REF!</v>
      </c>
      <c r="N449" s="23">
        <f t="shared" si="144"/>
        <v>9370524.000000002</v>
      </c>
    </row>
    <row r="450" spans="1:14" ht="15.75">
      <c r="A450" s="89" t="s">
        <v>47</v>
      </c>
      <c r="B450" s="105"/>
      <c r="C450" s="24"/>
      <c r="D450" s="112"/>
      <c r="E450" s="25"/>
      <c r="F450" s="105"/>
      <c r="G450" s="147"/>
      <c r="H450" s="147"/>
      <c r="I450" s="24"/>
      <c r="J450" s="24"/>
      <c r="K450" s="25"/>
      <c r="L450" s="26"/>
      <c r="M450" s="176"/>
      <c r="N450" s="25"/>
    </row>
    <row r="451" spans="1:14" ht="15.75">
      <c r="A451" s="90" t="s">
        <v>77</v>
      </c>
      <c r="B451" s="106">
        <f aca="true" t="shared" si="145" ref="B451:K451">B84+B97+B120+B138+B147+B171+B180+B190+B247+B296+B316+B333+B360+B384+B391+B398+B406+B446+B448</f>
        <v>2807884.3000000003</v>
      </c>
      <c r="C451" s="106" t="e">
        <f t="shared" si="145"/>
        <v>#REF!</v>
      </c>
      <c r="D451" s="106" t="e">
        <f t="shared" si="145"/>
        <v>#REF!</v>
      </c>
      <c r="E451" s="106" t="e">
        <f t="shared" si="145"/>
        <v>#REF!</v>
      </c>
      <c r="F451" s="106" t="e">
        <f t="shared" si="145"/>
        <v>#REF!</v>
      </c>
      <c r="G451" s="106" t="e">
        <f t="shared" si="145"/>
        <v>#REF!</v>
      </c>
      <c r="H451" s="150">
        <f t="shared" si="145"/>
        <v>5691524.200000001</v>
      </c>
      <c r="I451" s="27">
        <f t="shared" si="145"/>
        <v>1144820.5</v>
      </c>
      <c r="J451" s="27">
        <f t="shared" si="145"/>
        <v>-12007.600000000002</v>
      </c>
      <c r="K451" s="28">
        <f t="shared" si="145"/>
        <v>6824337.1</v>
      </c>
      <c r="L451" s="29">
        <f>L84+L97+L120+L138+L147+L171+L180+L190+L247+L296+L316+L333+L360+L384+L391+L398+L406+L446+L448</f>
        <v>1249711.1999999997</v>
      </c>
      <c r="M451" s="177" t="e">
        <f>M84+M97+M120+M138+M147+M171+M180+M190+M247+M296+M316+M333+M360+M384+M391+M398+M406+M446+M448</f>
        <v>#REF!</v>
      </c>
      <c r="N451" s="28">
        <f>N84+N97+N120+N138+N147+N171+N180+N190+N247+N296+N316+N333+N360+N384+N391+N398+N406+N446+N448</f>
        <v>8074048.300000001</v>
      </c>
    </row>
    <row r="452" spans="1:14" ht="16.5" thickBot="1">
      <c r="A452" s="76" t="s">
        <v>83</v>
      </c>
      <c r="B452" s="107">
        <f aca="true" t="shared" si="146" ref="B452:K452">B92+B115+B130+B143+B160+B176+B184+B228+B286+B306+B327+B353+B373+B387+B401+B407</f>
        <v>392329.7</v>
      </c>
      <c r="C452" s="107">
        <f t="shared" si="146"/>
        <v>299347.70000000007</v>
      </c>
      <c r="D452" s="107">
        <f t="shared" si="146"/>
        <v>3923.400000000004</v>
      </c>
      <c r="E452" s="107">
        <f t="shared" si="146"/>
        <v>695600.8</v>
      </c>
      <c r="F452" s="107">
        <f t="shared" si="146"/>
        <v>183914.9</v>
      </c>
      <c r="G452" s="107">
        <f t="shared" si="146"/>
        <v>79820.50000000001</v>
      </c>
      <c r="H452" s="151">
        <f t="shared" si="146"/>
        <v>959330.6000000001</v>
      </c>
      <c r="I452" s="30">
        <f t="shared" si="146"/>
        <v>149398.7</v>
      </c>
      <c r="J452" s="30">
        <f t="shared" si="146"/>
        <v>-67172.6</v>
      </c>
      <c r="K452" s="31">
        <f t="shared" si="146"/>
        <v>1041556.7</v>
      </c>
      <c r="L452" s="32">
        <f>L92+L115+L130+L143+L160+L176+L184+L228+L286+L306+L327+L353+L373+L387+L401+L407</f>
        <v>254919</v>
      </c>
      <c r="M452" s="178">
        <f>M92+M115+M130+M143+M160+M176+M184+M228+M286+M306+M327+M353+M373+M387+M401+M407</f>
        <v>0</v>
      </c>
      <c r="N452" s="31">
        <f>N92+N115+N130+N143+N160+N176+N184+N228+N286+N306+N327+N353+N373+N387+N401+N407</f>
        <v>1296475.7</v>
      </c>
    </row>
    <row r="453" spans="1:14" ht="15.75">
      <c r="A453" s="89" t="s">
        <v>209</v>
      </c>
      <c r="B453" s="108">
        <f>SUM(B455:B460)</f>
        <v>225035</v>
      </c>
      <c r="C453" s="108">
        <f aca="true" t="shared" si="147" ref="C453:K453">SUM(C455:C460)</f>
        <v>510578.2</v>
      </c>
      <c r="D453" s="108">
        <f t="shared" si="147"/>
        <v>2553.5</v>
      </c>
      <c r="E453" s="108">
        <f t="shared" si="147"/>
        <v>738166.7</v>
      </c>
      <c r="F453" s="108">
        <f t="shared" si="147"/>
        <v>-9530</v>
      </c>
      <c r="G453" s="108">
        <f t="shared" si="147"/>
        <v>33228.299999999996</v>
      </c>
      <c r="H453" s="152">
        <f t="shared" si="147"/>
        <v>761865</v>
      </c>
      <c r="I453" s="33">
        <f t="shared" si="147"/>
        <v>10498</v>
      </c>
      <c r="J453" s="33">
        <f t="shared" si="147"/>
        <v>-86187.1</v>
      </c>
      <c r="K453" s="34">
        <f t="shared" si="147"/>
        <v>686175.9</v>
      </c>
      <c r="L453" s="35">
        <f>SUM(L455:L460)</f>
        <v>56400.5</v>
      </c>
      <c r="M453" s="36">
        <f>SUM(M455:M460)</f>
        <v>0</v>
      </c>
      <c r="N453" s="34">
        <f>SUM(N455:N460)</f>
        <v>742576.4</v>
      </c>
    </row>
    <row r="454" spans="1:14" ht="12.75" customHeight="1">
      <c r="A454" s="91" t="s">
        <v>47</v>
      </c>
      <c r="B454" s="109"/>
      <c r="C454" s="37"/>
      <c r="D454" s="113"/>
      <c r="E454" s="114"/>
      <c r="F454" s="109"/>
      <c r="G454" s="148"/>
      <c r="H454" s="128"/>
      <c r="I454" s="37"/>
      <c r="J454" s="37"/>
      <c r="K454" s="114"/>
      <c r="L454" s="42"/>
      <c r="M454" s="37"/>
      <c r="N454" s="38"/>
    </row>
    <row r="455" spans="1:14" ht="14.25">
      <c r="A455" s="91" t="s">
        <v>210</v>
      </c>
      <c r="B455" s="43">
        <v>325035</v>
      </c>
      <c r="C455" s="39">
        <v>2922.7</v>
      </c>
      <c r="D455" s="128">
        <v>1691.1</v>
      </c>
      <c r="E455" s="114">
        <f>SUM(B455:D455)</f>
        <v>329648.8</v>
      </c>
      <c r="F455" s="139"/>
      <c r="G455" s="128"/>
      <c r="H455" s="128">
        <f aca="true" t="shared" si="148" ref="H455:H460">SUM(E455:G455)</f>
        <v>329648.8</v>
      </c>
      <c r="I455" s="39"/>
      <c r="J455" s="39">
        <v>-86187.1</v>
      </c>
      <c r="K455" s="114">
        <f aca="true" t="shared" si="149" ref="K455:K460">SUM(H455:J455)</f>
        <v>243461.69999999998</v>
      </c>
      <c r="L455" s="43"/>
      <c r="M455" s="39"/>
      <c r="N455" s="38">
        <f aca="true" t="shared" si="150" ref="N455:N460">SUM(K455:M455)</f>
        <v>243461.69999999998</v>
      </c>
    </row>
    <row r="456" spans="1:14" ht="14.25">
      <c r="A456" s="92" t="s">
        <v>223</v>
      </c>
      <c r="B456" s="43">
        <v>-100000</v>
      </c>
      <c r="C456" s="39"/>
      <c r="D456" s="128"/>
      <c r="E456" s="114">
        <f>SUM(B456:D456)</f>
        <v>-100000</v>
      </c>
      <c r="F456" s="139"/>
      <c r="G456" s="128"/>
      <c r="H456" s="128">
        <f t="shared" si="148"/>
        <v>-100000</v>
      </c>
      <c r="I456" s="39"/>
      <c r="J456" s="39"/>
      <c r="K456" s="114">
        <f t="shared" si="149"/>
        <v>-100000</v>
      </c>
      <c r="L456" s="43"/>
      <c r="M456" s="39"/>
      <c r="N456" s="38">
        <f t="shared" si="150"/>
        <v>-100000</v>
      </c>
    </row>
    <row r="457" spans="1:14" ht="14.25">
      <c r="A457" s="92" t="s">
        <v>211</v>
      </c>
      <c r="B457" s="43"/>
      <c r="C457" s="94"/>
      <c r="D457" s="128"/>
      <c r="E457" s="114"/>
      <c r="F457" s="139"/>
      <c r="G457" s="128"/>
      <c r="H457" s="128">
        <f t="shared" si="148"/>
        <v>0</v>
      </c>
      <c r="I457" s="39">
        <v>10498</v>
      </c>
      <c r="J457" s="39"/>
      <c r="K457" s="114">
        <f t="shared" si="149"/>
        <v>10498</v>
      </c>
      <c r="L457" s="43">
        <f>13631.4+16622.2+286.6+30162.5+13825.5</f>
        <v>74528.2</v>
      </c>
      <c r="M457" s="39"/>
      <c r="N457" s="38">
        <f t="shared" si="150"/>
        <v>85026.2</v>
      </c>
    </row>
    <row r="458" spans="1:14" ht="14.25">
      <c r="A458" s="91" t="s">
        <v>212</v>
      </c>
      <c r="B458" s="43"/>
      <c r="C458" s="39">
        <f>-14763.4-20605.1</f>
        <v>-35368.5</v>
      </c>
      <c r="D458" s="128"/>
      <c r="E458" s="114">
        <f>SUM(B458:D458)</f>
        <v>-35368.5</v>
      </c>
      <c r="F458" s="139">
        <v>-12530</v>
      </c>
      <c r="G458" s="128"/>
      <c r="H458" s="128">
        <f t="shared" si="148"/>
        <v>-47898.5</v>
      </c>
      <c r="I458" s="39"/>
      <c r="J458" s="39"/>
      <c r="K458" s="114">
        <f t="shared" si="149"/>
        <v>-47898.5</v>
      </c>
      <c r="L458" s="43">
        <v>-18127.7</v>
      </c>
      <c r="M458" s="39"/>
      <c r="N458" s="38">
        <f t="shared" si="150"/>
        <v>-66026.2</v>
      </c>
    </row>
    <row r="459" spans="1:14" ht="15.75">
      <c r="A459" s="91" t="s">
        <v>213</v>
      </c>
      <c r="B459" s="42"/>
      <c r="C459" s="39">
        <f>71853.1+21295.4+29102.6+27985.1+457.9+7435.5+9434.1+44.6+670.4+1588.9+164701.5+277.2+84.9+8567+1450+14019.2+50051.9+482.7+129000+4522</f>
        <v>543024</v>
      </c>
      <c r="D459" s="128">
        <v>862.4</v>
      </c>
      <c r="E459" s="114">
        <f>SUM(B459:D459)</f>
        <v>543886.4</v>
      </c>
      <c r="F459" s="139"/>
      <c r="G459" s="128">
        <f>23747.9+54+245.5+310.3+2022.1+335+293.8+2609+1338.6+4.8+57.2+4620-2409.9</f>
        <v>33228.299999999996</v>
      </c>
      <c r="H459" s="128">
        <f t="shared" si="148"/>
        <v>577114.7000000001</v>
      </c>
      <c r="I459" s="39"/>
      <c r="J459" s="39"/>
      <c r="K459" s="114">
        <f t="shared" si="149"/>
        <v>577114.7000000001</v>
      </c>
      <c r="L459" s="43"/>
      <c r="M459" s="39"/>
      <c r="N459" s="38">
        <f t="shared" si="150"/>
        <v>577114.7000000001</v>
      </c>
    </row>
    <row r="460" spans="1:14" ht="15" thickBot="1">
      <c r="A460" s="93" t="s">
        <v>260</v>
      </c>
      <c r="B460" s="127"/>
      <c r="C460" s="126"/>
      <c r="D460" s="126"/>
      <c r="E460" s="129"/>
      <c r="F460" s="140">
        <v>3000</v>
      </c>
      <c r="G460" s="149"/>
      <c r="H460" s="153">
        <f t="shared" si="148"/>
        <v>3000</v>
      </c>
      <c r="I460" s="141"/>
      <c r="J460" s="141"/>
      <c r="K460" s="132">
        <f t="shared" si="149"/>
        <v>3000</v>
      </c>
      <c r="L460" s="179"/>
      <c r="M460" s="126"/>
      <c r="N460" s="180">
        <f t="shared" si="150"/>
        <v>3000</v>
      </c>
    </row>
    <row r="462" ht="12.75" hidden="1">
      <c r="L462" s="182">
        <f>L81+L453</f>
        <v>1504630.2</v>
      </c>
    </row>
    <row r="463" ht="12.75" hidden="1">
      <c r="L463">
        <f>L462-L449</f>
        <v>0</v>
      </c>
    </row>
  </sheetData>
  <sheetProtection/>
  <mergeCells count="5">
    <mergeCell ref="A3:N3"/>
    <mergeCell ref="A4:N4"/>
    <mergeCell ref="A5:N5"/>
    <mergeCell ref="A6:N6"/>
    <mergeCell ref="A8:A9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portrait" paperSize="9" scale="95" r:id="rId1"/>
  <headerFooter alignWithMargins="0">
    <oddFooter>&amp;CStránka &amp;P</oddFooter>
  </headerFooter>
  <rowBreaks count="6" manualBreakCount="6">
    <brk id="76" max="255" man="1"/>
    <brk id="136" max="255" man="1"/>
    <brk id="201" max="13" man="1"/>
    <brk id="283" max="13" man="1"/>
    <brk id="348" max="13" man="1"/>
    <brk id="419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Věra Kopřivová</cp:lastModifiedBy>
  <cp:lastPrinted>2010-11-15T08:15:11Z</cp:lastPrinted>
  <dcterms:created xsi:type="dcterms:W3CDTF">2009-01-05T12:05:07Z</dcterms:created>
  <dcterms:modified xsi:type="dcterms:W3CDTF">2010-11-15T13:56:37Z</dcterms:modified>
  <cp:category/>
  <cp:version/>
  <cp:contentType/>
  <cp:contentStatus/>
</cp:coreProperties>
</file>