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5.ZR" sheetId="1" r:id="rId1"/>
    <sheet name="List1" sheetId="2" r:id="rId2"/>
  </sheets>
  <definedNames>
    <definedName name="_xlnm.Print_Titles" localSheetId="0">'5.ZR'!$8:$9</definedName>
    <definedName name="_xlnm.Print_Area" localSheetId="0">'5.ZR'!$A$1:$P$429</definedName>
    <definedName name="Z_39FD50E0_9911_4D32_8842_5A58F13D310F_.wvu.Cols" localSheetId="0" hidden="1">'5.ZR'!$C:$J,'5.ZR'!$M:$M,'5.ZR'!#REF!</definedName>
    <definedName name="Z_39FD50E0_9911_4D32_8842_5A58F13D310F_.wvu.PrintTitles" localSheetId="0" hidden="1">'5.ZR'!$8:$9</definedName>
    <definedName name="Z_39FD50E0_9911_4D32_8842_5A58F13D310F_.wvu.Rows" localSheetId="0" hidden="1">'5.ZR'!#REF!</definedName>
  </definedNames>
  <calcPr fullCalcOnLoad="1"/>
</workbook>
</file>

<file path=xl/sharedStrings.xml><?xml version="1.0" encoding="utf-8"?>
<sst xmlns="http://schemas.openxmlformats.org/spreadsheetml/2006/main" count="456" uniqueCount="281">
  <si>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</si>
  <si>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</si>
  <si>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</si>
  <si>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</si>
  <si>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</si>
  <si>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</si>
  <si>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</si>
  <si>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</si>
  <si>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</si>
  <si>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</si>
  <si>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</si>
  <si>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</si>
  <si>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</si>
  <si>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</si>
  <si>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</si>
  <si>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</si>
  <si>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</si>
  <si>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</si>
  <si>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</si>
  <si>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</si>
  <si>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</si>
  <si>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</si>
  <si>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</si>
  <si>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</si>
  <si>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</si>
  <si>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</si>
  <si>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</si>
  <si>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</si>
  <si>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</si>
  <si>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</si>
  <si>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</si>
  <si>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</si>
  <si>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</si>
  <si>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</si>
  <si>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</si>
  <si>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</si>
  <si>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</si>
  <si>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</si>
  <si>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</si>
  <si>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</si>
  <si>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</si>
  <si>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</si>
  <si>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</si>
  <si>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</si>
  <si>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</si>
  <si>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</si>
  <si>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</si>
  <si>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</si>
  <si>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</si>
  <si>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</si>
  <si>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</si>
  <si>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</si>
  <si>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</si>
  <si>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</si>
  <si>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</si>
  <si>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</si>
  <si>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</si>
  <si>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</si>
  <si>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</si>
  <si>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</si>
  <si>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</si>
  <si>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</si>
  <si>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</si>
  <si>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</si>
  <si>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</si>
  <si>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</si>
  <si>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</si>
  <si>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</si>
  <si>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</si>
  <si>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</si>
  <si>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</si>
  <si>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</si>
  <si>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</si>
  <si>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</si>
  <si>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</si>
  <si>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</si>
  <si>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</si>
  <si>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</si>
  <si>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</si>
  <si>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</si>
  <si>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</si>
  <si>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</si>
  <si>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</si>
  <si>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</si>
  <si>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</si>
  <si>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</si>
  <si>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</si>
  <si>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</si>
  <si>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</si>
  <si>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</si>
  <si>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</si>
  <si>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</si>
  <si>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</si>
  <si>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</si>
  <si>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</si>
  <si>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</si>
  <si>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</si>
  <si>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</si>
  <si>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</si>
  <si>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</si>
  <si>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</si>
  <si>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</si>
  <si>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</si>
  <si>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</si>
  <si>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</si>
  <si>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</si>
  <si>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</si>
  <si>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</si>
  <si>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neinvestiční půjčené prostředky a.s.</t>
  </si>
  <si>
    <t>obnova silničního majetku - SFDI - SR</t>
  </si>
  <si>
    <t>splátka dodavatelského úvěru</t>
  </si>
  <si>
    <t xml:space="preserve">kofinancování a předfinancování </t>
  </si>
  <si>
    <t>kofinancování a předfinancování</t>
  </si>
  <si>
    <t>obnova silničního majetku - z půjčky SFDI</t>
  </si>
  <si>
    <t>komunikace v rámci průmyslové zóny - SR</t>
  </si>
  <si>
    <t xml:space="preserve">kap. 11 - cestovní ruch </t>
  </si>
  <si>
    <t>kap. 12 - správa majetku kraje</t>
  </si>
  <si>
    <t>zajištění správy majetku kraje</t>
  </si>
  <si>
    <t>soustředěné pojištění majetku kraje</t>
  </si>
  <si>
    <t>kap. 13 - evropská integrace</t>
  </si>
  <si>
    <t>neinv.transfer Regionální radě regionu soudržnosti SV</t>
  </si>
  <si>
    <t>OP RLZ  5.1,5.2 Zabezp. fin.konečných.uživ.-SR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</si>
  <si>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</si>
  <si>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</si>
  <si>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</si>
  <si>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</si>
  <si>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</si>
  <si>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GRIP IT - transfery ze zahraničí</t>
  </si>
  <si>
    <t>program obnovy venkova</t>
  </si>
  <si>
    <t xml:space="preserve">             školství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</si>
  <si>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</si>
  <si>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</si>
  <si>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</si>
  <si>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</si>
  <si>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</si>
  <si>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</si>
  <si>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</si>
  <si>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</si>
  <si>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</si>
  <si>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</si>
  <si>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</si>
  <si>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</si>
  <si>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</si>
  <si>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</si>
  <si>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</si>
  <si>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</si>
  <si>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</si>
  <si>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</si>
  <si>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</si>
  <si>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</si>
  <si>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</si>
  <si>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</si>
  <si>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</si>
  <si>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</si>
  <si>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</si>
  <si>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</si>
  <si>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</si>
  <si>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</si>
  <si>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</si>
  <si>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</si>
  <si>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</si>
  <si>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</si>
  <si>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</si>
  <si>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</si>
  <si>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</si>
  <si>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</si>
  <si>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</si>
  <si>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</si>
  <si>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</si>
  <si>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</si>
  <si>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výdaje jednotek sborů dobrovolných hasičů obcí-SR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</si>
  <si>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</si>
  <si>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</si>
  <si>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</si>
  <si>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</si>
  <si>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</si>
  <si>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</si>
  <si>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</si>
  <si>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</si>
  <si>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</si>
  <si>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</si>
  <si>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</si>
  <si>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</si>
  <si>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</si>
  <si>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</si>
  <si>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</si>
  <si>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</si>
  <si>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</si>
  <si>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</si>
  <si>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</si>
  <si>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</si>
  <si>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</si>
  <si>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</si>
  <si>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</si>
  <si>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</si>
  <si>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</si>
  <si>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</si>
  <si>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</si>
  <si>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</si>
  <si>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</si>
  <si>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</si>
  <si>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</si>
  <si>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</si>
  <si>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</si>
  <si>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</si>
  <si>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</si>
  <si>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</si>
  <si>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</si>
  <si>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</si>
  <si>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</si>
  <si>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</si>
  <si>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</si>
  <si>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NA ROK 2009</t>
  </si>
  <si>
    <t>real.projektu Kuks-stálá přírodní výstavní síň</t>
  </si>
  <si>
    <t>neinvestiční dotace městu Trutnov na činnost muzea</t>
  </si>
  <si>
    <t>cestovní ruch</t>
  </si>
  <si>
    <t xml:space="preserve">            běžné výdaje odvětví</t>
  </si>
  <si>
    <t>GG 1.1.OPVK-Zvyšování kvality ve vzděl.- SR r.2008</t>
  </si>
  <si>
    <t>GG1.3.OPVK-Další vzděl.prac.škol a zař. - SR r.2008</t>
  </si>
  <si>
    <t>GG 1.1.OPVK-Zvyšování kvality ve vzdělávání - SR r.2008</t>
  </si>
  <si>
    <t>GG 1.2.OPVK-Rovné přílež.dětí a ž.se sp.potř.- SRr.2008</t>
  </si>
  <si>
    <t>GS 3.3 OP RLZ Zabezp.předfin.koneč.uživ.-SR r.2008</t>
  </si>
  <si>
    <t>GG 1.2.OPVK-Rovné příl.dětí a ž.se sp.potř.-SR r.2008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</si>
  <si>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</si>
  <si>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</si>
  <si>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</si>
  <si>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</si>
  <si>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</si>
  <si>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FM EHP/Norska - CZ-0037 z r.2008 - SR</t>
  </si>
  <si>
    <t>FM EHP/Norska - CZ-0037-sub-projekty - SR r. 2008</t>
  </si>
  <si>
    <t>neinvestiční půjčené prostředky PO</t>
  </si>
  <si>
    <t>volby do Evropského parlamentu - SR</t>
  </si>
  <si>
    <t>OP LZZ Podpora soc.integr.obyv.vylouč.lok.v KHK - SR</t>
  </si>
  <si>
    <t>Evropa mladýma očima - SR</t>
  </si>
  <si>
    <t>OP VK 5.1. - Technické zajištění, hodnotitelé,mzdy - SR</t>
  </si>
  <si>
    <t>OP VK 5.3. - Podpora tvorby a přípravy projektů - SR</t>
  </si>
  <si>
    <t>OP VK 5. 2. - Publicita a informovanost - SR</t>
  </si>
  <si>
    <t>OP VK 5.3. - Podpora tvorby a přípr. projektů - SR r.2008</t>
  </si>
  <si>
    <t>OP VK 5.1. - Techn. zajištění, hodnot.,mzdy - SR r. 2008</t>
  </si>
  <si>
    <t>kofinancování a předfinancování - příspěvek pro CEP</t>
  </si>
  <si>
    <t>nedaňové příjmy odvětví evropské integrace</t>
  </si>
  <si>
    <t>nedaňové příjmy odvětví cestovního ruchu</t>
  </si>
  <si>
    <t xml:space="preserve">FM EHP/Norska - CZ-0037-sub-projekty - SR </t>
  </si>
  <si>
    <t>školní vybavení pro žáky 1.ročníku ZŠ - SR</t>
  </si>
  <si>
    <t xml:space="preserve">  z toho: Centrum evropského projektování </t>
  </si>
  <si>
    <t>investični transfery obcím</t>
  </si>
  <si>
    <t xml:space="preserve">investiční transfery obcím   </t>
  </si>
  <si>
    <t>prům. zóna Solnice-Kvasiny - ost.běžné výdaje</t>
  </si>
  <si>
    <t>krajský program prevence kriminality - SR</t>
  </si>
  <si>
    <t>nedaňové příjmy odvětví regionálního rozvoje</t>
  </si>
  <si>
    <t>nedaňové příjmy odvětví zdravotnictví</t>
  </si>
  <si>
    <t>GG VK 3.2 - Podpora nabídky dalšího vzdělávání - SR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</si>
  <si>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</si>
  <si>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</si>
  <si>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</si>
  <si>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inv.transfery obcím</t>
  </si>
  <si>
    <t>pr.z.Solnice-Kvasiny-i.transf.obcím (5 000 tis.Kč úvěr)</t>
  </si>
  <si>
    <t xml:space="preserve">  z MDO</t>
  </si>
  <si>
    <t>úhrada ztráty ve veřejné drážní osobní dopravě - SR</t>
  </si>
  <si>
    <t>neinv.dotace posk. prostř.čerp.ú. - SR</t>
  </si>
  <si>
    <t>Projekt technické pomoci OPPS ČR-PR 2007-2013 - SR</t>
  </si>
  <si>
    <t>IOP - územně analytické podklady pro KHK - SR</t>
  </si>
  <si>
    <t>OPVK-rozvoj kompet.říd.prac.škol v KHK - SR</t>
  </si>
  <si>
    <t>vzdělávání dětí a žáků se soc.znevýhodněním - SR</t>
  </si>
  <si>
    <t>pr.z.Solnice-Kvasiny-ost.kap.výd.(úvěr 143 313,9 tis.Kč)</t>
  </si>
  <si>
    <t>prům.zóna Solnice-Kvasiny-ostat.kap.výd.(úvěr 6475,5tis.)</t>
  </si>
  <si>
    <t>projekt Vybavení dílen pro praktickou výuku - RRRS</t>
  </si>
  <si>
    <t>FM EHP/Norska  - SR</t>
  </si>
  <si>
    <t>prům.zóna Solnice-Kvasiny - SR</t>
  </si>
  <si>
    <t>návratné finanční výpomoci PO</t>
  </si>
  <si>
    <t>5. změna</t>
  </si>
  <si>
    <t>po 5. změně</t>
  </si>
  <si>
    <t>LABEL 2009 - Evropská jazyková cena - SR</t>
  </si>
  <si>
    <t>odstranění havarijních stavů u ozdravoven - SR</t>
  </si>
  <si>
    <t xml:space="preserve">GG 1.1.OPVK-Zvyšování kvality ve vzděl.- SR </t>
  </si>
  <si>
    <t xml:space="preserve">GG 1.2.OPVK-Rovné příl.dětí a ž.se sp.potř.-SR </t>
  </si>
  <si>
    <t xml:space="preserve">GG1.3.OPVK-Další vzděl.prac.škol a zař. - SR </t>
  </si>
  <si>
    <t>inv.dotace posk.prostřed.čerpacího účtu - SR</t>
  </si>
  <si>
    <t>projekt Cesta k uplatnění na souč.trhu práce - RRRS</t>
  </si>
  <si>
    <t>projekt Regionální inst.ambulant.psychosoc.sl.-RRRS</t>
  </si>
  <si>
    <t>projekt Přístavba Muzea války 1866 na Chlumu - RRRS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</si>
</sst>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5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4" fillId="0" borderId="14" xfId="38" applyNumberFormat="1" applyFont="1" applyBorder="1" applyAlignment="1">
      <alignment/>
    </xf>
    <xf numFmtId="166" fontId="3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4" fillId="0" borderId="15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6" fontId="8" fillId="0" borderId="27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4" fillId="0" borderId="28" xfId="38" applyNumberFormat="1" applyFont="1" applyBorder="1" applyAlignment="1">
      <alignment vertical="center"/>
    </xf>
    <xf numFmtId="166" fontId="2" fillId="0" borderId="28" xfId="38" applyNumberFormat="1" applyFont="1" applyBorder="1" applyAlignment="1">
      <alignment vertical="center"/>
    </xf>
    <xf numFmtId="166" fontId="2" fillId="0" borderId="21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165" fontId="4" fillId="0" borderId="19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6" fontId="4" fillId="0" borderId="21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1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0" fillId="0" borderId="31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7" fillId="0" borderId="20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1" xfId="38" applyNumberFormat="1" applyFont="1" applyBorder="1" applyAlignment="1">
      <alignment horizontal="center"/>
    </xf>
    <xf numFmtId="166" fontId="0" fillId="0" borderId="21" xfId="38" applyNumberFormat="1" applyFont="1" applyFill="1" applyBorder="1" applyAlignment="1">
      <alignment/>
    </xf>
    <xf numFmtId="166" fontId="0" fillId="0" borderId="21" xfId="38" applyNumberFormat="1" applyFont="1" applyBorder="1" applyAlignment="1">
      <alignment/>
    </xf>
    <xf numFmtId="3" fontId="4" fillId="0" borderId="32" xfId="0" applyFont="1" applyBorder="1" applyAlignment="1">
      <alignment/>
    </xf>
    <xf numFmtId="3" fontId="5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0" fillId="0" borderId="32" xfId="0" applyBorder="1" applyAlignment="1">
      <alignment/>
    </xf>
    <xf numFmtId="3" fontId="4" fillId="0" borderId="32" xfId="0" applyFont="1" applyBorder="1" applyAlignment="1">
      <alignment/>
    </xf>
    <xf numFmtId="3" fontId="5" fillId="0" borderId="32" xfId="0" applyFont="1" applyBorder="1" applyAlignment="1">
      <alignment/>
    </xf>
    <xf numFmtId="3" fontId="0" fillId="0" borderId="33" xfId="0" applyBorder="1" applyAlignment="1">
      <alignment/>
    </xf>
    <xf numFmtId="3" fontId="0" fillId="0" borderId="32" xfId="0" applyFont="1" applyBorder="1" applyAlignment="1">
      <alignment/>
    </xf>
    <xf numFmtId="3" fontId="2" fillId="0" borderId="34" xfId="0" applyFont="1" applyBorder="1" applyAlignment="1">
      <alignment vertical="center"/>
    </xf>
    <xf numFmtId="3" fontId="6" fillId="0" borderId="32" xfId="0" applyFont="1" applyBorder="1" applyAlignment="1">
      <alignment/>
    </xf>
    <xf numFmtId="3" fontId="6" fillId="0" borderId="32" xfId="0" applyFont="1" applyBorder="1" applyAlignment="1">
      <alignment/>
    </xf>
    <xf numFmtId="3" fontId="0" fillId="0" borderId="33" xfId="0" applyFont="1" applyBorder="1" applyAlignment="1">
      <alignment/>
    </xf>
    <xf numFmtId="3" fontId="7" fillId="0" borderId="32" xfId="0" applyFont="1" applyBorder="1" applyAlignment="1">
      <alignment/>
    </xf>
    <xf numFmtId="3" fontId="7" fillId="0" borderId="33" xfId="0" applyFont="1" applyBorder="1" applyAlignment="1">
      <alignment/>
    </xf>
    <xf numFmtId="3" fontId="0" fillId="0" borderId="33" xfId="0" applyFont="1" applyBorder="1" applyAlignment="1">
      <alignment/>
    </xf>
    <xf numFmtId="3" fontId="4" fillId="0" borderId="32" xfId="0" applyFont="1" applyFill="1" applyBorder="1" applyAlignment="1">
      <alignment/>
    </xf>
    <xf numFmtId="3" fontId="0" fillId="0" borderId="32" xfId="0" applyFill="1" applyBorder="1" applyAlignment="1">
      <alignment/>
    </xf>
    <xf numFmtId="3" fontId="4" fillId="0" borderId="34" xfId="0" applyFont="1" applyBorder="1" applyAlignment="1">
      <alignment/>
    </xf>
    <xf numFmtId="3" fontId="3" fillId="0" borderId="35" xfId="0" applyFont="1" applyBorder="1" applyAlignment="1">
      <alignment vertical="center"/>
    </xf>
    <xf numFmtId="3" fontId="4" fillId="0" borderId="35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0" fillId="0" borderId="32" xfId="0" applyFont="1" applyBorder="1" applyAlignment="1">
      <alignment vertical="center"/>
    </xf>
    <xf numFmtId="3" fontId="0" fillId="0" borderId="32" xfId="0" applyBorder="1" applyAlignment="1">
      <alignment vertical="center"/>
    </xf>
    <xf numFmtId="3" fontId="0" fillId="0" borderId="34" xfId="0" applyFont="1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2" xfId="0" applyFont="1" applyBorder="1" applyAlignment="1">
      <alignment/>
    </xf>
    <xf numFmtId="165" fontId="4" fillId="0" borderId="24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6" fillId="0" borderId="31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6" fillId="0" borderId="26" xfId="38" applyNumberFormat="1" applyFont="1" applyBorder="1" applyAlignment="1">
      <alignment/>
    </xf>
    <xf numFmtId="166" fontId="3" fillId="0" borderId="26" xfId="38" applyNumberFormat="1" applyFont="1" applyBorder="1" applyAlignment="1">
      <alignment vertical="center"/>
    </xf>
    <xf numFmtId="166" fontId="0" fillId="0" borderId="14" xfId="38" applyNumberFormat="1" applyFont="1" applyBorder="1" applyAlignment="1">
      <alignment/>
    </xf>
    <xf numFmtId="166" fontId="6" fillId="0" borderId="14" xfId="38" applyNumberFormat="1" applyFont="1" applyBorder="1" applyAlignment="1">
      <alignment/>
    </xf>
    <xf numFmtId="166" fontId="6" fillId="0" borderId="31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7" fontId="0" fillId="0" borderId="0" xfId="0" applyNumberFormat="1" applyAlignment="1">
      <alignment/>
    </xf>
    <xf numFmtId="166" fontId="0" fillId="0" borderId="20" xfId="38" applyNumberFormat="1" applyFont="1" applyFill="1" applyBorder="1" applyAlignment="1">
      <alignment/>
    </xf>
    <xf numFmtId="166" fontId="4" fillId="0" borderId="10" xfId="38" applyNumberFormat="1" applyFont="1" applyFill="1" applyBorder="1" applyAlignment="1">
      <alignment/>
    </xf>
    <xf numFmtId="166" fontId="4" fillId="0" borderId="14" xfId="38" applyNumberFormat="1" applyFont="1" applyBorder="1" applyAlignment="1">
      <alignment/>
    </xf>
    <xf numFmtId="3" fontId="4" fillId="0" borderId="36" xfId="0" applyFont="1" applyBorder="1" applyAlignment="1">
      <alignment horizontal="left" vertical="center"/>
    </xf>
    <xf numFmtId="166" fontId="4" fillId="0" borderId="24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3" xfId="38" applyNumberFormat="1" applyFont="1" applyBorder="1" applyAlignment="1">
      <alignment/>
    </xf>
    <xf numFmtId="166" fontId="0" fillId="0" borderId="14" xfId="38" applyNumberFormat="1" applyFont="1" applyFill="1" applyBorder="1" applyAlignment="1">
      <alignment/>
    </xf>
    <xf numFmtId="166" fontId="2" fillId="0" borderId="38" xfId="38" applyNumberFormat="1" applyFont="1" applyBorder="1" applyAlignment="1">
      <alignment vertical="center"/>
    </xf>
    <xf numFmtId="166" fontId="4" fillId="0" borderId="39" xfId="38" applyNumberFormat="1" applyFont="1" applyBorder="1" applyAlignment="1">
      <alignment/>
    </xf>
    <xf numFmtId="166" fontId="0" fillId="0" borderId="29" xfId="38" applyNumberFormat="1" applyFont="1" applyFill="1" applyBorder="1" applyAlignment="1">
      <alignment/>
    </xf>
    <xf numFmtId="3" fontId="7" fillId="0" borderId="33" xfId="0" applyFont="1" applyBorder="1" applyAlignment="1">
      <alignment/>
    </xf>
    <xf numFmtId="3" fontId="7" fillId="0" borderId="21" xfId="0" applyFont="1" applyBorder="1" applyAlignment="1">
      <alignment/>
    </xf>
    <xf numFmtId="166" fontId="7" fillId="0" borderId="30" xfId="38" applyNumberFormat="1" applyFont="1" applyBorder="1" applyAlignment="1">
      <alignment/>
    </xf>
    <xf numFmtId="166" fontId="3" fillId="0" borderId="40" xfId="38" applyNumberFormat="1" applyFont="1" applyBorder="1" applyAlignment="1">
      <alignment vertical="center"/>
    </xf>
    <xf numFmtId="166" fontId="4" fillId="0" borderId="41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5" fontId="4" fillId="0" borderId="42" xfId="38" applyNumberFormat="1" applyFont="1" applyBorder="1" applyAlignment="1">
      <alignment horizontal="center"/>
    </xf>
    <xf numFmtId="165" fontId="4" fillId="0" borderId="43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6" fontId="4" fillId="0" borderId="12" xfId="38" applyNumberFormat="1" applyFont="1" applyBorder="1" applyAlignment="1">
      <alignment/>
    </xf>
    <xf numFmtId="166" fontId="4" fillId="0" borderId="12" xfId="38" applyNumberFormat="1" applyFont="1" applyBorder="1" applyAlignment="1">
      <alignment/>
    </xf>
    <xf numFmtId="166" fontId="2" fillId="0" borderId="43" xfId="38" applyNumberFormat="1" applyFont="1" applyBorder="1" applyAlignment="1">
      <alignment vertical="center"/>
    </xf>
    <xf numFmtId="166" fontId="6" fillId="0" borderId="12" xfId="38" applyNumberFormat="1" applyFont="1" applyBorder="1" applyAlignment="1">
      <alignment/>
    </xf>
    <xf numFmtId="166" fontId="6" fillId="0" borderId="12" xfId="38" applyNumberFormat="1" applyFont="1" applyBorder="1" applyAlignment="1">
      <alignment/>
    </xf>
    <xf numFmtId="166" fontId="0" fillId="0" borderId="44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3" fillId="0" borderId="4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43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166" fontId="2" fillId="0" borderId="12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8" fillId="0" borderId="43" xfId="38" applyNumberFormat="1" applyFont="1" applyBorder="1" applyAlignment="1">
      <alignment vertical="center"/>
    </xf>
    <xf numFmtId="165" fontId="4" fillId="0" borderId="25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6" fontId="4" fillId="0" borderId="26" xfId="38" applyNumberFormat="1" applyFont="1" applyBorder="1" applyAlignment="1">
      <alignment/>
    </xf>
    <xf numFmtId="166" fontId="0" fillId="0" borderId="26" xfId="38" applyNumberFormat="1" applyFont="1" applyBorder="1" applyAlignment="1">
      <alignment/>
    </xf>
    <xf numFmtId="166" fontId="2" fillId="0" borderId="27" xfId="38" applyNumberFormat="1" applyFont="1" applyBorder="1" applyAlignment="1">
      <alignment vertical="center"/>
    </xf>
    <xf numFmtId="166" fontId="6" fillId="0" borderId="26" xfId="38" applyNumberFormat="1" applyFont="1" applyBorder="1" applyAlignment="1">
      <alignment/>
    </xf>
    <xf numFmtId="166" fontId="0" fillId="0" borderId="46" xfId="38" applyNumberFormat="1" applyFont="1" applyBorder="1" applyAlignment="1">
      <alignment/>
    </xf>
    <xf numFmtId="166" fontId="7" fillId="0" borderId="26" xfId="38" applyNumberFormat="1" applyFont="1" applyBorder="1" applyAlignment="1">
      <alignment/>
    </xf>
    <xf numFmtId="166" fontId="7" fillId="0" borderId="46" xfId="38" applyNumberFormat="1" applyFont="1" applyBorder="1" applyAlignment="1">
      <alignment/>
    </xf>
    <xf numFmtId="166" fontId="3" fillId="0" borderId="47" xfId="38" applyNumberFormat="1" applyFont="1" applyBorder="1" applyAlignment="1">
      <alignment vertical="center"/>
    </xf>
    <xf numFmtId="166" fontId="4" fillId="0" borderId="47" xfId="38" applyNumberFormat="1" applyFont="1" applyBorder="1" applyAlignment="1">
      <alignment vertical="center"/>
    </xf>
    <xf numFmtId="166" fontId="2" fillId="0" borderId="47" xfId="38" applyNumberFormat="1" applyFont="1" applyBorder="1" applyAlignment="1">
      <alignment vertical="center"/>
    </xf>
    <xf numFmtId="166" fontId="3" fillId="0" borderId="25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5" fontId="4" fillId="0" borderId="36" xfId="38" applyNumberFormat="1" applyFont="1" applyBorder="1" applyAlignment="1">
      <alignment horizontal="center"/>
    </xf>
    <xf numFmtId="165" fontId="4" fillId="0" borderId="34" xfId="38" applyNumberFormat="1" applyFont="1" applyBorder="1" applyAlignment="1">
      <alignment horizontal="center"/>
    </xf>
    <xf numFmtId="165" fontId="4" fillId="0" borderId="32" xfId="38" applyNumberFormat="1" applyFont="1" applyBorder="1" applyAlignment="1">
      <alignment horizontal="center"/>
    </xf>
    <xf numFmtId="166" fontId="4" fillId="0" borderId="32" xfId="38" applyNumberFormat="1" applyFont="1" applyBorder="1" applyAlignment="1">
      <alignment/>
    </xf>
    <xf numFmtId="166" fontId="0" fillId="0" borderId="32" xfId="38" applyNumberFormat="1" applyFont="1" applyBorder="1" applyAlignment="1">
      <alignment/>
    </xf>
    <xf numFmtId="166" fontId="4" fillId="0" borderId="32" xfId="38" applyNumberFormat="1" applyFont="1" applyBorder="1" applyAlignment="1">
      <alignment/>
    </xf>
    <xf numFmtId="166" fontId="0" fillId="0" borderId="32" xfId="38" applyNumberFormat="1" applyFont="1" applyFill="1" applyBorder="1" applyAlignment="1">
      <alignment/>
    </xf>
    <xf numFmtId="166" fontId="2" fillId="0" borderId="34" xfId="38" applyNumberFormat="1" applyFont="1" applyBorder="1" applyAlignment="1">
      <alignment vertical="center"/>
    </xf>
    <xf numFmtId="166" fontId="6" fillId="0" borderId="32" xfId="38" applyNumberFormat="1" applyFont="1" applyBorder="1" applyAlignment="1">
      <alignment/>
    </xf>
    <xf numFmtId="166" fontId="6" fillId="0" borderId="32" xfId="38" applyNumberFormat="1" applyFont="1" applyBorder="1" applyAlignment="1">
      <alignment/>
    </xf>
    <xf numFmtId="166" fontId="0" fillId="0" borderId="33" xfId="38" applyNumberFormat="1" applyFont="1" applyBorder="1" applyAlignment="1">
      <alignment/>
    </xf>
    <xf numFmtId="166" fontId="0" fillId="0" borderId="33" xfId="38" applyNumberFormat="1" applyFont="1" applyFill="1" applyBorder="1" applyAlignment="1">
      <alignment/>
    </xf>
    <xf numFmtId="166" fontId="7" fillId="0" borderId="32" xfId="38" applyNumberFormat="1" applyFont="1" applyBorder="1" applyAlignment="1">
      <alignment/>
    </xf>
    <xf numFmtId="166" fontId="7" fillId="0" borderId="33" xfId="38" applyNumberFormat="1" applyFont="1" applyBorder="1" applyAlignment="1">
      <alignment/>
    </xf>
    <xf numFmtId="166" fontId="4" fillId="0" borderId="48" xfId="38" applyNumberFormat="1" applyFont="1" applyBorder="1" applyAlignment="1">
      <alignment/>
    </xf>
    <xf numFmtId="166" fontId="0" fillId="0" borderId="32" xfId="38" applyNumberFormat="1" applyFont="1" applyBorder="1" applyAlignment="1">
      <alignment/>
    </xf>
    <xf numFmtId="166" fontId="3" fillId="0" borderId="35" xfId="38" applyNumberFormat="1" applyFont="1" applyBorder="1" applyAlignment="1">
      <alignment vertical="center"/>
    </xf>
    <xf numFmtId="166" fontId="4" fillId="0" borderId="35" xfId="38" applyNumberFormat="1" applyFont="1" applyBorder="1" applyAlignment="1">
      <alignment vertical="center"/>
    </xf>
    <xf numFmtId="166" fontId="2" fillId="0" borderId="35" xfId="38" applyNumberFormat="1" applyFont="1" applyBorder="1" applyAlignment="1">
      <alignment vertical="center"/>
    </xf>
    <xf numFmtId="166" fontId="3" fillId="0" borderId="36" xfId="38" applyNumberFormat="1" applyFont="1" applyBorder="1" applyAlignment="1">
      <alignment vertical="center"/>
    </xf>
    <xf numFmtId="166" fontId="3" fillId="0" borderId="32" xfId="38" applyNumberFormat="1" applyFont="1" applyBorder="1" applyAlignment="1">
      <alignment vertical="center"/>
    </xf>
    <xf numFmtId="166" fontId="3" fillId="0" borderId="34" xfId="38" applyNumberFormat="1" applyFont="1" applyBorder="1" applyAlignment="1">
      <alignment vertical="center"/>
    </xf>
    <xf numFmtId="166" fontId="2" fillId="0" borderId="36" xfId="38" applyNumberFormat="1" applyFont="1" applyBorder="1" applyAlignment="1">
      <alignment vertical="center"/>
    </xf>
    <xf numFmtId="166" fontId="8" fillId="0" borderId="32" xfId="38" applyNumberFormat="1" applyFont="1" applyBorder="1" applyAlignment="1">
      <alignment vertical="center"/>
    </xf>
    <xf numFmtId="166" fontId="2" fillId="0" borderId="32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6" fontId="8" fillId="0" borderId="34" xfId="38" applyNumberFormat="1" applyFont="1" applyBorder="1" applyAlignment="1">
      <alignment vertical="center"/>
    </xf>
    <xf numFmtId="3" fontId="4" fillId="0" borderId="36" xfId="0" applyFont="1" applyBorder="1" applyAlignment="1">
      <alignment horizontal="center" vertical="center"/>
    </xf>
    <xf numFmtId="3" fontId="0" fillId="0" borderId="34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"/>
  <sheetViews>
    <sheetView tabSelected="1" zoomScalePageLayoutView="0" workbookViewId="0" topLeftCell="A1">
      <pane xSplit="1" ySplit="9" topLeftCell="B40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96" sqref="A396"/>
    </sheetView>
  </sheetViews>
  <sheetFormatPr defaultColWidth="9.00390625" defaultRowHeight="12.75"/>
  <cols>
    <col min="1" max="1" width="45.25390625" style="0" customWidth="1"/>
    <col min="2" max="2" width="13.625" style="0" customWidth="1"/>
    <col min="3" max="3" width="14.00390625" style="0" hidden="1" customWidth="1"/>
    <col min="4" max="4" width="14.25390625" style="0" hidden="1" customWidth="1"/>
    <col min="5" max="5" width="14.125" style="0" hidden="1" customWidth="1"/>
    <col min="6" max="6" width="14.00390625" style="0" hidden="1" customWidth="1"/>
    <col min="7" max="7" width="13.25390625" style="0" hidden="1" customWidth="1"/>
    <col min="8" max="8" width="13.625" style="0" hidden="1" customWidth="1"/>
    <col min="9" max="9" width="14.00390625" style="0" hidden="1" customWidth="1"/>
    <col min="10" max="10" width="13.00390625" style="0" hidden="1" customWidth="1"/>
    <col min="11" max="11" width="14.125" style="0" hidden="1" customWidth="1"/>
    <col min="12" max="12" width="14.00390625" style="0" hidden="1" customWidth="1"/>
    <col min="13" max="13" width="14.25390625" style="0" hidden="1" customWidth="1"/>
    <col min="14" max="14" width="14.25390625" style="0" customWidth="1"/>
    <col min="15" max="15" width="12.125" style="0" customWidth="1"/>
    <col min="16" max="16" width="15.00390625" style="0" customWidth="1"/>
  </cols>
  <sheetData>
    <row r="1" spans="2:16" ht="12.75">
      <c r="B1" s="1"/>
      <c r="C1" s="1"/>
      <c r="D1" s="1"/>
      <c r="E1" s="2"/>
      <c r="H1" s="2"/>
      <c r="K1" s="2"/>
      <c r="N1" s="2"/>
      <c r="P1" s="2" t="s">
        <v>225</v>
      </c>
    </row>
    <row r="2" spans="2:5" ht="12.75">
      <c r="B2" s="1"/>
      <c r="C2" s="1"/>
      <c r="D2" s="1"/>
      <c r="E2" s="2"/>
    </row>
    <row r="3" spans="1:16" ht="15.75">
      <c r="A3" s="191" t="s">
        <v>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5.75">
      <c r="A4" s="192" t="s">
        <v>212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5">
      <c r="A5" s="193" t="s">
        <v>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2.75">
      <c r="A6" s="194" t="s">
        <v>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5" ht="12.75" customHeight="1" thickBot="1">
      <c r="A7" s="3"/>
      <c r="B7" s="4"/>
      <c r="C7" s="4"/>
      <c r="D7" s="4"/>
      <c r="E7" s="4"/>
    </row>
    <row r="8" spans="1:16" ht="12.75">
      <c r="A8" s="189" t="s">
        <v>3</v>
      </c>
      <c r="B8" s="45" t="s">
        <v>4</v>
      </c>
      <c r="C8" s="46" t="s">
        <v>5</v>
      </c>
      <c r="D8" s="46" t="s">
        <v>6</v>
      </c>
      <c r="E8" s="47" t="s">
        <v>7</v>
      </c>
      <c r="F8" s="45" t="s">
        <v>8</v>
      </c>
      <c r="G8" s="46" t="s">
        <v>6</v>
      </c>
      <c r="H8" s="47" t="s">
        <v>7</v>
      </c>
      <c r="I8" s="45" t="s">
        <v>9</v>
      </c>
      <c r="J8" s="46" t="s">
        <v>6</v>
      </c>
      <c r="K8" s="47" t="s">
        <v>7</v>
      </c>
      <c r="L8" s="45" t="s">
        <v>10</v>
      </c>
      <c r="M8" s="127" t="s">
        <v>6</v>
      </c>
      <c r="N8" s="162" t="s">
        <v>7</v>
      </c>
      <c r="O8" s="162" t="s">
        <v>270</v>
      </c>
      <c r="P8" s="147" t="s">
        <v>7</v>
      </c>
    </row>
    <row r="9" spans="1:16" ht="13.5" thickBot="1">
      <c r="A9" s="190"/>
      <c r="B9" s="97" t="s">
        <v>11</v>
      </c>
      <c r="C9" s="98" t="s">
        <v>12</v>
      </c>
      <c r="D9" s="98" t="s">
        <v>13</v>
      </c>
      <c r="E9" s="99" t="s">
        <v>14</v>
      </c>
      <c r="F9" s="97" t="s">
        <v>12</v>
      </c>
      <c r="G9" s="98" t="s">
        <v>13</v>
      </c>
      <c r="H9" s="99" t="s">
        <v>15</v>
      </c>
      <c r="I9" s="97" t="s">
        <v>12</v>
      </c>
      <c r="J9" s="98" t="s">
        <v>13</v>
      </c>
      <c r="K9" s="99" t="s">
        <v>16</v>
      </c>
      <c r="L9" s="97" t="s">
        <v>12</v>
      </c>
      <c r="M9" s="128" t="s">
        <v>13</v>
      </c>
      <c r="N9" s="163" t="s">
        <v>17</v>
      </c>
      <c r="O9" s="163" t="s">
        <v>12</v>
      </c>
      <c r="P9" s="148" t="s">
        <v>271</v>
      </c>
    </row>
    <row r="10" spans="1:16" ht="12.75">
      <c r="A10" s="113" t="s">
        <v>18</v>
      </c>
      <c r="B10" s="45"/>
      <c r="C10" s="46"/>
      <c r="D10" s="46"/>
      <c r="E10" s="47"/>
      <c r="F10" s="45"/>
      <c r="G10" s="46"/>
      <c r="H10" s="47"/>
      <c r="I10" s="45"/>
      <c r="J10" s="46"/>
      <c r="K10" s="47"/>
      <c r="L10" s="66"/>
      <c r="M10" s="129"/>
      <c r="N10" s="164"/>
      <c r="O10" s="164"/>
      <c r="P10" s="149"/>
    </row>
    <row r="11" spans="1:16" ht="12.75">
      <c r="A11" s="69" t="s">
        <v>19</v>
      </c>
      <c r="B11" s="48">
        <v>3000000</v>
      </c>
      <c r="C11" s="5"/>
      <c r="D11" s="5"/>
      <c r="E11" s="49">
        <f>B11+C11+D11</f>
        <v>3000000</v>
      </c>
      <c r="F11" s="48">
        <v>18636.8</v>
      </c>
      <c r="G11" s="5"/>
      <c r="H11" s="49">
        <f>E11+F11+G11</f>
        <v>3018636.8</v>
      </c>
      <c r="I11" s="48">
        <v>45000</v>
      </c>
      <c r="J11" s="5"/>
      <c r="K11" s="49">
        <f>H11+I11+J11</f>
        <v>3063636.8</v>
      </c>
      <c r="L11" s="48"/>
      <c r="M11" s="130"/>
      <c r="N11" s="165">
        <f>K11+L11+M11</f>
        <v>3063636.8</v>
      </c>
      <c r="O11" s="165"/>
      <c r="P11" s="150">
        <f>N11+O11</f>
        <v>3063636.8</v>
      </c>
    </row>
    <row r="12" spans="1:16" ht="12.75">
      <c r="A12" s="70" t="s">
        <v>20</v>
      </c>
      <c r="B12" s="48"/>
      <c r="C12" s="5"/>
      <c r="D12" s="5"/>
      <c r="E12" s="49"/>
      <c r="F12" s="48"/>
      <c r="G12" s="5"/>
      <c r="H12" s="49"/>
      <c r="I12" s="48"/>
      <c r="J12" s="5"/>
      <c r="K12" s="49"/>
      <c r="L12" s="48"/>
      <c r="M12" s="130"/>
      <c r="N12" s="165"/>
      <c r="O12" s="165"/>
      <c r="P12" s="150"/>
    </row>
    <row r="13" spans="1:16" ht="12.75">
      <c r="A13" s="71" t="s">
        <v>21</v>
      </c>
      <c r="B13" s="48"/>
      <c r="C13" s="5"/>
      <c r="D13" s="5"/>
      <c r="E13" s="49"/>
      <c r="F13" s="50">
        <v>18636.8</v>
      </c>
      <c r="G13" s="5"/>
      <c r="H13" s="51">
        <f>E13+F13+G13</f>
        <v>18636.8</v>
      </c>
      <c r="I13" s="50"/>
      <c r="J13" s="5"/>
      <c r="K13" s="51">
        <f>H13+I13+J13</f>
        <v>18636.8</v>
      </c>
      <c r="L13" s="50"/>
      <c r="M13" s="130"/>
      <c r="N13" s="166">
        <f>K13+L13+M13</f>
        <v>18636.8</v>
      </c>
      <c r="O13" s="166"/>
      <c r="P13" s="151">
        <f>N13+O13</f>
        <v>18636.8</v>
      </c>
    </row>
    <row r="14" spans="1:16" ht="12.75">
      <c r="A14" s="69" t="s">
        <v>22</v>
      </c>
      <c r="B14" s="48">
        <f>SUM(B16:B31)</f>
        <v>145791</v>
      </c>
      <c r="C14" s="5">
        <f aca="true" t="shared" si="0" ref="C14:N14">SUM(C16:C31)</f>
        <v>49665</v>
      </c>
      <c r="D14" s="5">
        <f t="shared" si="0"/>
        <v>51</v>
      </c>
      <c r="E14" s="49">
        <f t="shared" si="0"/>
        <v>195507</v>
      </c>
      <c r="F14" s="48">
        <f t="shared" si="0"/>
        <v>1526</v>
      </c>
      <c r="G14" s="5">
        <f t="shared" si="0"/>
        <v>4263.4</v>
      </c>
      <c r="H14" s="49">
        <f t="shared" si="0"/>
        <v>201296.4</v>
      </c>
      <c r="I14" s="48">
        <f t="shared" si="0"/>
        <v>60123.700000000004</v>
      </c>
      <c r="J14" s="5">
        <f t="shared" si="0"/>
        <v>4346.3</v>
      </c>
      <c r="K14" s="49">
        <f t="shared" si="0"/>
        <v>265766.39999999997</v>
      </c>
      <c r="L14" s="48">
        <f t="shared" si="0"/>
        <v>1000</v>
      </c>
      <c r="M14" s="130">
        <f t="shared" si="0"/>
        <v>71159</v>
      </c>
      <c r="N14" s="165">
        <f t="shared" si="0"/>
        <v>337925.4</v>
      </c>
      <c r="O14" s="165">
        <f>SUM(O16:O31)</f>
        <v>-15169</v>
      </c>
      <c r="P14" s="150">
        <f>SUM(P16:P31)</f>
        <v>322756.4</v>
      </c>
    </row>
    <row r="15" spans="1:16" ht="9.75" customHeight="1">
      <c r="A15" s="70" t="s">
        <v>23</v>
      </c>
      <c r="B15" s="48"/>
      <c r="C15" s="5"/>
      <c r="D15" s="5"/>
      <c r="E15" s="49"/>
      <c r="F15" s="48"/>
      <c r="G15" s="5"/>
      <c r="H15" s="49"/>
      <c r="I15" s="48"/>
      <c r="J15" s="5"/>
      <c r="K15" s="49"/>
      <c r="L15" s="48"/>
      <c r="M15" s="130"/>
      <c r="N15" s="165"/>
      <c r="O15" s="165"/>
      <c r="P15" s="150"/>
    </row>
    <row r="16" spans="1:16" ht="12.75">
      <c r="A16" s="71" t="s">
        <v>24</v>
      </c>
      <c r="B16" s="50">
        <v>20000</v>
      </c>
      <c r="C16" s="6"/>
      <c r="D16" s="6"/>
      <c r="E16" s="51">
        <f>B16+C16+D16</f>
        <v>20000</v>
      </c>
      <c r="F16" s="50"/>
      <c r="G16" s="6"/>
      <c r="H16" s="51">
        <f>E16+F16+G16</f>
        <v>20000</v>
      </c>
      <c r="I16" s="50"/>
      <c r="J16" s="6"/>
      <c r="K16" s="51">
        <f>H16+I16+J16</f>
        <v>20000</v>
      </c>
      <c r="L16" s="50"/>
      <c r="M16" s="12"/>
      <c r="N16" s="166">
        <f aca="true" t="shared" si="1" ref="N16:N30">K16+L16+M16</f>
        <v>20000</v>
      </c>
      <c r="O16" s="166"/>
      <c r="P16" s="151">
        <f>N16+O16</f>
        <v>20000</v>
      </c>
    </row>
    <row r="17" spans="1:16" ht="12.75">
      <c r="A17" s="71" t="s">
        <v>25</v>
      </c>
      <c r="B17" s="50">
        <v>2544</v>
      </c>
      <c r="C17" s="6">
        <v>30000</v>
      </c>
      <c r="D17" s="6"/>
      <c r="E17" s="51">
        <f aca="true" t="shared" si="2" ref="E17:E30">B17+C17+D17</f>
        <v>32544</v>
      </c>
      <c r="F17" s="50"/>
      <c r="G17" s="6">
        <v>410</v>
      </c>
      <c r="H17" s="51">
        <f aca="true" t="shared" si="3" ref="H17:H30">E17+F17+G17</f>
        <v>32954</v>
      </c>
      <c r="I17" s="50"/>
      <c r="J17" s="6">
        <v>4339.7</v>
      </c>
      <c r="K17" s="51">
        <f aca="true" t="shared" si="4" ref="K17:K28">H17+I17+J17</f>
        <v>37293.7</v>
      </c>
      <c r="L17" s="50"/>
      <c r="M17" s="12">
        <f>69060+2690</f>
        <v>71750</v>
      </c>
      <c r="N17" s="166">
        <f t="shared" si="1"/>
        <v>109043.7</v>
      </c>
      <c r="O17" s="166"/>
      <c r="P17" s="151">
        <f aca="true" t="shared" si="5" ref="P17:P30">N17+O17</f>
        <v>109043.7</v>
      </c>
    </row>
    <row r="18" spans="1:16" ht="12.75" hidden="1">
      <c r="A18" s="71" t="s">
        <v>26</v>
      </c>
      <c r="B18" s="50"/>
      <c r="C18" s="6"/>
      <c r="D18" s="6"/>
      <c r="E18" s="51">
        <f t="shared" si="2"/>
        <v>0</v>
      </c>
      <c r="F18" s="50"/>
      <c r="G18" s="6"/>
      <c r="H18" s="51">
        <f t="shared" si="3"/>
        <v>0</v>
      </c>
      <c r="I18" s="50"/>
      <c r="J18" s="6"/>
      <c r="K18" s="51">
        <f t="shared" si="4"/>
        <v>0</v>
      </c>
      <c r="L18" s="50"/>
      <c r="M18" s="12"/>
      <c r="N18" s="166">
        <f t="shared" si="1"/>
        <v>0</v>
      </c>
      <c r="O18" s="166"/>
      <c r="P18" s="151">
        <f t="shared" si="5"/>
        <v>0</v>
      </c>
    </row>
    <row r="19" spans="1:16" ht="12.75" hidden="1">
      <c r="A19" s="71" t="s">
        <v>27</v>
      </c>
      <c r="B19" s="50"/>
      <c r="C19" s="6"/>
      <c r="D19" s="6"/>
      <c r="E19" s="51">
        <f t="shared" si="2"/>
        <v>0</v>
      </c>
      <c r="F19" s="50"/>
      <c r="G19" s="6"/>
      <c r="H19" s="51">
        <f t="shared" si="3"/>
        <v>0</v>
      </c>
      <c r="I19" s="50"/>
      <c r="J19" s="6"/>
      <c r="K19" s="51">
        <f t="shared" si="4"/>
        <v>0</v>
      </c>
      <c r="L19" s="50"/>
      <c r="M19" s="12"/>
      <c r="N19" s="166">
        <f t="shared" si="1"/>
        <v>0</v>
      </c>
      <c r="O19" s="166"/>
      <c r="P19" s="151">
        <f t="shared" si="5"/>
        <v>0</v>
      </c>
    </row>
    <row r="20" spans="1:16" ht="12.75">
      <c r="A20" s="71" t="s">
        <v>28</v>
      </c>
      <c r="B20" s="50">
        <v>45000</v>
      </c>
      <c r="C20" s="6"/>
      <c r="D20" s="6"/>
      <c r="E20" s="51">
        <f t="shared" si="2"/>
        <v>45000</v>
      </c>
      <c r="F20" s="50"/>
      <c r="G20" s="6"/>
      <c r="H20" s="51">
        <f t="shared" si="3"/>
        <v>45000</v>
      </c>
      <c r="I20" s="50"/>
      <c r="J20" s="6"/>
      <c r="K20" s="51">
        <f t="shared" si="4"/>
        <v>45000</v>
      </c>
      <c r="L20" s="50"/>
      <c r="M20" s="12"/>
      <c r="N20" s="166">
        <f t="shared" si="1"/>
        <v>45000</v>
      </c>
      <c r="O20" s="166"/>
      <c r="P20" s="151">
        <f t="shared" si="5"/>
        <v>45000</v>
      </c>
    </row>
    <row r="21" spans="1:16" ht="12.75" hidden="1">
      <c r="A21" s="71" t="s">
        <v>29</v>
      </c>
      <c r="B21" s="50"/>
      <c r="C21" s="6"/>
      <c r="D21" s="6"/>
      <c r="E21" s="51">
        <f t="shared" si="2"/>
        <v>0</v>
      </c>
      <c r="F21" s="50"/>
      <c r="G21" s="6"/>
      <c r="H21" s="51">
        <f t="shared" si="3"/>
        <v>0</v>
      </c>
      <c r="I21" s="50"/>
      <c r="J21" s="6"/>
      <c r="K21" s="51">
        <f t="shared" si="4"/>
        <v>0</v>
      </c>
      <c r="L21" s="50"/>
      <c r="M21" s="12"/>
      <c r="N21" s="166">
        <f t="shared" si="1"/>
        <v>0</v>
      </c>
      <c r="O21" s="166"/>
      <c r="P21" s="151">
        <f t="shared" si="5"/>
        <v>0</v>
      </c>
    </row>
    <row r="22" spans="1:16" ht="12.75">
      <c r="A22" s="72" t="s">
        <v>249</v>
      </c>
      <c r="B22" s="50"/>
      <c r="C22" s="6"/>
      <c r="D22" s="6"/>
      <c r="E22" s="51">
        <f t="shared" si="2"/>
        <v>0</v>
      </c>
      <c r="F22" s="50"/>
      <c r="G22" s="6"/>
      <c r="H22" s="51">
        <f t="shared" si="3"/>
        <v>0</v>
      </c>
      <c r="I22" s="50">
        <v>50.4</v>
      </c>
      <c r="J22" s="6"/>
      <c r="K22" s="51">
        <f t="shared" si="4"/>
        <v>50.4</v>
      </c>
      <c r="L22" s="50"/>
      <c r="M22" s="12"/>
      <c r="N22" s="166">
        <f t="shared" si="1"/>
        <v>50.4</v>
      </c>
      <c r="O22" s="166"/>
      <c r="P22" s="151">
        <f t="shared" si="5"/>
        <v>50.4</v>
      </c>
    </row>
    <row r="23" spans="1:16" ht="12.75" hidden="1">
      <c r="A23" s="72" t="s">
        <v>250</v>
      </c>
      <c r="B23" s="50"/>
      <c r="C23" s="6"/>
      <c r="D23" s="6"/>
      <c r="E23" s="51">
        <f t="shared" si="2"/>
        <v>0</v>
      </c>
      <c r="F23" s="50"/>
      <c r="G23" s="6"/>
      <c r="H23" s="51">
        <f t="shared" si="3"/>
        <v>0</v>
      </c>
      <c r="I23" s="50"/>
      <c r="J23" s="6"/>
      <c r="K23" s="51">
        <f t="shared" si="4"/>
        <v>0</v>
      </c>
      <c r="L23" s="50"/>
      <c r="M23" s="12"/>
      <c r="N23" s="166">
        <f t="shared" si="1"/>
        <v>0</v>
      </c>
      <c r="O23" s="166"/>
      <c r="P23" s="151">
        <f t="shared" si="5"/>
        <v>0</v>
      </c>
    </row>
    <row r="24" spans="1:16" ht="12.75">
      <c r="A24" s="72" t="s">
        <v>30</v>
      </c>
      <c r="B24" s="50"/>
      <c r="C24" s="6">
        <v>14000</v>
      </c>
      <c r="D24" s="6"/>
      <c r="E24" s="51">
        <f t="shared" si="2"/>
        <v>14000</v>
      </c>
      <c r="F24" s="50"/>
      <c r="G24" s="6"/>
      <c r="H24" s="51">
        <f t="shared" si="3"/>
        <v>14000</v>
      </c>
      <c r="I24" s="50">
        <v>60000</v>
      </c>
      <c r="J24" s="6"/>
      <c r="K24" s="51">
        <f t="shared" si="4"/>
        <v>74000</v>
      </c>
      <c r="L24" s="50"/>
      <c r="M24" s="12"/>
      <c r="N24" s="166">
        <f t="shared" si="1"/>
        <v>74000</v>
      </c>
      <c r="O24" s="166">
        <v>-15169</v>
      </c>
      <c r="P24" s="151">
        <f t="shared" si="5"/>
        <v>58831</v>
      </c>
    </row>
    <row r="25" spans="1:16" ht="12.75" hidden="1">
      <c r="A25" s="71" t="s">
        <v>31</v>
      </c>
      <c r="B25" s="50"/>
      <c r="C25" s="6"/>
      <c r="D25" s="6"/>
      <c r="E25" s="51">
        <f t="shared" si="2"/>
        <v>0</v>
      </c>
      <c r="F25" s="50"/>
      <c r="G25" s="6"/>
      <c r="H25" s="51">
        <f t="shared" si="3"/>
        <v>0</v>
      </c>
      <c r="I25" s="50"/>
      <c r="J25" s="6"/>
      <c r="K25" s="51">
        <f t="shared" si="4"/>
        <v>0</v>
      </c>
      <c r="L25" s="50"/>
      <c r="M25" s="12"/>
      <c r="N25" s="166">
        <f t="shared" si="1"/>
        <v>0</v>
      </c>
      <c r="O25" s="166"/>
      <c r="P25" s="151">
        <f t="shared" si="5"/>
        <v>0</v>
      </c>
    </row>
    <row r="26" spans="1:16" ht="12.75">
      <c r="A26" s="72" t="s">
        <v>240</v>
      </c>
      <c r="B26" s="50"/>
      <c r="C26" s="6"/>
      <c r="D26" s="6"/>
      <c r="E26" s="51">
        <f t="shared" si="2"/>
        <v>0</v>
      </c>
      <c r="F26" s="50">
        <v>63.4</v>
      </c>
      <c r="G26" s="6"/>
      <c r="H26" s="51">
        <f t="shared" si="3"/>
        <v>63.4</v>
      </c>
      <c r="I26" s="50"/>
      <c r="J26" s="6"/>
      <c r="K26" s="51">
        <f t="shared" si="4"/>
        <v>63.4</v>
      </c>
      <c r="L26" s="50"/>
      <c r="M26" s="12"/>
      <c r="N26" s="166">
        <f t="shared" si="1"/>
        <v>63.4</v>
      </c>
      <c r="O26" s="166"/>
      <c r="P26" s="151">
        <f t="shared" si="5"/>
        <v>63.4</v>
      </c>
    </row>
    <row r="27" spans="1:16" ht="12.75">
      <c r="A27" s="72" t="s">
        <v>32</v>
      </c>
      <c r="B27" s="50"/>
      <c r="C27" s="6"/>
      <c r="D27" s="6"/>
      <c r="E27" s="51">
        <f t="shared" si="2"/>
        <v>0</v>
      </c>
      <c r="F27" s="50">
        <v>120.8</v>
      </c>
      <c r="G27" s="6"/>
      <c r="H27" s="51">
        <f t="shared" si="3"/>
        <v>120.8</v>
      </c>
      <c r="I27" s="50"/>
      <c r="J27" s="6"/>
      <c r="K27" s="51">
        <f t="shared" si="4"/>
        <v>120.8</v>
      </c>
      <c r="L27" s="50"/>
      <c r="M27" s="12"/>
      <c r="N27" s="166">
        <f t="shared" si="1"/>
        <v>120.8</v>
      </c>
      <c r="O27" s="166"/>
      <c r="P27" s="151">
        <f t="shared" si="5"/>
        <v>120.8</v>
      </c>
    </row>
    <row r="28" spans="1:16" ht="12.75">
      <c r="A28" s="72" t="s">
        <v>241</v>
      </c>
      <c r="B28" s="50"/>
      <c r="C28" s="6"/>
      <c r="D28" s="6"/>
      <c r="E28" s="51">
        <f t="shared" si="2"/>
        <v>0</v>
      </c>
      <c r="F28" s="50">
        <v>398.3</v>
      </c>
      <c r="G28" s="6"/>
      <c r="H28" s="51">
        <f t="shared" si="3"/>
        <v>398.3</v>
      </c>
      <c r="I28" s="50">
        <v>73.3</v>
      </c>
      <c r="J28" s="6"/>
      <c r="K28" s="51">
        <f t="shared" si="4"/>
        <v>471.6</v>
      </c>
      <c r="L28" s="50"/>
      <c r="M28" s="12"/>
      <c r="N28" s="166">
        <f t="shared" si="1"/>
        <v>471.6</v>
      </c>
      <c r="O28" s="166"/>
      <c r="P28" s="151">
        <f t="shared" si="5"/>
        <v>471.6</v>
      </c>
    </row>
    <row r="29" spans="1:16" ht="12.75" hidden="1">
      <c r="A29" s="71" t="s">
        <v>33</v>
      </c>
      <c r="B29" s="50"/>
      <c r="C29" s="6"/>
      <c r="D29" s="6"/>
      <c r="E29" s="51">
        <f t="shared" si="2"/>
        <v>0</v>
      </c>
      <c r="F29" s="50"/>
      <c r="G29" s="6"/>
      <c r="H29" s="51">
        <f t="shared" si="3"/>
        <v>0</v>
      </c>
      <c r="I29" s="50"/>
      <c r="J29" s="6"/>
      <c r="K29" s="51">
        <f>H29+I29+J29</f>
        <v>0</v>
      </c>
      <c r="L29" s="50"/>
      <c r="M29" s="12"/>
      <c r="N29" s="166">
        <f t="shared" si="1"/>
        <v>0</v>
      </c>
      <c r="O29" s="166"/>
      <c r="P29" s="151">
        <f t="shared" si="5"/>
        <v>0</v>
      </c>
    </row>
    <row r="30" spans="1:16" ht="12.75" hidden="1">
      <c r="A30" s="71" t="s">
        <v>34</v>
      </c>
      <c r="B30" s="50"/>
      <c r="C30" s="6"/>
      <c r="D30" s="6"/>
      <c r="E30" s="51">
        <f t="shared" si="2"/>
        <v>0</v>
      </c>
      <c r="F30" s="50"/>
      <c r="G30" s="6"/>
      <c r="H30" s="51">
        <f t="shared" si="3"/>
        <v>0</v>
      </c>
      <c r="I30" s="50"/>
      <c r="J30" s="6"/>
      <c r="K30" s="51">
        <f>H30+I30+J30</f>
        <v>0</v>
      </c>
      <c r="L30" s="50"/>
      <c r="M30" s="12"/>
      <c r="N30" s="166">
        <f t="shared" si="1"/>
        <v>0</v>
      </c>
      <c r="O30" s="166"/>
      <c r="P30" s="151">
        <f t="shared" si="5"/>
        <v>0</v>
      </c>
    </row>
    <row r="31" spans="1:16" ht="12.75">
      <c r="A31" s="71" t="s">
        <v>35</v>
      </c>
      <c r="B31" s="50">
        <f>SUM(B32:B36)</f>
        <v>78247</v>
      </c>
      <c r="C31" s="6">
        <f aca="true" t="shared" si="6" ref="C31:N31">SUM(C32:C36)</f>
        <v>5665</v>
      </c>
      <c r="D31" s="6">
        <f t="shared" si="6"/>
        <v>51</v>
      </c>
      <c r="E31" s="51">
        <f t="shared" si="6"/>
        <v>83963</v>
      </c>
      <c r="F31" s="50">
        <f t="shared" si="6"/>
        <v>943.5</v>
      </c>
      <c r="G31" s="6">
        <f t="shared" si="6"/>
        <v>3853.4</v>
      </c>
      <c r="H31" s="51">
        <f t="shared" si="6"/>
        <v>88759.9</v>
      </c>
      <c r="I31" s="50">
        <f t="shared" si="6"/>
        <v>0</v>
      </c>
      <c r="J31" s="6">
        <f t="shared" si="6"/>
        <v>6.6</v>
      </c>
      <c r="K31" s="51">
        <f t="shared" si="6"/>
        <v>88766.5</v>
      </c>
      <c r="L31" s="50">
        <f t="shared" si="6"/>
        <v>1000</v>
      </c>
      <c r="M31" s="12">
        <f t="shared" si="6"/>
        <v>-591</v>
      </c>
      <c r="N31" s="166">
        <f t="shared" si="6"/>
        <v>89175.5</v>
      </c>
      <c r="O31" s="166"/>
      <c r="P31" s="151">
        <f>SUM(P32:P36)</f>
        <v>89175.5</v>
      </c>
    </row>
    <row r="32" spans="1:16" ht="12.75">
      <c r="A32" s="71" t="s">
        <v>36</v>
      </c>
      <c r="B32" s="50">
        <v>26718</v>
      </c>
      <c r="C32" s="6"/>
      <c r="D32" s="6"/>
      <c r="E32" s="51">
        <f>B32+C32+D32</f>
        <v>26718</v>
      </c>
      <c r="F32" s="50">
        <v>1939.5</v>
      </c>
      <c r="G32" s="6">
        <v>3853.4</v>
      </c>
      <c r="H32" s="51">
        <f>E32+F32+G32</f>
        <v>32510.9</v>
      </c>
      <c r="I32" s="50"/>
      <c r="J32" s="6">
        <v>6.6</v>
      </c>
      <c r="K32" s="51">
        <f>H32+I32+J32</f>
        <v>32517.5</v>
      </c>
      <c r="L32" s="50"/>
      <c r="M32" s="12">
        <f>-668.2+77.2</f>
        <v>-591</v>
      </c>
      <c r="N32" s="166">
        <f>K32+L32+M32</f>
        <v>31926.5</v>
      </c>
      <c r="O32" s="166"/>
      <c r="P32" s="151">
        <f>N32+O32</f>
        <v>31926.5</v>
      </c>
    </row>
    <row r="33" spans="1:16" ht="12.75" hidden="1">
      <c r="A33" s="71" t="s">
        <v>37</v>
      </c>
      <c r="B33" s="50"/>
      <c r="C33" s="6"/>
      <c r="D33" s="6"/>
      <c r="E33" s="51">
        <f>B33+C33+D33</f>
        <v>0</v>
      </c>
      <c r="F33" s="50"/>
      <c r="G33" s="6"/>
      <c r="H33" s="51">
        <f>E33+F33+G33</f>
        <v>0</v>
      </c>
      <c r="I33" s="50"/>
      <c r="J33" s="6"/>
      <c r="K33" s="51">
        <f>H33+I33+J33</f>
        <v>0</v>
      </c>
      <c r="L33" s="50"/>
      <c r="M33" s="12"/>
      <c r="N33" s="166">
        <f>K33+L33+M33</f>
        <v>0</v>
      </c>
      <c r="O33" s="166"/>
      <c r="P33" s="151">
        <f>N33+O33</f>
        <v>0</v>
      </c>
    </row>
    <row r="34" spans="1:16" ht="12.75">
      <c r="A34" s="71" t="s">
        <v>38</v>
      </c>
      <c r="B34" s="50">
        <v>23685</v>
      </c>
      <c r="C34" s="6">
        <v>25</v>
      </c>
      <c r="D34" s="6"/>
      <c r="E34" s="51">
        <f>B34+C34+D34</f>
        <v>23710</v>
      </c>
      <c r="F34" s="50"/>
      <c r="G34" s="6"/>
      <c r="H34" s="51">
        <f>E34+F34+G34</f>
        <v>23710</v>
      </c>
      <c r="I34" s="50"/>
      <c r="J34" s="6"/>
      <c r="K34" s="51">
        <f>H34+I34+J34</f>
        <v>23710</v>
      </c>
      <c r="L34" s="50"/>
      <c r="M34" s="12"/>
      <c r="N34" s="166">
        <f>K34+L34+M34</f>
        <v>23710</v>
      </c>
      <c r="O34" s="166"/>
      <c r="P34" s="151">
        <f>N34+O34</f>
        <v>23710</v>
      </c>
    </row>
    <row r="35" spans="1:16" ht="12.75">
      <c r="A35" s="71" t="s">
        <v>39</v>
      </c>
      <c r="B35" s="50">
        <v>10243</v>
      </c>
      <c r="C35" s="6"/>
      <c r="D35" s="6">
        <v>51</v>
      </c>
      <c r="E35" s="51">
        <f>B35+C35+D35</f>
        <v>10294</v>
      </c>
      <c r="F35" s="50">
        <v>-996</v>
      </c>
      <c r="G35" s="6"/>
      <c r="H35" s="51">
        <f>E35+F35+G35</f>
        <v>9298</v>
      </c>
      <c r="I35" s="50"/>
      <c r="J35" s="6"/>
      <c r="K35" s="51">
        <f>H35+I35+J35</f>
        <v>9298</v>
      </c>
      <c r="L35" s="50">
        <v>1000</v>
      </c>
      <c r="M35" s="12"/>
      <c r="N35" s="166">
        <f>K35+L35+M35</f>
        <v>10298</v>
      </c>
      <c r="O35" s="166"/>
      <c r="P35" s="151">
        <f>N35+O35</f>
        <v>10298</v>
      </c>
    </row>
    <row r="36" spans="1:16" ht="12.75">
      <c r="A36" s="71" t="s">
        <v>40</v>
      </c>
      <c r="B36" s="50">
        <v>17601</v>
      </c>
      <c r="C36" s="6">
        <v>5640</v>
      </c>
      <c r="D36" s="6"/>
      <c r="E36" s="51">
        <f>B36+C36+D36</f>
        <v>23241</v>
      </c>
      <c r="F36" s="50"/>
      <c r="G36" s="6"/>
      <c r="H36" s="51">
        <f>E36+F36+G36</f>
        <v>23241</v>
      </c>
      <c r="I36" s="50"/>
      <c r="J36" s="6"/>
      <c r="K36" s="51">
        <f>H36+I36+J36</f>
        <v>23241</v>
      </c>
      <c r="L36" s="50"/>
      <c r="M36" s="12"/>
      <c r="N36" s="166">
        <f>K36+L36+M36</f>
        <v>23241</v>
      </c>
      <c r="O36" s="166"/>
      <c r="P36" s="151">
        <f>N36+O36</f>
        <v>23241</v>
      </c>
    </row>
    <row r="37" spans="1:16" ht="12.75">
      <c r="A37" s="73" t="s">
        <v>41</v>
      </c>
      <c r="B37" s="52">
        <f aca="true" t="shared" si="7" ref="B37:P37">SUM(B39:B41)</f>
        <v>0</v>
      </c>
      <c r="C37" s="7">
        <f t="shared" si="7"/>
        <v>0</v>
      </c>
      <c r="D37" s="7">
        <f t="shared" si="7"/>
        <v>0</v>
      </c>
      <c r="E37" s="53">
        <f t="shared" si="7"/>
        <v>0</v>
      </c>
      <c r="F37" s="52">
        <f t="shared" si="7"/>
        <v>0</v>
      </c>
      <c r="G37" s="7">
        <f t="shared" si="7"/>
        <v>0</v>
      </c>
      <c r="H37" s="53">
        <f t="shared" si="7"/>
        <v>0</v>
      </c>
      <c r="I37" s="52">
        <f t="shared" si="7"/>
        <v>2051</v>
      </c>
      <c r="J37" s="7">
        <f t="shared" si="7"/>
        <v>1000</v>
      </c>
      <c r="K37" s="53">
        <f t="shared" si="7"/>
        <v>3051</v>
      </c>
      <c r="L37" s="52">
        <f t="shared" si="7"/>
        <v>0</v>
      </c>
      <c r="M37" s="131">
        <f t="shared" si="7"/>
        <v>1750</v>
      </c>
      <c r="N37" s="167">
        <f t="shared" si="7"/>
        <v>4801</v>
      </c>
      <c r="O37" s="167">
        <f t="shared" si="7"/>
        <v>0</v>
      </c>
      <c r="P37" s="65">
        <f t="shared" si="7"/>
        <v>4801</v>
      </c>
    </row>
    <row r="38" spans="1:16" ht="12.75">
      <c r="A38" s="70" t="s">
        <v>23</v>
      </c>
      <c r="B38" s="50"/>
      <c r="C38" s="6"/>
      <c r="D38" s="6"/>
      <c r="E38" s="51"/>
      <c r="F38" s="50"/>
      <c r="G38" s="6"/>
      <c r="H38" s="51"/>
      <c r="I38" s="50"/>
      <c r="J38" s="6"/>
      <c r="K38" s="51"/>
      <c r="L38" s="50"/>
      <c r="M38" s="12"/>
      <c r="N38" s="166"/>
      <c r="O38" s="166"/>
      <c r="P38" s="151"/>
    </row>
    <row r="39" spans="1:16" ht="12.75">
      <c r="A39" s="71" t="s">
        <v>42</v>
      </c>
      <c r="B39" s="50"/>
      <c r="C39" s="6"/>
      <c r="D39" s="6"/>
      <c r="E39" s="51">
        <f>B39+C39+D39</f>
        <v>0</v>
      </c>
      <c r="F39" s="50"/>
      <c r="G39" s="6"/>
      <c r="H39" s="51">
        <f>E39+F39+G39</f>
        <v>0</v>
      </c>
      <c r="I39" s="50"/>
      <c r="J39" s="6">
        <v>1000</v>
      </c>
      <c r="K39" s="51">
        <f>H39+I39+J39</f>
        <v>1000</v>
      </c>
      <c r="L39" s="50"/>
      <c r="M39" s="12">
        <v>1750</v>
      </c>
      <c r="N39" s="166">
        <f>K39+L39+M39</f>
        <v>2750</v>
      </c>
      <c r="O39" s="166"/>
      <c r="P39" s="151">
        <f>N39+O39</f>
        <v>2750</v>
      </c>
    </row>
    <row r="40" spans="1:16" ht="12.75" hidden="1">
      <c r="A40" s="71" t="s">
        <v>43</v>
      </c>
      <c r="B40" s="50"/>
      <c r="C40" s="6"/>
      <c r="D40" s="6"/>
      <c r="E40" s="51">
        <f>B40+C40+D40</f>
        <v>0</v>
      </c>
      <c r="F40" s="50"/>
      <c r="G40" s="6"/>
      <c r="H40" s="51">
        <f>E40+F40+G40</f>
        <v>0</v>
      </c>
      <c r="I40" s="67"/>
      <c r="J40" s="6"/>
      <c r="K40" s="51">
        <f>H40+I40+J40</f>
        <v>0</v>
      </c>
      <c r="L40" s="67"/>
      <c r="M40" s="12"/>
      <c r="N40" s="166">
        <f>K40+L40+M40</f>
        <v>0</v>
      </c>
      <c r="O40" s="168"/>
      <c r="P40" s="151">
        <f>N40+O40</f>
        <v>0</v>
      </c>
    </row>
    <row r="41" spans="1:16" ht="12.75">
      <c r="A41" s="72" t="s">
        <v>61</v>
      </c>
      <c r="B41" s="50"/>
      <c r="C41" s="6"/>
      <c r="D41" s="6"/>
      <c r="E41" s="51">
        <f>B41+C41+D41</f>
        <v>0</v>
      </c>
      <c r="F41" s="50"/>
      <c r="G41" s="6"/>
      <c r="H41" s="51">
        <f>E41+F41+G41</f>
        <v>0</v>
      </c>
      <c r="I41" s="67">
        <v>2051</v>
      </c>
      <c r="J41" s="6"/>
      <c r="K41" s="51">
        <f>H41+I41+J41</f>
        <v>2051</v>
      </c>
      <c r="L41" s="67"/>
      <c r="M41" s="12"/>
      <c r="N41" s="166">
        <f>K41+L41+M41</f>
        <v>2051</v>
      </c>
      <c r="O41" s="168"/>
      <c r="P41" s="151">
        <f>N41+O41</f>
        <v>2051</v>
      </c>
    </row>
    <row r="42" spans="1:16" ht="12.75">
      <c r="A42" s="69" t="s">
        <v>44</v>
      </c>
      <c r="B42" s="48">
        <f>SUM(B44:B58)</f>
        <v>82211</v>
      </c>
      <c r="C42" s="5">
        <f aca="true" t="shared" si="8" ref="C42:N42">SUM(C44:C58)</f>
        <v>1165310.6</v>
      </c>
      <c r="D42" s="5">
        <f t="shared" si="8"/>
        <v>0</v>
      </c>
      <c r="E42" s="49">
        <f t="shared" si="8"/>
        <v>1247521.6</v>
      </c>
      <c r="F42" s="48">
        <f t="shared" si="8"/>
        <v>1187663.2</v>
      </c>
      <c r="G42" s="5">
        <f t="shared" si="8"/>
        <v>0</v>
      </c>
      <c r="H42" s="49">
        <f t="shared" si="8"/>
        <v>2435184.8</v>
      </c>
      <c r="I42" s="48">
        <f t="shared" si="8"/>
        <v>1164952.9999999998</v>
      </c>
      <c r="J42" s="5">
        <f t="shared" si="8"/>
        <v>0</v>
      </c>
      <c r="K42" s="49">
        <f t="shared" si="8"/>
        <v>3600137.7999999993</v>
      </c>
      <c r="L42" s="48">
        <f t="shared" si="8"/>
        <v>1439377.5</v>
      </c>
      <c r="M42" s="130">
        <f t="shared" si="8"/>
        <v>0</v>
      </c>
      <c r="N42" s="165">
        <f t="shared" si="8"/>
        <v>5039515.3</v>
      </c>
      <c r="O42" s="165">
        <f>SUM(O44:O58)</f>
        <v>123202.59999999999</v>
      </c>
      <c r="P42" s="150">
        <f>SUM(P44:P58)</f>
        <v>5162717.899999999</v>
      </c>
    </row>
    <row r="43" spans="1:16" ht="9.75" customHeight="1">
      <c r="A43" s="74" t="s">
        <v>45</v>
      </c>
      <c r="B43" s="50"/>
      <c r="C43" s="6"/>
      <c r="D43" s="6"/>
      <c r="E43" s="51"/>
      <c r="F43" s="50"/>
      <c r="G43" s="6"/>
      <c r="H43" s="51"/>
      <c r="I43" s="50"/>
      <c r="J43" s="6"/>
      <c r="K43" s="51"/>
      <c r="L43" s="50"/>
      <c r="M43" s="12"/>
      <c r="N43" s="166"/>
      <c r="O43" s="166"/>
      <c r="P43" s="151"/>
    </row>
    <row r="44" spans="1:16" ht="12.75">
      <c r="A44" s="72" t="s">
        <v>46</v>
      </c>
      <c r="B44" s="50">
        <f>78097+3964</f>
        <v>82061</v>
      </c>
      <c r="C44" s="6"/>
      <c r="D44" s="6"/>
      <c r="E44" s="51">
        <f>B44+C44+D44</f>
        <v>82061</v>
      </c>
      <c r="F44" s="50"/>
      <c r="G44" s="6"/>
      <c r="H44" s="51">
        <f>E44+F44+G44</f>
        <v>82061</v>
      </c>
      <c r="I44" s="50"/>
      <c r="J44" s="6"/>
      <c r="K44" s="51">
        <f>H44+I44+J44</f>
        <v>82061</v>
      </c>
      <c r="L44" s="50"/>
      <c r="M44" s="12"/>
      <c r="N44" s="166">
        <f aca="true" t="shared" si="9" ref="N44:N58">K44+L44+M44</f>
        <v>82061</v>
      </c>
      <c r="O44" s="166"/>
      <c r="P44" s="151">
        <f aca="true" t="shared" si="10" ref="P44:P63">N44+O44</f>
        <v>82061</v>
      </c>
    </row>
    <row r="45" spans="1:16" ht="12.75">
      <c r="A45" s="72" t="s">
        <v>47</v>
      </c>
      <c r="B45" s="50"/>
      <c r="C45" s="6">
        <v>164.6</v>
      </c>
      <c r="D45" s="6"/>
      <c r="E45" s="51">
        <f aca="true" t="shared" si="11" ref="E45:E58">B45+C45+D45</f>
        <v>164.6</v>
      </c>
      <c r="F45" s="50">
        <f>638.3+146.4+100+34.6+163.8</f>
        <v>1083.1</v>
      </c>
      <c r="G45" s="6"/>
      <c r="H45" s="51">
        <f aca="true" t="shared" si="12" ref="H45:H58">E45+F45+G45</f>
        <v>1247.6999999999998</v>
      </c>
      <c r="I45" s="50">
        <f>43.4+618.5+204.3+159</f>
        <v>1025.2</v>
      </c>
      <c r="J45" s="6"/>
      <c r="K45" s="51">
        <f aca="true" t="shared" si="13" ref="K45:K58">H45+I45+J45</f>
        <v>2272.8999999999996</v>
      </c>
      <c r="L45" s="12">
        <f>407.7</f>
        <v>407.7</v>
      </c>
      <c r="M45" s="12"/>
      <c r="N45" s="166">
        <f t="shared" si="9"/>
        <v>2680.5999999999995</v>
      </c>
      <c r="O45" s="51">
        <f>98.8+444.6+55.1</f>
        <v>598.5</v>
      </c>
      <c r="P45" s="151">
        <f t="shared" si="10"/>
        <v>3279.0999999999995</v>
      </c>
    </row>
    <row r="46" spans="1:16" ht="12.75">
      <c r="A46" s="72" t="s">
        <v>48</v>
      </c>
      <c r="B46" s="50"/>
      <c r="C46" s="6">
        <f>1074743+40997+17843+31213</f>
        <v>1164796</v>
      </c>
      <c r="D46" s="6"/>
      <c r="E46" s="51">
        <f t="shared" si="11"/>
        <v>1164796</v>
      </c>
      <c r="F46" s="50">
        <f>1413+158+852+1047256+40997+3392.8+48854+4167.5+125+29.4+303.4+152+2944.2+119.9+4196</f>
        <v>1154960.1999999997</v>
      </c>
      <c r="G46" s="6"/>
      <c r="H46" s="51">
        <f t="shared" si="12"/>
        <v>2319756.1999999997</v>
      </c>
      <c r="I46" s="50">
        <f>86+18952+270.2+23597+88+142+503+107+1015439+41248+1759.5+22983.7+250</f>
        <v>1125425.4</v>
      </c>
      <c r="J46" s="6"/>
      <c r="K46" s="51">
        <f t="shared" si="13"/>
        <v>3445181.5999999996</v>
      </c>
      <c r="L46" s="12">
        <f>115+65-66.6+1930+862.8+159.8+1001322+37.8+96.5+41247+70.2+93+211+62.3+6075+40.8+26+267.8+423.4+49145</f>
        <v>1102183.8</v>
      </c>
      <c r="M46" s="12"/>
      <c r="N46" s="166">
        <f t="shared" si="9"/>
        <v>4547365.399999999</v>
      </c>
      <c r="O46" s="51">
        <f>165+3.8+62.4+273.5+56101.7+20400.6+25500.7+9269.5+2073.9+2398.7</f>
        <v>116249.79999999999</v>
      </c>
      <c r="P46" s="151">
        <f t="shared" si="10"/>
        <v>4663615.199999999</v>
      </c>
    </row>
    <row r="47" spans="1:16" ht="12.75">
      <c r="A47" s="72" t="s">
        <v>49</v>
      </c>
      <c r="B47" s="50"/>
      <c r="C47" s="6">
        <v>350</v>
      </c>
      <c r="D47" s="6"/>
      <c r="E47" s="51">
        <f t="shared" si="11"/>
        <v>350</v>
      </c>
      <c r="F47" s="50">
        <f>228.4+1416+593.2</f>
        <v>2237.6000000000004</v>
      </c>
      <c r="G47" s="6"/>
      <c r="H47" s="51">
        <f t="shared" si="12"/>
        <v>2587.6000000000004</v>
      </c>
      <c r="I47" s="50">
        <f>2715.1+3237.5+26490.1+349.5+687.7+65</f>
        <v>33544.899999999994</v>
      </c>
      <c r="J47" s="6"/>
      <c r="K47" s="51">
        <f t="shared" si="13"/>
        <v>36132.49999999999</v>
      </c>
      <c r="L47" s="12">
        <f>676.9+2039+1611.2+168.4+220.4+1270.8+4594.2+10289.3+192.7</f>
        <v>21062.899999999998</v>
      </c>
      <c r="M47" s="12"/>
      <c r="N47" s="166">
        <f t="shared" si="9"/>
        <v>57195.399999999994</v>
      </c>
      <c r="O47" s="51">
        <f>5420.3+149.4+151.4</f>
        <v>5721.099999999999</v>
      </c>
      <c r="P47" s="151">
        <f t="shared" si="10"/>
        <v>62916.49999999999</v>
      </c>
    </row>
    <row r="48" spans="1:16" ht="12.75">
      <c r="A48" s="72" t="s">
        <v>50</v>
      </c>
      <c r="B48" s="50"/>
      <c r="C48" s="6"/>
      <c r="D48" s="6"/>
      <c r="E48" s="51">
        <f t="shared" si="11"/>
        <v>0</v>
      </c>
      <c r="F48" s="50"/>
      <c r="G48" s="6"/>
      <c r="H48" s="51">
        <f t="shared" si="12"/>
        <v>0</v>
      </c>
      <c r="I48" s="50"/>
      <c r="J48" s="6"/>
      <c r="K48" s="51">
        <f t="shared" si="13"/>
        <v>0</v>
      </c>
      <c r="L48" s="12">
        <f>13.2+886.6+7.7</f>
        <v>907.5000000000001</v>
      </c>
      <c r="M48" s="12"/>
      <c r="N48" s="166">
        <f t="shared" si="9"/>
        <v>907.5000000000001</v>
      </c>
      <c r="O48" s="51"/>
      <c r="P48" s="151">
        <f t="shared" si="10"/>
        <v>907.5000000000001</v>
      </c>
    </row>
    <row r="49" spans="1:16" ht="12.75">
      <c r="A49" s="72" t="s">
        <v>51</v>
      </c>
      <c r="B49" s="50"/>
      <c r="C49" s="6"/>
      <c r="D49" s="6"/>
      <c r="E49" s="51">
        <f t="shared" si="11"/>
        <v>0</v>
      </c>
      <c r="F49" s="50">
        <f>50+151</f>
        <v>201</v>
      </c>
      <c r="G49" s="6"/>
      <c r="H49" s="51">
        <f t="shared" si="12"/>
        <v>201</v>
      </c>
      <c r="I49" s="50">
        <f>158+20</f>
        <v>178</v>
      </c>
      <c r="J49" s="6"/>
      <c r="K49" s="51">
        <f t="shared" si="13"/>
        <v>379</v>
      </c>
      <c r="L49" s="50"/>
      <c r="M49" s="12"/>
      <c r="N49" s="166">
        <f t="shared" si="9"/>
        <v>379</v>
      </c>
      <c r="O49" s="166"/>
      <c r="P49" s="151">
        <f t="shared" si="10"/>
        <v>379</v>
      </c>
    </row>
    <row r="50" spans="1:16" ht="12.75">
      <c r="A50" s="72" t="s">
        <v>52</v>
      </c>
      <c r="B50" s="50"/>
      <c r="C50" s="6"/>
      <c r="D50" s="6"/>
      <c r="E50" s="51">
        <f t="shared" si="11"/>
        <v>0</v>
      </c>
      <c r="F50" s="50"/>
      <c r="G50" s="6"/>
      <c r="H50" s="51">
        <f t="shared" si="12"/>
        <v>0</v>
      </c>
      <c r="I50" s="50">
        <v>70</v>
      </c>
      <c r="J50" s="6"/>
      <c r="K50" s="51">
        <f t="shared" si="13"/>
        <v>70</v>
      </c>
      <c r="L50" s="50"/>
      <c r="M50" s="12"/>
      <c r="N50" s="166">
        <f t="shared" si="9"/>
        <v>70</v>
      </c>
      <c r="O50" s="166"/>
      <c r="P50" s="151">
        <f t="shared" si="10"/>
        <v>70</v>
      </c>
    </row>
    <row r="51" spans="1:16" ht="12.75">
      <c r="A51" s="72" t="s">
        <v>53</v>
      </c>
      <c r="B51" s="50"/>
      <c r="C51" s="6"/>
      <c r="D51" s="6"/>
      <c r="E51" s="51">
        <f t="shared" si="11"/>
        <v>0</v>
      </c>
      <c r="F51" s="50">
        <v>8257</v>
      </c>
      <c r="G51" s="6"/>
      <c r="H51" s="51">
        <f t="shared" si="12"/>
        <v>8257</v>
      </c>
      <c r="I51" s="50">
        <v>373</v>
      </c>
      <c r="J51" s="6"/>
      <c r="K51" s="51">
        <f t="shared" si="13"/>
        <v>8630</v>
      </c>
      <c r="L51" s="50"/>
      <c r="M51" s="12"/>
      <c r="N51" s="166">
        <f t="shared" si="9"/>
        <v>8630</v>
      </c>
      <c r="O51" s="166"/>
      <c r="P51" s="151">
        <f t="shared" si="10"/>
        <v>8630</v>
      </c>
    </row>
    <row r="52" spans="1:16" ht="12.75">
      <c r="A52" s="72" t="s">
        <v>257</v>
      </c>
      <c r="B52" s="50"/>
      <c r="C52" s="6"/>
      <c r="D52" s="6"/>
      <c r="E52" s="51"/>
      <c r="F52" s="50"/>
      <c r="G52" s="6"/>
      <c r="H52" s="51"/>
      <c r="I52" s="50"/>
      <c r="J52" s="6"/>
      <c r="K52" s="51">
        <f t="shared" si="13"/>
        <v>0</v>
      </c>
      <c r="L52" s="50">
        <v>309000</v>
      </c>
      <c r="M52" s="12"/>
      <c r="N52" s="166">
        <f t="shared" si="9"/>
        <v>309000</v>
      </c>
      <c r="O52" s="166"/>
      <c r="P52" s="151">
        <f t="shared" si="10"/>
        <v>309000</v>
      </c>
    </row>
    <row r="53" spans="1:16" ht="12.75">
      <c r="A53" s="72" t="s">
        <v>54</v>
      </c>
      <c r="B53" s="50"/>
      <c r="C53" s="6"/>
      <c r="D53" s="6"/>
      <c r="E53" s="51">
        <f t="shared" si="11"/>
        <v>0</v>
      </c>
      <c r="F53" s="50">
        <f>401.7+1113.2</f>
        <v>1514.9</v>
      </c>
      <c r="G53" s="6"/>
      <c r="H53" s="51">
        <f t="shared" si="12"/>
        <v>1514.9</v>
      </c>
      <c r="I53" s="50"/>
      <c r="J53" s="6"/>
      <c r="K53" s="51">
        <f t="shared" si="13"/>
        <v>1514.9</v>
      </c>
      <c r="L53" s="50">
        <f>227.5+130.3+445.8</f>
        <v>803.6</v>
      </c>
      <c r="M53" s="12"/>
      <c r="N53" s="166">
        <f t="shared" si="9"/>
        <v>2318.5</v>
      </c>
      <c r="O53" s="166">
        <v>361.9</v>
      </c>
      <c r="P53" s="151">
        <f t="shared" si="10"/>
        <v>2680.4</v>
      </c>
    </row>
    <row r="54" spans="1:16" ht="12.75">
      <c r="A54" s="72" t="s">
        <v>55</v>
      </c>
      <c r="B54" s="50"/>
      <c r="C54" s="6"/>
      <c r="D54" s="6"/>
      <c r="E54" s="51">
        <f t="shared" si="11"/>
        <v>0</v>
      </c>
      <c r="F54" s="50"/>
      <c r="G54" s="6"/>
      <c r="H54" s="51">
        <f t="shared" si="12"/>
        <v>0</v>
      </c>
      <c r="I54" s="67">
        <v>250</v>
      </c>
      <c r="J54" s="6"/>
      <c r="K54" s="51">
        <f t="shared" si="13"/>
        <v>250</v>
      </c>
      <c r="L54" s="50"/>
      <c r="M54" s="12"/>
      <c r="N54" s="166">
        <f t="shared" si="9"/>
        <v>250</v>
      </c>
      <c r="O54" s="166"/>
      <c r="P54" s="151">
        <f t="shared" si="10"/>
        <v>250</v>
      </c>
    </row>
    <row r="55" spans="1:16" ht="12.75">
      <c r="A55" s="72" t="s">
        <v>56</v>
      </c>
      <c r="B55" s="50"/>
      <c r="C55" s="6"/>
      <c r="D55" s="6"/>
      <c r="E55" s="51">
        <f t="shared" si="11"/>
        <v>0</v>
      </c>
      <c r="F55" s="50"/>
      <c r="G55" s="6"/>
      <c r="H55" s="51">
        <f t="shared" si="12"/>
        <v>0</v>
      </c>
      <c r="I55" s="50">
        <v>5</v>
      </c>
      <c r="J55" s="6"/>
      <c r="K55" s="51">
        <f t="shared" si="13"/>
        <v>5</v>
      </c>
      <c r="L55" s="50"/>
      <c r="M55" s="12"/>
      <c r="N55" s="166">
        <f t="shared" si="9"/>
        <v>5</v>
      </c>
      <c r="O55" s="166">
        <f>0.1-1.5</f>
        <v>-1.4</v>
      </c>
      <c r="P55" s="151">
        <f t="shared" si="10"/>
        <v>3.6</v>
      </c>
    </row>
    <row r="56" spans="1:16" ht="12.75">
      <c r="A56" s="72" t="s">
        <v>66</v>
      </c>
      <c r="B56" s="50"/>
      <c r="C56" s="6"/>
      <c r="D56" s="6"/>
      <c r="E56" s="51">
        <f t="shared" si="11"/>
        <v>0</v>
      </c>
      <c r="F56" s="50">
        <f>55.6+92.5</f>
        <v>148.1</v>
      </c>
      <c r="G56" s="6"/>
      <c r="H56" s="51">
        <f t="shared" si="12"/>
        <v>148.1</v>
      </c>
      <c r="I56" s="50">
        <f>45.5+92.5+3735.4+208.1</f>
        <v>4081.5</v>
      </c>
      <c r="J56" s="6"/>
      <c r="K56" s="51">
        <f t="shared" si="13"/>
        <v>4229.6</v>
      </c>
      <c r="L56" s="12">
        <f>77.1+61.8+141.2+92.5+2298.6+48.2+77.1+77+77+77.1+131.5</f>
        <v>3159.0999999999995</v>
      </c>
      <c r="M56" s="12"/>
      <c r="N56" s="166">
        <f t="shared" si="9"/>
        <v>7388.7</v>
      </c>
      <c r="O56" s="51">
        <f>88.2+7.8+85+7.5+77.4+6.8</f>
        <v>272.7</v>
      </c>
      <c r="P56" s="151">
        <f t="shared" si="10"/>
        <v>7661.4</v>
      </c>
    </row>
    <row r="57" spans="1:16" ht="12.75">
      <c r="A57" s="72" t="s">
        <v>57</v>
      </c>
      <c r="B57" s="50"/>
      <c r="C57" s="6"/>
      <c r="D57" s="6"/>
      <c r="E57" s="51">
        <f t="shared" si="11"/>
        <v>0</v>
      </c>
      <c r="F57" s="50">
        <v>19261.3</v>
      </c>
      <c r="G57" s="6"/>
      <c r="H57" s="51">
        <f t="shared" si="12"/>
        <v>19261.3</v>
      </c>
      <c r="I57" s="50"/>
      <c r="J57" s="6"/>
      <c r="K57" s="51">
        <f t="shared" si="13"/>
        <v>19261.3</v>
      </c>
      <c r="L57" s="50"/>
      <c r="M57" s="12"/>
      <c r="N57" s="166">
        <f t="shared" si="9"/>
        <v>19261.3</v>
      </c>
      <c r="O57" s="166"/>
      <c r="P57" s="151">
        <f t="shared" si="10"/>
        <v>19261.3</v>
      </c>
    </row>
    <row r="58" spans="1:16" ht="12.75">
      <c r="A58" s="72" t="s">
        <v>58</v>
      </c>
      <c r="B58" s="50">
        <v>150</v>
      </c>
      <c r="C58" s="6"/>
      <c r="D58" s="6"/>
      <c r="E58" s="51">
        <f t="shared" si="11"/>
        <v>150</v>
      </c>
      <c r="F58" s="50"/>
      <c r="G58" s="6"/>
      <c r="H58" s="51">
        <f t="shared" si="12"/>
        <v>150</v>
      </c>
      <c r="I58" s="50"/>
      <c r="J58" s="6"/>
      <c r="K58" s="51">
        <f t="shared" si="13"/>
        <v>150</v>
      </c>
      <c r="L58" s="50">
        <v>1852.9</v>
      </c>
      <c r="M58" s="12"/>
      <c r="N58" s="166">
        <f t="shared" si="9"/>
        <v>2002.9</v>
      </c>
      <c r="O58" s="166"/>
      <c r="P58" s="151">
        <f t="shared" si="10"/>
        <v>2002.9</v>
      </c>
    </row>
    <row r="59" spans="1:16" ht="12.75">
      <c r="A59" s="73" t="s">
        <v>59</v>
      </c>
      <c r="B59" s="52">
        <f>SUM(B61:B63)</f>
        <v>0</v>
      </c>
      <c r="C59" s="7">
        <f aca="true" t="shared" si="14" ref="C59:N59">SUM(C61:C63)</f>
        <v>0</v>
      </c>
      <c r="D59" s="7">
        <f t="shared" si="14"/>
        <v>0</v>
      </c>
      <c r="E59" s="53">
        <f t="shared" si="14"/>
        <v>0</v>
      </c>
      <c r="F59" s="52">
        <f t="shared" si="14"/>
        <v>0</v>
      </c>
      <c r="G59" s="7">
        <f t="shared" si="14"/>
        <v>0</v>
      </c>
      <c r="H59" s="53">
        <f t="shared" si="14"/>
        <v>0</v>
      </c>
      <c r="I59" s="52">
        <f t="shared" si="14"/>
        <v>0</v>
      </c>
      <c r="J59" s="7">
        <f t="shared" si="14"/>
        <v>0</v>
      </c>
      <c r="K59" s="53">
        <f t="shared" si="14"/>
        <v>0</v>
      </c>
      <c r="L59" s="52">
        <f t="shared" si="14"/>
        <v>54.9</v>
      </c>
      <c r="M59" s="131">
        <f t="shared" si="14"/>
        <v>0</v>
      </c>
      <c r="N59" s="167">
        <f t="shared" si="14"/>
        <v>54.9</v>
      </c>
      <c r="O59" s="167">
        <f>SUM(O61:O63)</f>
        <v>1365.1</v>
      </c>
      <c r="P59" s="65">
        <f>SUM(P61:P63)</f>
        <v>1420</v>
      </c>
    </row>
    <row r="60" spans="1:16" ht="12.75">
      <c r="A60" s="70" t="s">
        <v>45</v>
      </c>
      <c r="B60" s="50"/>
      <c r="C60" s="6"/>
      <c r="D60" s="6"/>
      <c r="E60" s="51"/>
      <c r="F60" s="50"/>
      <c r="G60" s="6"/>
      <c r="H60" s="51"/>
      <c r="I60" s="50"/>
      <c r="J60" s="6"/>
      <c r="K60" s="51"/>
      <c r="L60" s="50"/>
      <c r="M60" s="12"/>
      <c r="N60" s="166"/>
      <c r="O60" s="166"/>
      <c r="P60" s="151"/>
    </row>
    <row r="61" spans="1:16" ht="12.75" hidden="1">
      <c r="A61" s="72" t="s">
        <v>60</v>
      </c>
      <c r="B61" s="50"/>
      <c r="C61" s="6"/>
      <c r="D61" s="6"/>
      <c r="E61" s="51">
        <f>B61+C61+D61</f>
        <v>0</v>
      </c>
      <c r="F61" s="50"/>
      <c r="G61" s="6"/>
      <c r="H61" s="51">
        <f>E61+F61+G61</f>
        <v>0</v>
      </c>
      <c r="I61" s="50"/>
      <c r="J61" s="6"/>
      <c r="K61" s="51">
        <f>H61+I61+J61</f>
        <v>0</v>
      </c>
      <c r="L61" s="50"/>
      <c r="M61" s="12"/>
      <c r="N61" s="166">
        <f>K61+L61+M61</f>
        <v>0</v>
      </c>
      <c r="O61" s="166"/>
      <c r="P61" s="151">
        <f t="shared" si="10"/>
        <v>0</v>
      </c>
    </row>
    <row r="62" spans="1:16" ht="12.75" hidden="1">
      <c r="A62" s="72" t="s">
        <v>61</v>
      </c>
      <c r="B62" s="50"/>
      <c r="C62" s="6"/>
      <c r="D62" s="6"/>
      <c r="E62" s="51">
        <f>B62+C62+D62</f>
        <v>0</v>
      </c>
      <c r="F62" s="50"/>
      <c r="G62" s="6"/>
      <c r="H62" s="51">
        <f>E62+F62+G62</f>
        <v>0</v>
      </c>
      <c r="I62" s="50"/>
      <c r="J62" s="6"/>
      <c r="K62" s="51">
        <f>H62+I62+J62</f>
        <v>0</v>
      </c>
      <c r="L62" s="50"/>
      <c r="M62" s="12"/>
      <c r="N62" s="166">
        <f>K62+L62+M62</f>
        <v>0</v>
      </c>
      <c r="O62" s="166"/>
      <c r="P62" s="151">
        <f t="shared" si="10"/>
        <v>0</v>
      </c>
    </row>
    <row r="63" spans="1:16" ht="12.75">
      <c r="A63" s="72" t="s">
        <v>62</v>
      </c>
      <c r="B63" s="50"/>
      <c r="C63" s="6"/>
      <c r="D63" s="6"/>
      <c r="E63" s="51">
        <f>B63+C63+D63</f>
        <v>0</v>
      </c>
      <c r="F63" s="50"/>
      <c r="G63" s="6"/>
      <c r="H63" s="51">
        <f>E63+F63+G63</f>
        <v>0</v>
      </c>
      <c r="I63" s="50"/>
      <c r="J63" s="6"/>
      <c r="K63" s="51">
        <f>H63+I63+J63</f>
        <v>0</v>
      </c>
      <c r="L63" s="50">
        <v>54.9</v>
      </c>
      <c r="M63" s="12"/>
      <c r="N63" s="166">
        <f>K63+L63+M63</f>
        <v>54.9</v>
      </c>
      <c r="O63" s="166">
        <f>328.5+1036.6</f>
        <v>1365.1</v>
      </c>
      <c r="P63" s="151">
        <f t="shared" si="10"/>
        <v>1420</v>
      </c>
    </row>
    <row r="64" spans="1:16" ht="12.75">
      <c r="A64" s="69" t="s">
        <v>63</v>
      </c>
      <c r="B64" s="48">
        <f>SUM(B66:B76)</f>
        <v>0</v>
      </c>
      <c r="C64" s="5">
        <f aca="true" t="shared" si="15" ref="C64:J64">SUM(C66:C75)</f>
        <v>9955</v>
      </c>
      <c r="D64" s="5">
        <f t="shared" si="15"/>
        <v>0</v>
      </c>
      <c r="E64" s="49">
        <f t="shared" si="15"/>
        <v>9955</v>
      </c>
      <c r="F64" s="48">
        <f t="shared" si="15"/>
        <v>223137.00000000003</v>
      </c>
      <c r="G64" s="5">
        <f t="shared" si="15"/>
        <v>0</v>
      </c>
      <c r="H64" s="49">
        <f t="shared" si="15"/>
        <v>233092.00000000003</v>
      </c>
      <c r="I64" s="48">
        <f t="shared" si="15"/>
        <v>81519.4</v>
      </c>
      <c r="J64" s="5">
        <f t="shared" si="15"/>
        <v>0</v>
      </c>
      <c r="K64" s="49">
        <f aca="true" t="shared" si="16" ref="K64:P64">SUM(K66:K76)</f>
        <v>314611.39999999997</v>
      </c>
      <c r="L64" s="48">
        <f t="shared" si="16"/>
        <v>272535.39999999997</v>
      </c>
      <c r="M64" s="130">
        <f t="shared" si="16"/>
        <v>70117.4</v>
      </c>
      <c r="N64" s="165">
        <f t="shared" si="16"/>
        <v>657264.2</v>
      </c>
      <c r="O64" s="165">
        <f t="shared" si="16"/>
        <v>118768.29999999999</v>
      </c>
      <c r="P64" s="150">
        <f t="shared" si="16"/>
        <v>776032.4999999999</v>
      </c>
    </row>
    <row r="65" spans="1:16" ht="9.75" customHeight="1">
      <c r="A65" s="74" t="s">
        <v>45</v>
      </c>
      <c r="B65" s="50"/>
      <c r="C65" s="6"/>
      <c r="D65" s="6"/>
      <c r="E65" s="51"/>
      <c r="F65" s="50"/>
      <c r="G65" s="6"/>
      <c r="H65" s="51"/>
      <c r="I65" s="50"/>
      <c r="J65" s="6"/>
      <c r="K65" s="51"/>
      <c r="L65" s="50"/>
      <c r="M65" s="12"/>
      <c r="N65" s="166"/>
      <c r="O65" s="166"/>
      <c r="P65" s="151"/>
    </row>
    <row r="66" spans="1:16" ht="12.75">
      <c r="A66" s="72" t="s">
        <v>48</v>
      </c>
      <c r="B66" s="50"/>
      <c r="C66" s="6"/>
      <c r="D66" s="6"/>
      <c r="E66" s="51">
        <f>B66+C66+D66</f>
        <v>0</v>
      </c>
      <c r="F66" s="50"/>
      <c r="G66" s="6"/>
      <c r="H66" s="51">
        <f>E66+F66+G66</f>
        <v>0</v>
      </c>
      <c r="I66" s="50">
        <v>2553.7</v>
      </c>
      <c r="J66" s="6"/>
      <c r="K66" s="51">
        <f>H66+I66+J66</f>
        <v>2553.7</v>
      </c>
      <c r="L66" s="50"/>
      <c r="M66" s="12"/>
      <c r="N66" s="166">
        <f aca="true" t="shared" si="17" ref="N66:N76">K66+L66+M66</f>
        <v>2553.7</v>
      </c>
      <c r="O66" s="166"/>
      <c r="P66" s="151">
        <f aca="true" t="shared" si="18" ref="P66:P76">N66+O66</f>
        <v>2553.7</v>
      </c>
    </row>
    <row r="67" spans="1:16" ht="12.75" hidden="1">
      <c r="A67" s="76" t="s">
        <v>49</v>
      </c>
      <c r="B67" s="50"/>
      <c r="C67" s="6"/>
      <c r="D67" s="6"/>
      <c r="E67" s="51">
        <f aca="true" t="shared" si="19" ref="E67:E75">B67+C67+D67</f>
        <v>0</v>
      </c>
      <c r="F67" s="50"/>
      <c r="G67" s="6"/>
      <c r="H67" s="51">
        <f aca="true" t="shared" si="20" ref="H67:H75">E67+F67+G67</f>
        <v>0</v>
      </c>
      <c r="I67" s="50"/>
      <c r="J67" s="6"/>
      <c r="K67" s="51">
        <f aca="true" t="shared" si="21" ref="K67:K76">H67+I67+J67</f>
        <v>0</v>
      </c>
      <c r="L67" s="50"/>
      <c r="M67" s="12"/>
      <c r="N67" s="166">
        <f t="shared" si="17"/>
        <v>0</v>
      </c>
      <c r="O67" s="166"/>
      <c r="P67" s="151">
        <f t="shared" si="18"/>
        <v>0</v>
      </c>
    </row>
    <row r="68" spans="1:16" ht="12.75" hidden="1">
      <c r="A68" s="76" t="s">
        <v>47</v>
      </c>
      <c r="B68" s="50"/>
      <c r="C68" s="6"/>
      <c r="D68" s="6"/>
      <c r="E68" s="51">
        <f t="shared" si="19"/>
        <v>0</v>
      </c>
      <c r="F68" s="50"/>
      <c r="G68" s="6"/>
      <c r="H68" s="51">
        <f t="shared" si="20"/>
        <v>0</v>
      </c>
      <c r="I68" s="50"/>
      <c r="J68" s="6"/>
      <c r="K68" s="51">
        <f t="shared" si="21"/>
        <v>0</v>
      </c>
      <c r="L68" s="50"/>
      <c r="M68" s="12"/>
      <c r="N68" s="166">
        <f t="shared" si="17"/>
        <v>0</v>
      </c>
      <c r="O68" s="166"/>
      <c r="P68" s="151">
        <f t="shared" si="18"/>
        <v>0</v>
      </c>
    </row>
    <row r="69" spans="1:16" ht="12.75" hidden="1">
      <c r="A69" s="72" t="s">
        <v>50</v>
      </c>
      <c r="B69" s="50"/>
      <c r="C69" s="6"/>
      <c r="D69" s="6"/>
      <c r="E69" s="51">
        <f t="shared" si="19"/>
        <v>0</v>
      </c>
      <c r="F69" s="50"/>
      <c r="G69" s="6"/>
      <c r="H69" s="51">
        <f t="shared" si="20"/>
        <v>0</v>
      </c>
      <c r="I69" s="50"/>
      <c r="J69" s="6"/>
      <c r="K69" s="51">
        <f t="shared" si="21"/>
        <v>0</v>
      </c>
      <c r="L69" s="50"/>
      <c r="M69" s="12"/>
      <c r="N69" s="166">
        <f t="shared" si="17"/>
        <v>0</v>
      </c>
      <c r="O69" s="166"/>
      <c r="P69" s="151">
        <f t="shared" si="18"/>
        <v>0</v>
      </c>
    </row>
    <row r="70" spans="1:16" ht="12.75">
      <c r="A70" s="72" t="s">
        <v>64</v>
      </c>
      <c r="B70" s="50"/>
      <c r="C70" s="6"/>
      <c r="D70" s="6"/>
      <c r="E70" s="51">
        <f t="shared" si="19"/>
        <v>0</v>
      </c>
      <c r="F70" s="50">
        <v>9304.1</v>
      </c>
      <c r="G70" s="6"/>
      <c r="H70" s="51">
        <f t="shared" si="20"/>
        <v>9304.1</v>
      </c>
      <c r="I70" s="50">
        <f>5644.8+5324.3</f>
        <v>10969.1</v>
      </c>
      <c r="J70" s="6"/>
      <c r="K70" s="51">
        <f t="shared" si="21"/>
        <v>20273.2</v>
      </c>
      <c r="L70" s="50">
        <v>12350.7</v>
      </c>
      <c r="M70" s="12"/>
      <c r="N70" s="166">
        <f t="shared" si="17"/>
        <v>32623.9</v>
      </c>
      <c r="O70" s="166">
        <f>5648.1+1112.5+24740.5+3631.2</f>
        <v>35132.299999999996</v>
      </c>
      <c r="P70" s="151">
        <f t="shared" si="18"/>
        <v>67756.2</v>
      </c>
    </row>
    <row r="71" spans="1:16" ht="12.75">
      <c r="A71" s="72" t="s">
        <v>65</v>
      </c>
      <c r="B71" s="50"/>
      <c r="C71" s="6"/>
      <c r="D71" s="6"/>
      <c r="E71" s="51">
        <f t="shared" si="19"/>
        <v>0</v>
      </c>
      <c r="F71" s="50"/>
      <c r="G71" s="6"/>
      <c r="H71" s="51">
        <f t="shared" si="20"/>
        <v>0</v>
      </c>
      <c r="I71" s="50">
        <v>3409.7</v>
      </c>
      <c r="J71" s="6"/>
      <c r="K71" s="51">
        <f t="shared" si="21"/>
        <v>3409.7</v>
      </c>
      <c r="L71" s="12">
        <f>6206.8+4340.3</f>
        <v>10547.1</v>
      </c>
      <c r="M71" s="12"/>
      <c r="N71" s="166">
        <f t="shared" si="17"/>
        <v>13956.8</v>
      </c>
      <c r="O71" s="51">
        <f>6995.9+17947.3+342.8</f>
        <v>25285.999999999996</v>
      </c>
      <c r="P71" s="151">
        <f t="shared" si="18"/>
        <v>39242.799999999996</v>
      </c>
    </row>
    <row r="72" spans="1:16" ht="12.75">
      <c r="A72" s="72" t="s">
        <v>66</v>
      </c>
      <c r="B72" s="50"/>
      <c r="C72" s="6"/>
      <c r="D72" s="6"/>
      <c r="E72" s="51">
        <f t="shared" si="19"/>
        <v>0</v>
      </c>
      <c r="F72" s="50">
        <f>23883.4+30636.7+64976.3+15348.4+22102.3+16345.9+32195.7</f>
        <v>205488.7</v>
      </c>
      <c r="G72" s="6"/>
      <c r="H72" s="51">
        <f t="shared" si="20"/>
        <v>205488.7</v>
      </c>
      <c r="I72" s="50">
        <f>165.1+18635.1+45786.7</f>
        <v>64586.899999999994</v>
      </c>
      <c r="J72" s="6"/>
      <c r="K72" s="51">
        <f t="shared" si="21"/>
        <v>270075.6</v>
      </c>
      <c r="L72" s="12">
        <f>65767+1563.1+5716.8+37783.5+5339.9+989.7+33535.5+24897.8+10999.3+10972.3+33182.8+16196.7+2693.2</f>
        <v>249637.59999999998</v>
      </c>
      <c r="M72" s="12">
        <f>57273.2+11044.2</f>
        <v>68317.4</v>
      </c>
      <c r="N72" s="166">
        <f t="shared" si="17"/>
        <v>588030.6</v>
      </c>
      <c r="O72" s="51">
        <f>526.2+46.4+28564.9+2520.4+8477+1871.3+165.1+10180.4+898.3</f>
        <v>53250.00000000001</v>
      </c>
      <c r="P72" s="151">
        <f t="shared" si="18"/>
        <v>641280.6</v>
      </c>
    </row>
    <row r="73" spans="1:16" ht="12.75">
      <c r="A73" s="72" t="s">
        <v>67</v>
      </c>
      <c r="B73" s="50"/>
      <c r="C73" s="6"/>
      <c r="D73" s="6"/>
      <c r="E73" s="51">
        <f t="shared" si="19"/>
        <v>0</v>
      </c>
      <c r="F73" s="50"/>
      <c r="G73" s="6"/>
      <c r="H73" s="51">
        <f t="shared" si="20"/>
        <v>0</v>
      </c>
      <c r="I73" s="50"/>
      <c r="J73" s="6"/>
      <c r="K73" s="51">
        <f t="shared" si="21"/>
        <v>0</v>
      </c>
      <c r="L73" s="50"/>
      <c r="M73" s="12"/>
      <c r="N73" s="166">
        <f t="shared" si="17"/>
        <v>0</v>
      </c>
      <c r="O73" s="166">
        <v>5100</v>
      </c>
      <c r="P73" s="151">
        <f t="shared" si="18"/>
        <v>5100</v>
      </c>
    </row>
    <row r="74" spans="1:16" ht="12.75">
      <c r="A74" s="72" t="s">
        <v>54</v>
      </c>
      <c r="B74" s="50"/>
      <c r="C74" s="6"/>
      <c r="D74" s="6"/>
      <c r="E74" s="51">
        <f t="shared" si="19"/>
        <v>0</v>
      </c>
      <c r="F74" s="50">
        <v>8344.2</v>
      </c>
      <c r="G74" s="6"/>
      <c r="H74" s="51">
        <f t="shared" si="20"/>
        <v>8344.2</v>
      </c>
      <c r="I74" s="50"/>
      <c r="J74" s="6"/>
      <c r="K74" s="51">
        <f t="shared" si="21"/>
        <v>8344.2</v>
      </c>
      <c r="L74" s="50"/>
      <c r="M74" s="12"/>
      <c r="N74" s="166">
        <f t="shared" si="17"/>
        <v>8344.2</v>
      </c>
      <c r="O74" s="166"/>
      <c r="P74" s="151">
        <f t="shared" si="18"/>
        <v>8344.2</v>
      </c>
    </row>
    <row r="75" spans="1:16" ht="12.75">
      <c r="A75" s="72" t="s">
        <v>68</v>
      </c>
      <c r="B75" s="50"/>
      <c r="C75" s="6">
        <v>9955</v>
      </c>
      <c r="D75" s="6"/>
      <c r="E75" s="51">
        <f t="shared" si="19"/>
        <v>9955</v>
      </c>
      <c r="F75" s="50"/>
      <c r="G75" s="6"/>
      <c r="H75" s="51">
        <f t="shared" si="20"/>
        <v>9955</v>
      </c>
      <c r="I75" s="50"/>
      <c r="J75" s="6"/>
      <c r="K75" s="51">
        <f t="shared" si="21"/>
        <v>9955</v>
      </c>
      <c r="L75" s="50"/>
      <c r="M75" s="12"/>
      <c r="N75" s="166">
        <f t="shared" si="17"/>
        <v>9955</v>
      </c>
      <c r="O75" s="166"/>
      <c r="P75" s="151">
        <f t="shared" si="18"/>
        <v>9955</v>
      </c>
    </row>
    <row r="76" spans="1:16" ht="12.75">
      <c r="A76" s="72" t="s">
        <v>58</v>
      </c>
      <c r="B76" s="50"/>
      <c r="C76" s="6"/>
      <c r="D76" s="6"/>
      <c r="E76" s="51"/>
      <c r="F76" s="50"/>
      <c r="G76" s="6"/>
      <c r="H76" s="51"/>
      <c r="I76" s="50"/>
      <c r="J76" s="6"/>
      <c r="K76" s="51">
        <f t="shared" si="21"/>
        <v>0</v>
      </c>
      <c r="L76" s="50"/>
      <c r="M76" s="12">
        <v>1800</v>
      </c>
      <c r="N76" s="166">
        <f t="shared" si="17"/>
        <v>1800</v>
      </c>
      <c r="O76" s="166"/>
      <c r="P76" s="151">
        <f t="shared" si="18"/>
        <v>1800</v>
      </c>
    </row>
    <row r="77" spans="1:16" ht="12.75">
      <c r="A77" s="73" t="s">
        <v>69</v>
      </c>
      <c r="B77" s="52">
        <f>SUM(B79:B81)</f>
        <v>0</v>
      </c>
      <c r="C77" s="7">
        <f aca="true" t="shared" si="22" ref="C77:N77">SUM(C79:C81)</f>
        <v>0</v>
      </c>
      <c r="D77" s="7">
        <f t="shared" si="22"/>
        <v>0</v>
      </c>
      <c r="E77" s="53">
        <f t="shared" si="22"/>
        <v>0</v>
      </c>
      <c r="F77" s="52">
        <f t="shared" si="22"/>
        <v>0</v>
      </c>
      <c r="G77" s="7">
        <f t="shared" si="22"/>
        <v>0</v>
      </c>
      <c r="H77" s="53">
        <f t="shared" si="22"/>
        <v>0</v>
      </c>
      <c r="I77" s="52">
        <f t="shared" si="22"/>
        <v>0</v>
      </c>
      <c r="J77" s="7">
        <f t="shared" si="22"/>
        <v>0</v>
      </c>
      <c r="K77" s="53">
        <f t="shared" si="22"/>
        <v>0</v>
      </c>
      <c r="L77" s="52">
        <f t="shared" si="22"/>
        <v>0</v>
      </c>
      <c r="M77" s="131">
        <f t="shared" si="22"/>
        <v>0</v>
      </c>
      <c r="N77" s="167">
        <f t="shared" si="22"/>
        <v>0</v>
      </c>
      <c r="O77" s="167">
        <f>SUM(O79:O81)</f>
        <v>6256.6</v>
      </c>
      <c r="P77" s="65">
        <f>SUM(P79:P81)</f>
        <v>6256.6</v>
      </c>
    </row>
    <row r="78" spans="1:16" ht="12.75">
      <c r="A78" s="70" t="s">
        <v>45</v>
      </c>
      <c r="B78" s="50"/>
      <c r="C78" s="6"/>
      <c r="D78" s="6"/>
      <c r="E78" s="51"/>
      <c r="F78" s="50"/>
      <c r="G78" s="6"/>
      <c r="H78" s="51"/>
      <c r="I78" s="50"/>
      <c r="J78" s="6"/>
      <c r="K78" s="51"/>
      <c r="L78" s="50"/>
      <c r="M78" s="12"/>
      <c r="N78" s="166"/>
      <c r="O78" s="166"/>
      <c r="P78" s="151"/>
    </row>
    <row r="79" spans="1:16" ht="12.75">
      <c r="A79" s="72" t="s">
        <v>70</v>
      </c>
      <c r="B79" s="50"/>
      <c r="C79" s="6"/>
      <c r="D79" s="6"/>
      <c r="E79" s="51">
        <f>B79+C79+D79</f>
        <v>0</v>
      </c>
      <c r="F79" s="50"/>
      <c r="G79" s="6"/>
      <c r="H79" s="51">
        <f>E79+F79+G79</f>
        <v>0</v>
      </c>
      <c r="I79" s="50"/>
      <c r="J79" s="6"/>
      <c r="K79" s="51">
        <f>H79+I79+J79</f>
        <v>0</v>
      </c>
      <c r="L79" s="50"/>
      <c r="M79" s="12"/>
      <c r="N79" s="166">
        <f>K79+L79+M79</f>
        <v>0</v>
      </c>
      <c r="O79" s="166">
        <f>1390.4+4866.2</f>
        <v>6256.6</v>
      </c>
      <c r="P79" s="151">
        <f>N79+O79</f>
        <v>6256.6</v>
      </c>
    </row>
    <row r="80" spans="1:16" ht="12.75" hidden="1">
      <c r="A80" s="72" t="s">
        <v>42</v>
      </c>
      <c r="B80" s="50"/>
      <c r="C80" s="6"/>
      <c r="D80" s="6"/>
      <c r="E80" s="51">
        <f>B80+C80+D80</f>
        <v>0</v>
      </c>
      <c r="F80" s="50"/>
      <c r="G80" s="6"/>
      <c r="H80" s="51">
        <f>E80+F80+G80</f>
        <v>0</v>
      </c>
      <c r="I80" s="50"/>
      <c r="J80" s="6"/>
      <c r="K80" s="51">
        <f>H80+I80+J80</f>
        <v>0</v>
      </c>
      <c r="L80" s="50"/>
      <c r="M80" s="12"/>
      <c r="N80" s="166">
        <f>K80+L80+M80</f>
        <v>0</v>
      </c>
      <c r="O80" s="166"/>
      <c r="P80" s="151">
        <f>N80+O80</f>
        <v>0</v>
      </c>
    </row>
    <row r="81" spans="1:16" ht="12.75" hidden="1">
      <c r="A81" s="72" t="s">
        <v>61</v>
      </c>
      <c r="B81" s="50"/>
      <c r="C81" s="6"/>
      <c r="D81" s="6"/>
      <c r="E81" s="51">
        <f>B81+C81+D81</f>
        <v>0</v>
      </c>
      <c r="F81" s="50"/>
      <c r="G81" s="6"/>
      <c r="H81" s="51">
        <f>E81+F81+G81</f>
        <v>0</v>
      </c>
      <c r="I81" s="50"/>
      <c r="J81" s="6"/>
      <c r="K81" s="51">
        <f>H81+I81+J81</f>
        <v>0</v>
      </c>
      <c r="L81" s="50"/>
      <c r="M81" s="12"/>
      <c r="N81" s="166">
        <f>K81+L81+M81</f>
        <v>0</v>
      </c>
      <c r="O81" s="166"/>
      <c r="P81" s="151">
        <f>N81+O81</f>
        <v>0</v>
      </c>
    </row>
    <row r="82" spans="1:16" ht="12.75">
      <c r="A82" s="73" t="s">
        <v>71</v>
      </c>
      <c r="B82" s="52"/>
      <c r="C82" s="7"/>
      <c r="D82" s="7"/>
      <c r="E82" s="53">
        <f>B82+C82+D82</f>
        <v>0</v>
      </c>
      <c r="F82" s="52"/>
      <c r="G82" s="111">
        <v>7357.4</v>
      </c>
      <c r="H82" s="53">
        <f>E82+F82+G82</f>
        <v>7357.4</v>
      </c>
      <c r="I82" s="52"/>
      <c r="J82" s="7"/>
      <c r="K82" s="53">
        <f>H82+I82+J82</f>
        <v>7357.4</v>
      </c>
      <c r="L82" s="52"/>
      <c r="M82" s="131"/>
      <c r="N82" s="167">
        <f>K82+L82+M82</f>
        <v>7357.4</v>
      </c>
      <c r="O82" s="167"/>
      <c r="P82" s="65">
        <f>N82+O82</f>
        <v>7357.4</v>
      </c>
    </row>
    <row r="83" spans="1:16" ht="16.5" thickBot="1">
      <c r="A83" s="77" t="s">
        <v>72</v>
      </c>
      <c r="B83" s="56">
        <f>B11+B14+B42+B82+B64+B37+B59+B77</f>
        <v>3228002</v>
      </c>
      <c r="C83" s="56">
        <f aca="true" t="shared" si="23" ref="C83:M83">C11+C14+C42+C82+C64+C37+C59</f>
        <v>1224930.6</v>
      </c>
      <c r="D83" s="56">
        <f t="shared" si="23"/>
        <v>51</v>
      </c>
      <c r="E83" s="56">
        <f t="shared" si="23"/>
        <v>4452983.6</v>
      </c>
      <c r="F83" s="56">
        <f t="shared" si="23"/>
        <v>1430963</v>
      </c>
      <c r="G83" s="56">
        <f t="shared" si="23"/>
        <v>11620.8</v>
      </c>
      <c r="H83" s="56">
        <f t="shared" si="23"/>
        <v>5895567.4</v>
      </c>
      <c r="I83" s="56">
        <f t="shared" si="23"/>
        <v>1353647.0999999996</v>
      </c>
      <c r="J83" s="118">
        <f t="shared" si="23"/>
        <v>5346.3</v>
      </c>
      <c r="K83" s="57">
        <f t="shared" si="23"/>
        <v>7254560.8</v>
      </c>
      <c r="L83" s="118">
        <f t="shared" si="23"/>
        <v>1712967.7999999998</v>
      </c>
      <c r="M83" s="132">
        <f t="shared" si="23"/>
        <v>143026.4</v>
      </c>
      <c r="N83" s="169">
        <f>N11+N14+N42+N82+N64+N37+N59+N77</f>
        <v>9110555</v>
      </c>
      <c r="O83" s="169">
        <f>O11+O14+O42+O82+O64+O37+O59+O77</f>
        <v>234423.59999999998</v>
      </c>
      <c r="P83" s="152">
        <f>P11+P14+P42+P82+P64+P37+P59+P77</f>
        <v>9344978.6</v>
      </c>
    </row>
    <row r="84" spans="1:16" ht="12.75">
      <c r="A84" s="69" t="s">
        <v>73</v>
      </c>
      <c r="B84" s="48"/>
      <c r="C84" s="6"/>
      <c r="D84" s="6"/>
      <c r="E84" s="51"/>
      <c r="F84" s="50"/>
      <c r="G84" s="6"/>
      <c r="H84" s="51"/>
      <c r="I84" s="50"/>
      <c r="J84" s="6"/>
      <c r="K84" s="51"/>
      <c r="L84" s="50"/>
      <c r="M84" s="12"/>
      <c r="N84" s="166"/>
      <c r="O84" s="166"/>
      <c r="P84" s="151"/>
    </row>
    <row r="85" spans="1:16" ht="12.75">
      <c r="A85" s="69" t="s">
        <v>74</v>
      </c>
      <c r="B85" s="48">
        <f aca="true" t="shared" si="24" ref="B85:N85">B86+B95</f>
        <v>46650</v>
      </c>
      <c r="C85" s="5">
        <f t="shared" si="24"/>
        <v>-635</v>
      </c>
      <c r="D85" s="5">
        <f t="shared" si="24"/>
        <v>700</v>
      </c>
      <c r="E85" s="49">
        <f t="shared" si="24"/>
        <v>46715</v>
      </c>
      <c r="F85" s="48">
        <f t="shared" si="24"/>
        <v>200</v>
      </c>
      <c r="G85" s="5">
        <f t="shared" si="24"/>
        <v>0</v>
      </c>
      <c r="H85" s="49">
        <f t="shared" si="24"/>
        <v>46915</v>
      </c>
      <c r="I85" s="48">
        <f t="shared" si="24"/>
        <v>3090</v>
      </c>
      <c r="J85" s="5">
        <f t="shared" si="24"/>
        <v>0</v>
      </c>
      <c r="K85" s="49">
        <f t="shared" si="24"/>
        <v>50005</v>
      </c>
      <c r="L85" s="48">
        <f t="shared" si="24"/>
        <v>56.5</v>
      </c>
      <c r="M85" s="130">
        <f t="shared" si="24"/>
        <v>-309.8</v>
      </c>
      <c r="N85" s="165">
        <f t="shared" si="24"/>
        <v>49751.7</v>
      </c>
      <c r="O85" s="165">
        <f>O86+O95</f>
        <v>50</v>
      </c>
      <c r="P85" s="150">
        <f>P86+P95</f>
        <v>49801.7</v>
      </c>
    </row>
    <row r="86" spans="1:16" ht="12.75">
      <c r="A86" s="78" t="s">
        <v>75</v>
      </c>
      <c r="B86" s="58">
        <f aca="true" t="shared" si="25" ref="B86:N86">SUM(B88:B94)</f>
        <v>44650</v>
      </c>
      <c r="C86" s="10">
        <f t="shared" si="25"/>
        <v>1365</v>
      </c>
      <c r="D86" s="10">
        <f t="shared" si="25"/>
        <v>700</v>
      </c>
      <c r="E86" s="59">
        <f t="shared" si="25"/>
        <v>46715</v>
      </c>
      <c r="F86" s="58">
        <f t="shared" si="25"/>
        <v>200</v>
      </c>
      <c r="G86" s="10">
        <f t="shared" si="25"/>
        <v>0</v>
      </c>
      <c r="H86" s="59">
        <f t="shared" si="25"/>
        <v>46915</v>
      </c>
      <c r="I86" s="58">
        <f>SUM(I88:I94)</f>
        <v>3010</v>
      </c>
      <c r="J86" s="10">
        <f t="shared" si="25"/>
        <v>0</v>
      </c>
      <c r="K86" s="59">
        <f>SUM(K88:K94)</f>
        <v>49925</v>
      </c>
      <c r="L86" s="58">
        <f t="shared" si="25"/>
        <v>-118.5</v>
      </c>
      <c r="M86" s="133">
        <f t="shared" si="25"/>
        <v>-309.8</v>
      </c>
      <c r="N86" s="170">
        <f t="shared" si="25"/>
        <v>49496.7</v>
      </c>
      <c r="O86" s="170">
        <f>SUM(O88:O94)</f>
        <v>50</v>
      </c>
      <c r="P86" s="153">
        <f>SUM(P88:P94)</f>
        <v>49546.7</v>
      </c>
    </row>
    <row r="87" spans="1:16" ht="9.75" customHeight="1">
      <c r="A87" s="74" t="s">
        <v>45</v>
      </c>
      <c r="B87" s="50"/>
      <c r="C87" s="6"/>
      <c r="D87" s="6"/>
      <c r="E87" s="51"/>
      <c r="F87" s="50"/>
      <c r="G87" s="6"/>
      <c r="H87" s="51"/>
      <c r="I87" s="50"/>
      <c r="J87" s="6"/>
      <c r="K87" s="51"/>
      <c r="L87" s="50"/>
      <c r="M87" s="12"/>
      <c r="N87" s="166"/>
      <c r="O87" s="166"/>
      <c r="P87" s="151"/>
    </row>
    <row r="88" spans="1:16" ht="12.75">
      <c r="A88" s="72" t="s">
        <v>226</v>
      </c>
      <c r="B88" s="50">
        <v>18100</v>
      </c>
      <c r="C88" s="6">
        <v>928</v>
      </c>
      <c r="D88" s="6"/>
      <c r="E88" s="51">
        <f>B88+C88</f>
        <v>19028</v>
      </c>
      <c r="F88" s="50"/>
      <c r="G88" s="6"/>
      <c r="H88" s="51">
        <f aca="true" t="shared" si="26" ref="H88:H94">E88+F88+G88</f>
        <v>19028</v>
      </c>
      <c r="I88" s="50"/>
      <c r="J88" s="6"/>
      <c r="K88" s="51">
        <f aca="true" t="shared" si="27" ref="K88:K94">H88+I88+J88</f>
        <v>19028</v>
      </c>
      <c r="L88" s="50"/>
      <c r="M88" s="12"/>
      <c r="N88" s="166">
        <f aca="true" t="shared" si="28" ref="N88:N94">K88+L88+M88</f>
        <v>19028</v>
      </c>
      <c r="O88" s="166"/>
      <c r="P88" s="151">
        <f>N88+O88</f>
        <v>19028</v>
      </c>
    </row>
    <row r="89" spans="1:16" ht="12.75">
      <c r="A89" s="72" t="s">
        <v>76</v>
      </c>
      <c r="B89" s="50">
        <v>4660</v>
      </c>
      <c r="C89" s="6">
        <v>297</v>
      </c>
      <c r="D89" s="6"/>
      <c r="E89" s="51">
        <f>B89+C89</f>
        <v>4957</v>
      </c>
      <c r="F89" s="50"/>
      <c r="G89" s="6"/>
      <c r="H89" s="51">
        <f t="shared" si="26"/>
        <v>4957</v>
      </c>
      <c r="I89" s="50"/>
      <c r="J89" s="6"/>
      <c r="K89" s="51">
        <f t="shared" si="27"/>
        <v>4957</v>
      </c>
      <c r="L89" s="50"/>
      <c r="M89" s="12"/>
      <c r="N89" s="166">
        <f t="shared" si="28"/>
        <v>4957</v>
      </c>
      <c r="O89" s="166"/>
      <c r="P89" s="151">
        <f aca="true" t="shared" si="29" ref="P89:P94">N89+O89</f>
        <v>4957</v>
      </c>
    </row>
    <row r="90" spans="1:16" ht="12.75">
      <c r="A90" s="72" t="s">
        <v>77</v>
      </c>
      <c r="B90" s="50">
        <v>1870</v>
      </c>
      <c r="C90" s="6">
        <v>-720</v>
      </c>
      <c r="D90" s="6"/>
      <c r="E90" s="51">
        <f>B90+C90+D90</f>
        <v>1150</v>
      </c>
      <c r="F90" s="50">
        <v>300</v>
      </c>
      <c r="G90" s="6"/>
      <c r="H90" s="51">
        <f t="shared" si="26"/>
        <v>1450</v>
      </c>
      <c r="I90" s="50"/>
      <c r="J90" s="6"/>
      <c r="K90" s="51">
        <f t="shared" si="27"/>
        <v>1450</v>
      </c>
      <c r="L90" s="50"/>
      <c r="M90" s="12"/>
      <c r="N90" s="166">
        <f t="shared" si="28"/>
        <v>1450</v>
      </c>
      <c r="O90" s="166"/>
      <c r="P90" s="151">
        <f t="shared" si="29"/>
        <v>1450</v>
      </c>
    </row>
    <row r="91" spans="1:16" ht="12.75">
      <c r="A91" s="72" t="s">
        <v>78</v>
      </c>
      <c r="B91" s="50">
        <v>9370</v>
      </c>
      <c r="C91" s="6">
        <v>1510</v>
      </c>
      <c r="D91" s="6"/>
      <c r="E91" s="51">
        <f>B91+C91+D91</f>
        <v>10880</v>
      </c>
      <c r="F91" s="50">
        <f>-300+200</f>
        <v>-100</v>
      </c>
      <c r="G91" s="6"/>
      <c r="H91" s="51">
        <f t="shared" si="26"/>
        <v>10780</v>
      </c>
      <c r="I91" s="50">
        <f>2640+200+150</f>
        <v>2990</v>
      </c>
      <c r="J91" s="6"/>
      <c r="K91" s="51">
        <f t="shared" si="27"/>
        <v>13770</v>
      </c>
      <c r="L91" s="50">
        <f>65-8.5-500</f>
        <v>-443.5</v>
      </c>
      <c r="M91" s="12"/>
      <c r="N91" s="166">
        <f t="shared" si="28"/>
        <v>13326.5</v>
      </c>
      <c r="O91" s="166">
        <v>50</v>
      </c>
      <c r="P91" s="151">
        <f t="shared" si="29"/>
        <v>13376.5</v>
      </c>
    </row>
    <row r="92" spans="1:16" ht="12.75">
      <c r="A92" s="72" t="s">
        <v>79</v>
      </c>
      <c r="B92" s="50">
        <v>2000</v>
      </c>
      <c r="C92" s="6"/>
      <c r="D92" s="6"/>
      <c r="E92" s="51">
        <f>SUM(B92:D92)</f>
        <v>2000</v>
      </c>
      <c r="F92" s="50"/>
      <c r="G92" s="6"/>
      <c r="H92" s="51">
        <f t="shared" si="26"/>
        <v>2000</v>
      </c>
      <c r="I92" s="50"/>
      <c r="J92" s="6"/>
      <c r="K92" s="51">
        <f t="shared" si="27"/>
        <v>2000</v>
      </c>
      <c r="L92" s="50"/>
      <c r="M92" s="12">
        <v>-309.8</v>
      </c>
      <c r="N92" s="166">
        <f t="shared" si="28"/>
        <v>1690.2</v>
      </c>
      <c r="O92" s="166"/>
      <c r="P92" s="151">
        <f t="shared" si="29"/>
        <v>1690.2</v>
      </c>
    </row>
    <row r="93" spans="1:16" ht="12.75">
      <c r="A93" s="72" t="s">
        <v>95</v>
      </c>
      <c r="B93" s="50"/>
      <c r="C93" s="6"/>
      <c r="D93" s="6">
        <v>700</v>
      </c>
      <c r="E93" s="51">
        <f>SUM(B93:D93)</f>
        <v>700</v>
      </c>
      <c r="F93" s="50"/>
      <c r="G93" s="6"/>
      <c r="H93" s="51">
        <f t="shared" si="26"/>
        <v>700</v>
      </c>
      <c r="I93" s="50"/>
      <c r="J93" s="6"/>
      <c r="K93" s="51">
        <f t="shared" si="27"/>
        <v>700</v>
      </c>
      <c r="L93" s="50">
        <v>-75</v>
      </c>
      <c r="M93" s="12"/>
      <c r="N93" s="166">
        <f t="shared" si="28"/>
        <v>625</v>
      </c>
      <c r="O93" s="166"/>
      <c r="P93" s="151">
        <f t="shared" si="29"/>
        <v>625</v>
      </c>
    </row>
    <row r="94" spans="1:16" ht="12.75">
      <c r="A94" s="72" t="s">
        <v>80</v>
      </c>
      <c r="B94" s="50">
        <v>8650</v>
      </c>
      <c r="C94" s="6">
        <v>-650</v>
      </c>
      <c r="D94" s="6"/>
      <c r="E94" s="51">
        <f>SUM(B94:D94)</f>
        <v>8000</v>
      </c>
      <c r="F94" s="50"/>
      <c r="G94" s="6"/>
      <c r="H94" s="51">
        <f t="shared" si="26"/>
        <v>8000</v>
      </c>
      <c r="I94" s="50">
        <f>-80+100</f>
        <v>20</v>
      </c>
      <c r="J94" s="6"/>
      <c r="K94" s="51">
        <f t="shared" si="27"/>
        <v>8020</v>
      </c>
      <c r="L94" s="50">
        <f>-100+500</f>
        <v>400</v>
      </c>
      <c r="M94" s="12"/>
      <c r="N94" s="166">
        <f t="shared" si="28"/>
        <v>8420</v>
      </c>
      <c r="O94" s="166"/>
      <c r="P94" s="151">
        <f t="shared" si="29"/>
        <v>8420</v>
      </c>
    </row>
    <row r="95" spans="1:16" ht="12.75">
      <c r="A95" s="79" t="s">
        <v>81</v>
      </c>
      <c r="B95" s="60">
        <f>SUM(B97:B99)</f>
        <v>2000</v>
      </c>
      <c r="C95" s="11">
        <f aca="true" t="shared" si="30" ref="C95:N95">SUM(C97:C99)</f>
        <v>-2000</v>
      </c>
      <c r="D95" s="11">
        <f t="shared" si="30"/>
        <v>0</v>
      </c>
      <c r="E95" s="61">
        <f t="shared" si="30"/>
        <v>0</v>
      </c>
      <c r="F95" s="60">
        <f t="shared" si="30"/>
        <v>0</v>
      </c>
      <c r="G95" s="11">
        <f t="shared" si="30"/>
        <v>0</v>
      </c>
      <c r="H95" s="61">
        <f t="shared" si="30"/>
        <v>0</v>
      </c>
      <c r="I95" s="60">
        <f t="shared" si="30"/>
        <v>80</v>
      </c>
      <c r="J95" s="11">
        <f t="shared" si="30"/>
        <v>0</v>
      </c>
      <c r="K95" s="61">
        <f t="shared" si="30"/>
        <v>80</v>
      </c>
      <c r="L95" s="60">
        <f t="shared" si="30"/>
        <v>175</v>
      </c>
      <c r="M95" s="134">
        <f t="shared" si="30"/>
        <v>0</v>
      </c>
      <c r="N95" s="171">
        <f t="shared" si="30"/>
        <v>255</v>
      </c>
      <c r="O95" s="171">
        <f>SUM(O97:O99)</f>
        <v>0</v>
      </c>
      <c r="P95" s="103">
        <f>SUM(P97:P99)</f>
        <v>255</v>
      </c>
    </row>
    <row r="96" spans="1:16" ht="9.75" customHeight="1">
      <c r="A96" s="70" t="s">
        <v>45</v>
      </c>
      <c r="B96" s="52"/>
      <c r="C96" s="7"/>
      <c r="D96" s="7"/>
      <c r="E96" s="53"/>
      <c r="F96" s="52"/>
      <c r="G96" s="7"/>
      <c r="H96" s="53"/>
      <c r="I96" s="52"/>
      <c r="J96" s="7"/>
      <c r="K96" s="53"/>
      <c r="L96" s="52"/>
      <c r="M96" s="131"/>
      <c r="N96" s="167"/>
      <c r="O96" s="167"/>
      <c r="P96" s="65"/>
    </row>
    <row r="97" spans="1:16" ht="12.75" hidden="1">
      <c r="A97" s="71" t="s">
        <v>82</v>
      </c>
      <c r="B97" s="50"/>
      <c r="C97" s="6"/>
      <c r="D97" s="6"/>
      <c r="E97" s="51">
        <f>B97+C97</f>
        <v>0</v>
      </c>
      <c r="F97" s="50"/>
      <c r="G97" s="6"/>
      <c r="H97" s="51">
        <f>E97+F97+G97</f>
        <v>0</v>
      </c>
      <c r="I97" s="50"/>
      <c r="J97" s="6"/>
      <c r="K97" s="51">
        <f>H97+I97+J97</f>
        <v>0</v>
      </c>
      <c r="L97" s="50"/>
      <c r="M97" s="12"/>
      <c r="N97" s="166">
        <f>K97+L97+M97</f>
        <v>0</v>
      </c>
      <c r="O97" s="166"/>
      <c r="P97" s="151">
        <f>N97+O97</f>
        <v>0</v>
      </c>
    </row>
    <row r="98" spans="1:16" ht="12.75">
      <c r="A98" s="72" t="s">
        <v>80</v>
      </c>
      <c r="B98" s="50"/>
      <c r="C98" s="6"/>
      <c r="D98" s="6"/>
      <c r="E98" s="51"/>
      <c r="F98" s="50"/>
      <c r="G98" s="6"/>
      <c r="H98" s="51">
        <f>E98+F98+G98</f>
        <v>0</v>
      </c>
      <c r="I98" s="50">
        <v>80</v>
      </c>
      <c r="J98" s="6"/>
      <c r="K98" s="51">
        <f>H98+I98+J98</f>
        <v>80</v>
      </c>
      <c r="L98" s="50">
        <f>75+100</f>
        <v>175</v>
      </c>
      <c r="M98" s="12"/>
      <c r="N98" s="166">
        <f>K98+L98+M98</f>
        <v>255</v>
      </c>
      <c r="O98" s="166"/>
      <c r="P98" s="151">
        <f>N98+O98</f>
        <v>255</v>
      </c>
    </row>
    <row r="99" spans="1:16" ht="12.75">
      <c r="A99" s="75" t="s">
        <v>213</v>
      </c>
      <c r="B99" s="54">
        <v>2000</v>
      </c>
      <c r="C99" s="9">
        <v>-2000</v>
      </c>
      <c r="D99" s="9"/>
      <c r="E99" s="55">
        <f>SUM(B99:D99)</f>
        <v>0</v>
      </c>
      <c r="F99" s="54"/>
      <c r="G99" s="9"/>
      <c r="H99" s="55">
        <f>E99+F99+G99</f>
        <v>0</v>
      </c>
      <c r="I99" s="54"/>
      <c r="J99" s="9"/>
      <c r="K99" s="55">
        <f>H99+I99+J99</f>
        <v>0</v>
      </c>
      <c r="L99" s="54"/>
      <c r="M99" s="135"/>
      <c r="N99" s="172">
        <f>K99+L99+M99</f>
        <v>0</v>
      </c>
      <c r="O99" s="172"/>
      <c r="P99" s="154">
        <f>N99+O99</f>
        <v>0</v>
      </c>
    </row>
    <row r="100" spans="1:16" ht="12.75">
      <c r="A100" s="69" t="s">
        <v>83</v>
      </c>
      <c r="B100" s="48">
        <f aca="true" t="shared" si="31" ref="B100:P100">B101+B113</f>
        <v>283537</v>
      </c>
      <c r="C100" s="5" t="e">
        <f t="shared" si="31"/>
        <v>#REF!</v>
      </c>
      <c r="D100" s="5" t="e">
        <f t="shared" si="31"/>
        <v>#REF!</v>
      </c>
      <c r="E100" s="49" t="e">
        <f t="shared" si="31"/>
        <v>#REF!</v>
      </c>
      <c r="F100" s="48" t="e">
        <f t="shared" si="31"/>
        <v>#REF!</v>
      </c>
      <c r="G100" s="5" t="e">
        <f t="shared" si="31"/>
        <v>#REF!</v>
      </c>
      <c r="H100" s="49">
        <f t="shared" si="31"/>
        <v>292035.4</v>
      </c>
      <c r="I100" s="48">
        <f t="shared" si="31"/>
        <v>5750</v>
      </c>
      <c r="J100" s="5">
        <f t="shared" si="31"/>
        <v>0</v>
      </c>
      <c r="K100" s="49">
        <f t="shared" si="31"/>
        <v>297785.4</v>
      </c>
      <c r="L100" s="48">
        <f t="shared" si="31"/>
        <v>8.5</v>
      </c>
      <c r="M100" s="130">
        <f t="shared" si="31"/>
        <v>0</v>
      </c>
      <c r="N100" s="165">
        <f t="shared" si="31"/>
        <v>297793.9</v>
      </c>
      <c r="O100" s="165">
        <f t="shared" si="31"/>
        <v>0</v>
      </c>
      <c r="P100" s="150">
        <f t="shared" si="31"/>
        <v>297793.9</v>
      </c>
    </row>
    <row r="101" spans="1:16" ht="12.75">
      <c r="A101" s="78" t="s">
        <v>75</v>
      </c>
      <c r="B101" s="58">
        <f>SUM(B103:B112)</f>
        <v>283537</v>
      </c>
      <c r="C101" s="10">
        <f aca="true" t="shared" si="32" ref="C101:N101">SUM(C103:C112)</f>
        <v>-10119</v>
      </c>
      <c r="D101" s="10">
        <f t="shared" si="32"/>
        <v>0</v>
      </c>
      <c r="E101" s="59">
        <f t="shared" si="32"/>
        <v>273418</v>
      </c>
      <c r="F101" s="58">
        <f t="shared" si="32"/>
        <v>17817.4</v>
      </c>
      <c r="G101" s="10">
        <f t="shared" si="32"/>
        <v>0</v>
      </c>
      <c r="H101" s="59">
        <f t="shared" si="32"/>
        <v>291235.4</v>
      </c>
      <c r="I101" s="58">
        <f t="shared" si="32"/>
        <v>5250</v>
      </c>
      <c r="J101" s="10">
        <f t="shared" si="32"/>
        <v>0</v>
      </c>
      <c r="K101" s="59">
        <f>SUM(K103:K112)</f>
        <v>296485.4</v>
      </c>
      <c r="L101" s="58">
        <f t="shared" si="32"/>
        <v>8.5</v>
      </c>
      <c r="M101" s="133">
        <f t="shared" si="32"/>
        <v>0</v>
      </c>
      <c r="N101" s="170">
        <f t="shared" si="32"/>
        <v>296493.9</v>
      </c>
      <c r="O101" s="170">
        <f>SUM(O103:O112)</f>
        <v>0</v>
      </c>
      <c r="P101" s="153">
        <f>SUM(P103:P112)</f>
        <v>296493.9</v>
      </c>
    </row>
    <row r="102" spans="1:16" ht="9.75" customHeight="1">
      <c r="A102" s="74" t="s">
        <v>45</v>
      </c>
      <c r="B102" s="50"/>
      <c r="C102" s="6"/>
      <c r="D102" s="6"/>
      <c r="E102" s="51"/>
      <c r="F102" s="50"/>
      <c r="G102" s="6"/>
      <c r="H102" s="51"/>
      <c r="I102" s="50"/>
      <c r="J102" s="6"/>
      <c r="K102" s="51"/>
      <c r="L102" s="50"/>
      <c r="M102" s="12"/>
      <c r="N102" s="166"/>
      <c r="O102" s="166"/>
      <c r="P102" s="151"/>
    </row>
    <row r="103" spans="1:16" ht="12.75">
      <c r="A103" s="81" t="s">
        <v>227</v>
      </c>
      <c r="B103" s="50">
        <v>131849</v>
      </c>
      <c r="C103" s="6"/>
      <c r="D103" s="6"/>
      <c r="E103" s="51">
        <f>B103+C103+D103</f>
        <v>131849</v>
      </c>
      <c r="F103" s="50">
        <f>1793.9+90.2</f>
        <v>1884.1000000000001</v>
      </c>
      <c r="G103" s="6"/>
      <c r="H103" s="51">
        <f>E103+F103+G103</f>
        <v>133733.1</v>
      </c>
      <c r="I103" s="50"/>
      <c r="J103" s="6"/>
      <c r="K103" s="51">
        <f>H103+I103+J103</f>
        <v>133733.1</v>
      </c>
      <c r="L103" s="50">
        <v>8.5</v>
      </c>
      <c r="M103" s="12"/>
      <c r="N103" s="166">
        <f aca="true" t="shared" si="33" ref="N103:N112">K103+L103+M103</f>
        <v>133741.6</v>
      </c>
      <c r="O103" s="166"/>
      <c r="P103" s="151">
        <f>N103+O103</f>
        <v>133741.6</v>
      </c>
    </row>
    <row r="104" spans="1:16" ht="12.75">
      <c r="A104" s="72" t="s">
        <v>76</v>
      </c>
      <c r="B104" s="50">
        <v>46246</v>
      </c>
      <c r="C104" s="6"/>
      <c r="D104" s="6"/>
      <c r="E104" s="51">
        <f aca="true" t="shared" si="34" ref="E104:E112">B104+C104+D104</f>
        <v>46246</v>
      </c>
      <c r="F104" s="50">
        <f>617.5+30.6</f>
        <v>648.1</v>
      </c>
      <c r="G104" s="6"/>
      <c r="H104" s="51">
        <f aca="true" t="shared" si="35" ref="H104:H112">E104+F104+G104</f>
        <v>46894.1</v>
      </c>
      <c r="I104" s="50"/>
      <c r="J104" s="6"/>
      <c r="K104" s="51">
        <f aca="true" t="shared" si="36" ref="K104:K112">H104+I104+J104</f>
        <v>46894.1</v>
      </c>
      <c r="L104" s="50"/>
      <c r="M104" s="12"/>
      <c r="N104" s="166">
        <f t="shared" si="33"/>
        <v>46894.1</v>
      </c>
      <c r="O104" s="166"/>
      <c r="P104" s="151">
        <f aca="true" t="shared" si="37" ref="P104:P112">N104+O104</f>
        <v>46894.1</v>
      </c>
    </row>
    <row r="105" spans="1:16" ht="12.75">
      <c r="A105" s="72" t="s">
        <v>84</v>
      </c>
      <c r="B105" s="50">
        <v>280</v>
      </c>
      <c r="C105" s="6"/>
      <c r="D105" s="6"/>
      <c r="E105" s="51">
        <f t="shared" si="34"/>
        <v>280</v>
      </c>
      <c r="F105" s="50"/>
      <c r="G105" s="6"/>
      <c r="H105" s="51">
        <f t="shared" si="35"/>
        <v>280</v>
      </c>
      <c r="I105" s="50">
        <v>50</v>
      </c>
      <c r="J105" s="6"/>
      <c r="K105" s="51">
        <f t="shared" si="36"/>
        <v>330</v>
      </c>
      <c r="L105" s="50"/>
      <c r="M105" s="12"/>
      <c r="N105" s="166">
        <f t="shared" si="33"/>
        <v>330</v>
      </c>
      <c r="O105" s="166"/>
      <c r="P105" s="151">
        <f t="shared" si="37"/>
        <v>330</v>
      </c>
    </row>
    <row r="106" spans="1:16" ht="12.75">
      <c r="A106" s="72" t="s">
        <v>78</v>
      </c>
      <c r="B106" s="50">
        <f>53420+160</f>
        <v>53580</v>
      </c>
      <c r="C106" s="6">
        <f>1328-11962</f>
        <v>-10634</v>
      </c>
      <c r="D106" s="6"/>
      <c r="E106" s="51">
        <f t="shared" si="34"/>
        <v>42946</v>
      </c>
      <c r="F106" s="50">
        <v>1915.2</v>
      </c>
      <c r="G106" s="6"/>
      <c r="H106" s="51">
        <f t="shared" si="35"/>
        <v>44861.2</v>
      </c>
      <c r="I106" s="50">
        <v>-50</v>
      </c>
      <c r="J106" s="6"/>
      <c r="K106" s="51">
        <f t="shared" si="36"/>
        <v>44811.2</v>
      </c>
      <c r="L106" s="50"/>
      <c r="M106" s="12"/>
      <c r="N106" s="166">
        <f t="shared" si="33"/>
        <v>44811.2</v>
      </c>
      <c r="O106" s="166"/>
      <c r="P106" s="151">
        <f t="shared" si="37"/>
        <v>44811.2</v>
      </c>
    </row>
    <row r="107" spans="1:16" ht="12.75">
      <c r="A107" s="72" t="s">
        <v>239</v>
      </c>
      <c r="B107" s="50"/>
      <c r="C107" s="6"/>
      <c r="D107" s="6"/>
      <c r="E107" s="51">
        <f t="shared" si="34"/>
        <v>0</v>
      </c>
      <c r="F107" s="50">
        <v>470</v>
      </c>
      <c r="G107" s="6"/>
      <c r="H107" s="51">
        <f t="shared" si="35"/>
        <v>470</v>
      </c>
      <c r="I107" s="50"/>
      <c r="J107" s="6"/>
      <c r="K107" s="51">
        <f t="shared" si="36"/>
        <v>470</v>
      </c>
      <c r="L107" s="50"/>
      <c r="M107" s="12"/>
      <c r="N107" s="166">
        <f t="shared" si="33"/>
        <v>470</v>
      </c>
      <c r="O107" s="166"/>
      <c r="P107" s="151">
        <f t="shared" si="37"/>
        <v>470</v>
      </c>
    </row>
    <row r="108" spans="1:16" ht="12.75">
      <c r="A108" s="72" t="s">
        <v>85</v>
      </c>
      <c r="B108" s="50">
        <v>152</v>
      </c>
      <c r="C108" s="6"/>
      <c r="D108" s="6"/>
      <c r="E108" s="51">
        <f t="shared" si="34"/>
        <v>152</v>
      </c>
      <c r="F108" s="50"/>
      <c r="G108" s="6"/>
      <c r="H108" s="51">
        <f t="shared" si="35"/>
        <v>152</v>
      </c>
      <c r="I108" s="50"/>
      <c r="J108" s="6"/>
      <c r="K108" s="51">
        <f t="shared" si="36"/>
        <v>152</v>
      </c>
      <c r="L108" s="50"/>
      <c r="M108" s="12"/>
      <c r="N108" s="166">
        <f t="shared" si="33"/>
        <v>152</v>
      </c>
      <c r="O108" s="166"/>
      <c r="P108" s="151">
        <f t="shared" si="37"/>
        <v>152</v>
      </c>
    </row>
    <row r="109" spans="1:16" ht="12.75">
      <c r="A109" s="72" t="s">
        <v>86</v>
      </c>
      <c r="B109" s="50">
        <v>700</v>
      </c>
      <c r="C109" s="6">
        <v>-100</v>
      </c>
      <c r="D109" s="6"/>
      <c r="E109" s="51">
        <f t="shared" si="34"/>
        <v>600</v>
      </c>
      <c r="F109" s="50"/>
      <c r="G109" s="6"/>
      <c r="H109" s="51">
        <f t="shared" si="35"/>
        <v>600</v>
      </c>
      <c r="I109" s="50"/>
      <c r="J109" s="6"/>
      <c r="K109" s="51">
        <f t="shared" si="36"/>
        <v>600</v>
      </c>
      <c r="L109" s="50"/>
      <c r="M109" s="12"/>
      <c r="N109" s="166">
        <f t="shared" si="33"/>
        <v>600</v>
      </c>
      <c r="O109" s="166"/>
      <c r="P109" s="151">
        <f t="shared" si="37"/>
        <v>600</v>
      </c>
    </row>
    <row r="110" spans="1:16" ht="12.75">
      <c r="A110" s="72" t="s">
        <v>87</v>
      </c>
      <c r="B110" s="50">
        <v>50730</v>
      </c>
      <c r="C110" s="6">
        <v>615</v>
      </c>
      <c r="D110" s="6"/>
      <c r="E110" s="51">
        <f t="shared" si="34"/>
        <v>51345</v>
      </c>
      <c r="F110" s="50">
        <v>12800</v>
      </c>
      <c r="G110" s="6"/>
      <c r="H110" s="51">
        <f t="shared" si="35"/>
        <v>64145</v>
      </c>
      <c r="I110" s="50">
        <v>5000</v>
      </c>
      <c r="J110" s="6"/>
      <c r="K110" s="51">
        <f t="shared" si="36"/>
        <v>69145</v>
      </c>
      <c r="L110" s="50"/>
      <c r="M110" s="12"/>
      <c r="N110" s="166">
        <f t="shared" si="33"/>
        <v>69145</v>
      </c>
      <c r="O110" s="166"/>
      <c r="P110" s="151">
        <f t="shared" si="37"/>
        <v>69145</v>
      </c>
    </row>
    <row r="111" spans="1:16" ht="12.75">
      <c r="A111" s="72" t="s">
        <v>231</v>
      </c>
      <c r="B111" s="50"/>
      <c r="C111" s="6"/>
      <c r="D111" s="6"/>
      <c r="E111" s="51">
        <f t="shared" si="34"/>
        <v>0</v>
      </c>
      <c r="F111" s="50">
        <v>100</v>
      </c>
      <c r="G111" s="6"/>
      <c r="H111" s="51">
        <f t="shared" si="35"/>
        <v>100</v>
      </c>
      <c r="I111" s="50"/>
      <c r="J111" s="6"/>
      <c r="K111" s="51">
        <f t="shared" si="36"/>
        <v>100</v>
      </c>
      <c r="L111" s="50"/>
      <c r="M111" s="12"/>
      <c r="N111" s="166">
        <f t="shared" si="33"/>
        <v>100</v>
      </c>
      <c r="O111" s="166"/>
      <c r="P111" s="151">
        <f t="shared" si="37"/>
        <v>100</v>
      </c>
    </row>
    <row r="112" spans="1:16" ht="12.75">
      <c r="A112" s="72" t="s">
        <v>88</v>
      </c>
      <c r="B112" s="50"/>
      <c r="C112" s="6"/>
      <c r="D112" s="6"/>
      <c r="E112" s="51">
        <f t="shared" si="34"/>
        <v>0</v>
      </c>
      <c r="F112" s="50"/>
      <c r="G112" s="6"/>
      <c r="H112" s="51">
        <f t="shared" si="35"/>
        <v>0</v>
      </c>
      <c r="I112" s="50">
        <v>250</v>
      </c>
      <c r="J112" s="6"/>
      <c r="K112" s="51">
        <f t="shared" si="36"/>
        <v>250</v>
      </c>
      <c r="L112" s="50"/>
      <c r="M112" s="12"/>
      <c r="N112" s="166">
        <f t="shared" si="33"/>
        <v>250</v>
      </c>
      <c r="O112" s="166"/>
      <c r="P112" s="151">
        <f t="shared" si="37"/>
        <v>250</v>
      </c>
    </row>
    <row r="113" spans="1:16" ht="12.75">
      <c r="A113" s="78" t="s">
        <v>81</v>
      </c>
      <c r="B113" s="58">
        <f>B115</f>
        <v>0</v>
      </c>
      <c r="C113" s="106" t="e">
        <f>C115+#REF!</f>
        <v>#REF!</v>
      </c>
      <c r="D113" s="107" t="e">
        <f>D115+#REF!</f>
        <v>#REF!</v>
      </c>
      <c r="E113" s="59" t="e">
        <f>E115+#REF!</f>
        <v>#REF!</v>
      </c>
      <c r="F113" s="58" t="e">
        <f>F115+#REF!</f>
        <v>#REF!</v>
      </c>
      <c r="G113" s="108" t="e">
        <f>G115+#REF!</f>
        <v>#REF!</v>
      </c>
      <c r="H113" s="59">
        <f aca="true" t="shared" si="38" ref="H113:N113">H115</f>
        <v>800</v>
      </c>
      <c r="I113" s="107">
        <f t="shared" si="38"/>
        <v>500</v>
      </c>
      <c r="J113" s="10">
        <f t="shared" si="38"/>
        <v>0</v>
      </c>
      <c r="K113" s="59">
        <f t="shared" si="38"/>
        <v>1300</v>
      </c>
      <c r="L113" s="58">
        <f t="shared" si="38"/>
        <v>0</v>
      </c>
      <c r="M113" s="108">
        <f t="shared" si="38"/>
        <v>0</v>
      </c>
      <c r="N113" s="170">
        <f t="shared" si="38"/>
        <v>1300</v>
      </c>
      <c r="O113" s="170">
        <f>O115</f>
        <v>0</v>
      </c>
      <c r="P113" s="153">
        <f>P115</f>
        <v>1300</v>
      </c>
    </row>
    <row r="114" spans="1:16" ht="9.75" customHeight="1">
      <c r="A114" s="74" t="s">
        <v>45</v>
      </c>
      <c r="B114" s="50"/>
      <c r="C114" s="6"/>
      <c r="D114" s="6"/>
      <c r="E114" s="49"/>
      <c r="F114" s="50"/>
      <c r="G114" s="6"/>
      <c r="H114" s="49"/>
      <c r="I114" s="50"/>
      <c r="J114" s="6"/>
      <c r="K114" s="49"/>
      <c r="L114" s="50"/>
      <c r="M114" s="12"/>
      <c r="N114" s="165"/>
      <c r="O114" s="166"/>
      <c r="P114" s="150"/>
    </row>
    <row r="115" spans="1:16" ht="12.75">
      <c r="A115" s="75" t="s">
        <v>111</v>
      </c>
      <c r="B115" s="54"/>
      <c r="C115" s="9"/>
      <c r="D115" s="9"/>
      <c r="E115" s="55">
        <f>B115+C115+D115</f>
        <v>0</v>
      </c>
      <c r="F115" s="54">
        <v>800</v>
      </c>
      <c r="G115" s="9"/>
      <c r="H115" s="55">
        <f>E115+F115+G115</f>
        <v>800</v>
      </c>
      <c r="I115" s="54">
        <v>500</v>
      </c>
      <c r="J115" s="9"/>
      <c r="K115" s="55">
        <f>H115+I115+J115</f>
        <v>1300</v>
      </c>
      <c r="L115" s="54"/>
      <c r="M115" s="135"/>
      <c r="N115" s="172">
        <f>K115+L115+M115</f>
        <v>1300</v>
      </c>
      <c r="O115" s="172"/>
      <c r="P115" s="154">
        <f>N115+O115</f>
        <v>1300</v>
      </c>
    </row>
    <row r="116" spans="1:16" ht="12.75">
      <c r="A116" s="69" t="s">
        <v>89</v>
      </c>
      <c r="B116" s="48">
        <f>B117+B128</f>
        <v>133200</v>
      </c>
      <c r="C116" s="5">
        <f aca="true" t="shared" si="39" ref="C116:N116">C117+C128</f>
        <v>20000</v>
      </c>
      <c r="D116" s="5">
        <f t="shared" si="39"/>
        <v>0</v>
      </c>
      <c r="E116" s="49">
        <f t="shared" si="39"/>
        <v>153200</v>
      </c>
      <c r="F116" s="48">
        <f t="shared" si="39"/>
        <v>344.8</v>
      </c>
      <c r="G116" s="5">
        <f t="shared" si="39"/>
        <v>27292.9</v>
      </c>
      <c r="H116" s="49">
        <f t="shared" si="39"/>
        <v>180837.7</v>
      </c>
      <c r="I116" s="48">
        <f t="shared" si="39"/>
        <v>-352.29999999999995</v>
      </c>
      <c r="J116" s="5">
        <f t="shared" si="39"/>
        <v>0</v>
      </c>
      <c r="K116" s="49">
        <f t="shared" si="39"/>
        <v>180485.40000000002</v>
      </c>
      <c r="L116" s="48">
        <f t="shared" si="39"/>
        <v>-265</v>
      </c>
      <c r="M116" s="130">
        <f t="shared" si="39"/>
        <v>1800</v>
      </c>
      <c r="N116" s="165">
        <f t="shared" si="39"/>
        <v>182020.4</v>
      </c>
      <c r="O116" s="165">
        <f>O117+O128</f>
        <v>0</v>
      </c>
      <c r="P116" s="150">
        <f>P117+P128</f>
        <v>182020.4</v>
      </c>
    </row>
    <row r="117" spans="1:16" ht="12.75">
      <c r="A117" s="78" t="s">
        <v>75</v>
      </c>
      <c r="B117" s="58">
        <f>SUM(B119:B126)</f>
        <v>88200</v>
      </c>
      <c r="C117" s="10">
        <f aca="true" t="shared" si="40" ref="C117:N117">SUM(C119:C126)</f>
        <v>123.6</v>
      </c>
      <c r="D117" s="10">
        <f t="shared" si="40"/>
        <v>433.20000000000005</v>
      </c>
      <c r="E117" s="59">
        <f t="shared" si="40"/>
        <v>88756.8</v>
      </c>
      <c r="F117" s="58">
        <f t="shared" si="40"/>
        <v>543.5</v>
      </c>
      <c r="G117" s="10">
        <f t="shared" si="40"/>
        <v>4871.5</v>
      </c>
      <c r="H117" s="59">
        <f t="shared" si="40"/>
        <v>94171.8</v>
      </c>
      <c r="I117" s="58">
        <f t="shared" si="40"/>
        <v>-872.3</v>
      </c>
      <c r="J117" s="10">
        <f t="shared" si="40"/>
        <v>205.3</v>
      </c>
      <c r="K117" s="59">
        <f>SUM(K119:K126)</f>
        <v>93504.8</v>
      </c>
      <c r="L117" s="58">
        <f t="shared" si="40"/>
        <v>-1690</v>
      </c>
      <c r="M117" s="133">
        <f t="shared" si="40"/>
        <v>-970</v>
      </c>
      <c r="N117" s="170">
        <f t="shared" si="40"/>
        <v>90844.79999999999</v>
      </c>
      <c r="O117" s="170">
        <f>SUM(O119:O126)</f>
        <v>0</v>
      </c>
      <c r="P117" s="153">
        <f>SUM(P119:P126)</f>
        <v>90844.79999999999</v>
      </c>
    </row>
    <row r="118" spans="1:16" ht="9.75" customHeight="1">
      <c r="A118" s="74" t="s">
        <v>45</v>
      </c>
      <c r="B118" s="50"/>
      <c r="C118" s="6"/>
      <c r="D118" s="6"/>
      <c r="E118" s="49"/>
      <c r="F118" s="50"/>
      <c r="G118" s="6"/>
      <c r="H118" s="49"/>
      <c r="I118" s="50"/>
      <c r="J118" s="6"/>
      <c r="K118" s="49"/>
      <c r="L118" s="50"/>
      <c r="M118" s="12"/>
      <c r="N118" s="165"/>
      <c r="O118" s="166"/>
      <c r="P118" s="150"/>
    </row>
    <row r="119" spans="1:16" ht="12.75">
      <c r="A119" s="76" t="s">
        <v>90</v>
      </c>
      <c r="B119" s="62">
        <v>45000</v>
      </c>
      <c r="C119" s="12"/>
      <c r="D119" s="12"/>
      <c r="E119" s="51">
        <f>B119+C119+D119</f>
        <v>45000</v>
      </c>
      <c r="F119" s="62"/>
      <c r="G119" s="12"/>
      <c r="H119" s="51">
        <f>E119+F119+G119</f>
        <v>45000</v>
      </c>
      <c r="I119" s="62"/>
      <c r="J119" s="12"/>
      <c r="K119" s="51">
        <f>H119+I119+J119</f>
        <v>45000</v>
      </c>
      <c r="L119" s="62"/>
      <c r="M119" s="12"/>
      <c r="N119" s="166">
        <f aca="true" t="shared" si="41" ref="N119:N127">K119+L119+M119</f>
        <v>45000</v>
      </c>
      <c r="O119" s="166"/>
      <c r="P119" s="151">
        <f>N119+O119</f>
        <v>45000</v>
      </c>
    </row>
    <row r="120" spans="1:16" ht="12.75">
      <c r="A120" s="72" t="s">
        <v>78</v>
      </c>
      <c r="B120" s="50">
        <v>43200</v>
      </c>
      <c r="C120" s="6"/>
      <c r="D120" s="6">
        <f>-189.5-620</f>
        <v>-809.5</v>
      </c>
      <c r="E120" s="51">
        <f aca="true" t="shared" si="42" ref="E120:E127">B120+C120+D120</f>
        <v>42390.5</v>
      </c>
      <c r="F120" s="50">
        <f>-50-89.3</f>
        <v>-139.3</v>
      </c>
      <c r="G120" s="6">
        <f>-1500-750+1500-854.3-100-100</f>
        <v>-1804.3</v>
      </c>
      <c r="H120" s="51">
        <f aca="true" t="shared" si="43" ref="H120:H127">E120+F120+G120</f>
        <v>40446.899999999994</v>
      </c>
      <c r="I120" s="50">
        <f>-900-600</f>
        <v>-1500</v>
      </c>
      <c r="J120" s="6">
        <v>-2352.4</v>
      </c>
      <c r="K120" s="51">
        <f aca="true" t="shared" si="44" ref="K120:K127">H120+I120+J120</f>
        <v>36594.49999999999</v>
      </c>
      <c r="L120" s="50">
        <f>-1205-280-65-200</f>
        <v>-1750</v>
      </c>
      <c r="M120" s="12">
        <f>-196.7-1290</f>
        <v>-1486.7</v>
      </c>
      <c r="N120" s="166">
        <f t="shared" si="41"/>
        <v>33357.799999999996</v>
      </c>
      <c r="O120" s="166"/>
      <c r="P120" s="151">
        <f aca="true" t="shared" si="45" ref="P120:P127">N120+O120</f>
        <v>33357.799999999996</v>
      </c>
    </row>
    <row r="121" spans="1:16" ht="12.75">
      <c r="A121" s="72" t="s">
        <v>91</v>
      </c>
      <c r="B121" s="50"/>
      <c r="C121" s="6"/>
      <c r="D121" s="6">
        <f>189.5</f>
        <v>189.5</v>
      </c>
      <c r="E121" s="51">
        <f t="shared" si="42"/>
        <v>189.5</v>
      </c>
      <c r="F121" s="50">
        <v>50</v>
      </c>
      <c r="G121" s="6">
        <f>750+854.3</f>
        <v>1604.3</v>
      </c>
      <c r="H121" s="51">
        <f t="shared" si="43"/>
        <v>1843.8</v>
      </c>
      <c r="I121" s="50"/>
      <c r="J121" s="6">
        <v>2352.4</v>
      </c>
      <c r="K121" s="51">
        <f t="shared" si="44"/>
        <v>4196.2</v>
      </c>
      <c r="L121" s="50">
        <v>60</v>
      </c>
      <c r="M121" s="12">
        <f>196.7+320</f>
        <v>516.7</v>
      </c>
      <c r="N121" s="166">
        <f t="shared" si="41"/>
        <v>4772.9</v>
      </c>
      <c r="O121" s="166"/>
      <c r="P121" s="151">
        <f t="shared" si="45"/>
        <v>4772.9</v>
      </c>
    </row>
    <row r="122" spans="1:16" ht="12.75">
      <c r="A122" s="72" t="s">
        <v>92</v>
      </c>
      <c r="B122" s="50"/>
      <c r="C122" s="6"/>
      <c r="D122" s="6"/>
      <c r="E122" s="51">
        <f t="shared" si="42"/>
        <v>0</v>
      </c>
      <c r="F122" s="50"/>
      <c r="G122" s="6"/>
      <c r="H122" s="51">
        <f t="shared" si="43"/>
        <v>0</v>
      </c>
      <c r="I122" s="50"/>
      <c r="J122" s="6"/>
      <c r="K122" s="51">
        <f t="shared" si="44"/>
        <v>0</v>
      </c>
      <c r="L122" s="50"/>
      <c r="M122" s="12"/>
      <c r="N122" s="166">
        <f t="shared" si="41"/>
        <v>0</v>
      </c>
      <c r="O122" s="166"/>
      <c r="P122" s="151">
        <f t="shared" si="45"/>
        <v>0</v>
      </c>
    </row>
    <row r="123" spans="1:16" ht="12.75">
      <c r="A123" s="72" t="s">
        <v>93</v>
      </c>
      <c r="B123" s="50"/>
      <c r="C123" s="6"/>
      <c r="D123" s="6"/>
      <c r="E123" s="51">
        <f t="shared" si="42"/>
        <v>0</v>
      </c>
      <c r="F123" s="50">
        <f>146.4+34.6+163.8</f>
        <v>344.8</v>
      </c>
      <c r="G123" s="6"/>
      <c r="H123" s="51">
        <f t="shared" si="43"/>
        <v>344.8</v>
      </c>
      <c r="I123" s="50">
        <f>43.4+204.3</f>
        <v>247.70000000000002</v>
      </c>
      <c r="J123" s="6"/>
      <c r="K123" s="51">
        <f t="shared" si="44"/>
        <v>592.5</v>
      </c>
      <c r="L123" s="50"/>
      <c r="M123" s="12"/>
      <c r="N123" s="166">
        <f t="shared" si="41"/>
        <v>592.5</v>
      </c>
      <c r="O123" s="166"/>
      <c r="P123" s="151">
        <f t="shared" si="45"/>
        <v>592.5</v>
      </c>
    </row>
    <row r="124" spans="1:16" ht="12.75" hidden="1">
      <c r="A124" s="72" t="s">
        <v>94</v>
      </c>
      <c r="B124" s="50"/>
      <c r="C124" s="6"/>
      <c r="D124" s="6"/>
      <c r="E124" s="51">
        <f t="shared" si="42"/>
        <v>0</v>
      </c>
      <c r="F124" s="50"/>
      <c r="G124" s="6"/>
      <c r="H124" s="51">
        <f t="shared" si="43"/>
        <v>0</v>
      </c>
      <c r="I124" s="50"/>
      <c r="J124" s="6"/>
      <c r="K124" s="51">
        <f t="shared" si="44"/>
        <v>0</v>
      </c>
      <c r="L124" s="50"/>
      <c r="M124" s="12"/>
      <c r="N124" s="166">
        <f t="shared" si="41"/>
        <v>0</v>
      </c>
      <c r="O124" s="166"/>
      <c r="P124" s="151">
        <f t="shared" si="45"/>
        <v>0</v>
      </c>
    </row>
    <row r="125" spans="1:16" ht="12.75">
      <c r="A125" s="72" t="s">
        <v>95</v>
      </c>
      <c r="B125" s="50"/>
      <c r="C125" s="6"/>
      <c r="D125" s="6"/>
      <c r="E125" s="51">
        <f t="shared" si="42"/>
        <v>0</v>
      </c>
      <c r="F125" s="50"/>
      <c r="G125" s="6">
        <v>4835</v>
      </c>
      <c r="H125" s="51">
        <f t="shared" si="43"/>
        <v>4835</v>
      </c>
      <c r="I125" s="50">
        <v>380</v>
      </c>
      <c r="J125" s="6">
        <v>-153</v>
      </c>
      <c r="K125" s="51">
        <f t="shared" si="44"/>
        <v>5062</v>
      </c>
      <c r="L125" s="50"/>
      <c r="M125" s="12"/>
      <c r="N125" s="166">
        <f t="shared" si="41"/>
        <v>5062</v>
      </c>
      <c r="O125" s="166"/>
      <c r="P125" s="151">
        <f t="shared" si="45"/>
        <v>5062</v>
      </c>
    </row>
    <row r="126" spans="1:16" ht="12.75">
      <c r="A126" s="71" t="s">
        <v>96</v>
      </c>
      <c r="B126" s="50"/>
      <c r="C126" s="6">
        <v>123.6</v>
      </c>
      <c r="D126" s="6">
        <v>1053.2</v>
      </c>
      <c r="E126" s="51">
        <f t="shared" si="42"/>
        <v>1176.8</v>
      </c>
      <c r="F126" s="50">
        <v>288</v>
      </c>
      <c r="G126" s="6">
        <v>236.5</v>
      </c>
      <c r="H126" s="51">
        <f t="shared" si="43"/>
        <v>1701.3</v>
      </c>
      <c r="I126" s="50"/>
      <c r="J126" s="6">
        <f>121.5+236.8</f>
        <v>358.3</v>
      </c>
      <c r="K126" s="51">
        <f t="shared" si="44"/>
        <v>2059.6</v>
      </c>
      <c r="L126" s="50"/>
      <c r="M126" s="12"/>
      <c r="N126" s="166">
        <f t="shared" si="41"/>
        <v>2059.6</v>
      </c>
      <c r="O126" s="166"/>
      <c r="P126" s="151">
        <f t="shared" si="45"/>
        <v>2059.6</v>
      </c>
    </row>
    <row r="127" spans="1:16" ht="12.75">
      <c r="A127" s="71" t="s">
        <v>97</v>
      </c>
      <c r="B127" s="50"/>
      <c r="C127" s="6">
        <v>123.6</v>
      </c>
      <c r="D127" s="6">
        <v>1053.2</v>
      </c>
      <c r="E127" s="51">
        <f t="shared" si="42"/>
        <v>1176.8</v>
      </c>
      <c r="F127" s="50">
        <v>288</v>
      </c>
      <c r="G127" s="6">
        <v>236.5</v>
      </c>
      <c r="H127" s="51">
        <f t="shared" si="43"/>
        <v>1701.3</v>
      </c>
      <c r="I127" s="50"/>
      <c r="J127" s="6">
        <f>121.5+236.8</f>
        <v>358.3</v>
      </c>
      <c r="K127" s="51">
        <f t="shared" si="44"/>
        <v>2059.6</v>
      </c>
      <c r="L127" s="50"/>
      <c r="M127" s="12"/>
      <c r="N127" s="166">
        <f t="shared" si="41"/>
        <v>2059.6</v>
      </c>
      <c r="O127" s="166"/>
      <c r="P127" s="151">
        <f t="shared" si="45"/>
        <v>2059.6</v>
      </c>
    </row>
    <row r="128" spans="1:16" ht="12.75">
      <c r="A128" s="79" t="s">
        <v>81</v>
      </c>
      <c r="B128" s="60">
        <f aca="true" t="shared" si="46" ref="B128:P128">SUM(B130:B133)</f>
        <v>45000</v>
      </c>
      <c r="C128" s="11">
        <f t="shared" si="46"/>
        <v>19876.4</v>
      </c>
      <c r="D128" s="11">
        <f t="shared" si="46"/>
        <v>-433.20000000000005</v>
      </c>
      <c r="E128" s="61">
        <f t="shared" si="46"/>
        <v>64443.200000000004</v>
      </c>
      <c r="F128" s="60">
        <f t="shared" si="46"/>
        <v>-198.7</v>
      </c>
      <c r="G128" s="11">
        <f t="shared" si="46"/>
        <v>22421.4</v>
      </c>
      <c r="H128" s="61">
        <f t="shared" si="46"/>
        <v>86665.90000000001</v>
      </c>
      <c r="I128" s="60">
        <f t="shared" si="46"/>
        <v>520</v>
      </c>
      <c r="J128" s="11">
        <f t="shared" si="46"/>
        <v>-205.3</v>
      </c>
      <c r="K128" s="61">
        <f t="shared" si="46"/>
        <v>86980.6</v>
      </c>
      <c r="L128" s="60">
        <f t="shared" si="46"/>
        <v>1425</v>
      </c>
      <c r="M128" s="134">
        <f t="shared" si="46"/>
        <v>2770</v>
      </c>
      <c r="N128" s="171">
        <f t="shared" si="46"/>
        <v>91175.6</v>
      </c>
      <c r="O128" s="171">
        <f t="shared" si="46"/>
        <v>0</v>
      </c>
      <c r="P128" s="103">
        <f t="shared" si="46"/>
        <v>91175.6</v>
      </c>
    </row>
    <row r="129" spans="1:16" ht="9.75" customHeight="1">
      <c r="A129" s="70" t="s">
        <v>45</v>
      </c>
      <c r="B129" s="52"/>
      <c r="C129" s="7"/>
      <c r="D129" s="7"/>
      <c r="E129" s="53"/>
      <c r="F129" s="52"/>
      <c r="G129" s="7"/>
      <c r="H129" s="53"/>
      <c r="I129" s="52"/>
      <c r="J129" s="7"/>
      <c r="K129" s="53"/>
      <c r="L129" s="52"/>
      <c r="M129" s="131"/>
      <c r="N129" s="167"/>
      <c r="O129" s="167"/>
      <c r="P129" s="65"/>
    </row>
    <row r="130" spans="1:16" ht="12.75">
      <c r="A130" s="71" t="s">
        <v>98</v>
      </c>
      <c r="B130" s="50"/>
      <c r="C130" s="6">
        <v>17750</v>
      </c>
      <c r="D130" s="6">
        <v>620</v>
      </c>
      <c r="E130" s="51">
        <f>B130+C130+D130</f>
        <v>18370</v>
      </c>
      <c r="F130" s="50"/>
      <c r="G130" s="6">
        <f>100</f>
        <v>100</v>
      </c>
      <c r="H130" s="51">
        <f>E130+F130+G130</f>
        <v>18470</v>
      </c>
      <c r="I130" s="50"/>
      <c r="J130" s="6"/>
      <c r="K130" s="51">
        <f>H130+I130+J130</f>
        <v>18470</v>
      </c>
      <c r="L130" s="50">
        <v>220</v>
      </c>
      <c r="M130" s="12">
        <f>1290-320</f>
        <v>970</v>
      </c>
      <c r="N130" s="166">
        <f>K130+L130+M130</f>
        <v>19660</v>
      </c>
      <c r="O130" s="166"/>
      <c r="P130" s="151">
        <f>N130+O130</f>
        <v>19660</v>
      </c>
    </row>
    <row r="131" spans="1:16" ht="12.75">
      <c r="A131" s="71" t="s">
        <v>82</v>
      </c>
      <c r="B131" s="50"/>
      <c r="C131" s="6">
        <v>2250</v>
      </c>
      <c r="D131" s="6"/>
      <c r="E131" s="51">
        <f>B131+C131+D131</f>
        <v>2250</v>
      </c>
      <c r="F131" s="50">
        <v>89.3</v>
      </c>
      <c r="G131" s="6">
        <f>100+1500</f>
        <v>1600</v>
      </c>
      <c r="H131" s="51">
        <f>E131+F131+G131</f>
        <v>3939.3</v>
      </c>
      <c r="I131" s="50">
        <v>900</v>
      </c>
      <c r="J131" s="6"/>
      <c r="K131" s="51">
        <f>H131+I131+J131</f>
        <v>4839.3</v>
      </c>
      <c r="L131" s="50">
        <v>1205</v>
      </c>
      <c r="M131" s="12">
        <v>1800</v>
      </c>
      <c r="N131" s="166">
        <f>K131+L131+M131</f>
        <v>7844.3</v>
      </c>
      <c r="O131" s="166"/>
      <c r="P131" s="151">
        <f>N131+O131</f>
        <v>7844.3</v>
      </c>
    </row>
    <row r="132" spans="1:16" ht="12.75">
      <c r="A132" s="72" t="s">
        <v>95</v>
      </c>
      <c r="B132" s="50"/>
      <c r="C132" s="6"/>
      <c r="D132" s="6"/>
      <c r="E132" s="51">
        <f>B132+C132+D132</f>
        <v>0</v>
      </c>
      <c r="F132" s="50"/>
      <c r="G132" s="6">
        <v>4165</v>
      </c>
      <c r="H132" s="51">
        <f>E132+F132+G132</f>
        <v>4165</v>
      </c>
      <c r="I132" s="50">
        <v>-380</v>
      </c>
      <c r="J132" s="6">
        <v>153</v>
      </c>
      <c r="K132" s="51">
        <f>H132+I132+J132</f>
        <v>3938</v>
      </c>
      <c r="L132" s="50"/>
      <c r="M132" s="12"/>
      <c r="N132" s="166">
        <f>K132+L132+M132</f>
        <v>3938</v>
      </c>
      <c r="O132" s="166"/>
      <c r="P132" s="151">
        <f>N132+O132</f>
        <v>3938</v>
      </c>
    </row>
    <row r="133" spans="1:16" ht="12.75">
      <c r="A133" s="71" t="s">
        <v>96</v>
      </c>
      <c r="B133" s="50">
        <v>45000</v>
      </c>
      <c r="C133" s="6">
        <v>-123.6</v>
      </c>
      <c r="D133" s="6">
        <v>-1053.2</v>
      </c>
      <c r="E133" s="51">
        <f>B133+C133+D133</f>
        <v>43823.200000000004</v>
      </c>
      <c r="F133" s="50">
        <v>-288</v>
      </c>
      <c r="G133" s="6">
        <f>-236.5+16792.9</f>
        <v>16556.4</v>
      </c>
      <c r="H133" s="51">
        <f>E133+F133+G133</f>
        <v>60091.600000000006</v>
      </c>
      <c r="I133" s="50"/>
      <c r="J133" s="6">
        <f>-121.5-236.8</f>
        <v>-358.3</v>
      </c>
      <c r="K133" s="51">
        <f>H133+I133+J133</f>
        <v>59733.3</v>
      </c>
      <c r="L133" s="50"/>
      <c r="M133" s="12"/>
      <c r="N133" s="166">
        <f>K133+L133+M133</f>
        <v>59733.3</v>
      </c>
      <c r="O133" s="166"/>
      <c r="P133" s="151">
        <f>N133+O133</f>
        <v>59733.3</v>
      </c>
    </row>
    <row r="134" spans="1:16" ht="12.75">
      <c r="A134" s="80" t="s">
        <v>99</v>
      </c>
      <c r="B134" s="54"/>
      <c r="C134" s="9"/>
      <c r="D134" s="9"/>
      <c r="E134" s="55">
        <f>B134+C134+D134</f>
        <v>0</v>
      </c>
      <c r="F134" s="54"/>
      <c r="G134" s="9">
        <f>15933+1500</f>
        <v>17433</v>
      </c>
      <c r="H134" s="55">
        <f>E134+F134+G134</f>
        <v>17433</v>
      </c>
      <c r="I134" s="54"/>
      <c r="J134" s="9"/>
      <c r="K134" s="55">
        <f>H134+I134+J134</f>
        <v>17433</v>
      </c>
      <c r="L134" s="120">
        <v>7748</v>
      </c>
      <c r="M134" s="135"/>
      <c r="N134" s="172">
        <f>K134+L134+M134</f>
        <v>25181</v>
      </c>
      <c r="O134" s="173"/>
      <c r="P134" s="154">
        <f>N134+O134</f>
        <v>25181</v>
      </c>
    </row>
    <row r="135" spans="1:16" ht="12.75">
      <c r="A135" s="73" t="s">
        <v>100</v>
      </c>
      <c r="B135" s="52">
        <f aca="true" t="shared" si="47" ref="B135:N135">B136+B142</f>
        <v>5670</v>
      </c>
      <c r="C135" s="7">
        <f t="shared" si="47"/>
        <v>0</v>
      </c>
      <c r="D135" s="7">
        <f t="shared" si="47"/>
        <v>0</v>
      </c>
      <c r="E135" s="53">
        <f t="shared" si="47"/>
        <v>5670</v>
      </c>
      <c r="F135" s="52">
        <f t="shared" si="47"/>
        <v>15101</v>
      </c>
      <c r="G135" s="7">
        <f t="shared" si="47"/>
        <v>0</v>
      </c>
      <c r="H135" s="53">
        <f t="shared" si="47"/>
        <v>20771</v>
      </c>
      <c r="I135" s="52">
        <f t="shared" si="47"/>
        <v>0</v>
      </c>
      <c r="J135" s="7">
        <f t="shared" si="47"/>
        <v>0</v>
      </c>
      <c r="K135" s="53">
        <f t="shared" si="47"/>
        <v>20771</v>
      </c>
      <c r="L135" s="52">
        <f t="shared" si="47"/>
        <v>0</v>
      </c>
      <c r="M135" s="131">
        <f t="shared" si="47"/>
        <v>0</v>
      </c>
      <c r="N135" s="167">
        <f t="shared" si="47"/>
        <v>20771</v>
      </c>
      <c r="O135" s="167">
        <f>O136+O142</f>
        <v>0</v>
      </c>
      <c r="P135" s="65">
        <f>P136+P142</f>
        <v>20771</v>
      </c>
    </row>
    <row r="136" spans="1:16" ht="12.75">
      <c r="A136" s="78" t="s">
        <v>75</v>
      </c>
      <c r="B136" s="58">
        <f>SUM(B138:B141)</f>
        <v>5670</v>
      </c>
      <c r="C136" s="10">
        <f aca="true" t="shared" si="48" ref="C136:N136">SUM(C138:C141)</f>
        <v>0</v>
      </c>
      <c r="D136" s="10">
        <f t="shared" si="48"/>
        <v>0</v>
      </c>
      <c r="E136" s="59">
        <f t="shared" si="48"/>
        <v>5670</v>
      </c>
      <c r="F136" s="58">
        <f t="shared" si="48"/>
        <v>9598</v>
      </c>
      <c r="G136" s="10">
        <f t="shared" si="48"/>
        <v>0</v>
      </c>
      <c r="H136" s="59">
        <f t="shared" si="48"/>
        <v>15268</v>
      </c>
      <c r="I136" s="58">
        <f t="shared" si="48"/>
        <v>0</v>
      </c>
      <c r="J136" s="10">
        <f t="shared" si="48"/>
        <v>0</v>
      </c>
      <c r="K136" s="59">
        <f t="shared" si="48"/>
        <v>15268</v>
      </c>
      <c r="L136" s="58">
        <f t="shared" si="48"/>
        <v>0</v>
      </c>
      <c r="M136" s="133">
        <f t="shared" si="48"/>
        <v>0</v>
      </c>
      <c r="N136" s="170">
        <f t="shared" si="48"/>
        <v>15268</v>
      </c>
      <c r="O136" s="170">
        <f>SUM(O138:O141)</f>
        <v>0</v>
      </c>
      <c r="P136" s="153">
        <f>SUM(P138:P141)</f>
        <v>15268</v>
      </c>
    </row>
    <row r="137" spans="1:16" ht="9.75" customHeight="1">
      <c r="A137" s="74" t="s">
        <v>45</v>
      </c>
      <c r="B137" s="50"/>
      <c r="C137" s="6"/>
      <c r="D137" s="6"/>
      <c r="E137" s="49"/>
      <c r="F137" s="50"/>
      <c r="G137" s="6"/>
      <c r="H137" s="49"/>
      <c r="I137" s="50"/>
      <c r="J137" s="6"/>
      <c r="K137" s="49"/>
      <c r="L137" s="50"/>
      <c r="M137" s="12"/>
      <c r="N137" s="165"/>
      <c r="O137" s="166"/>
      <c r="P137" s="150"/>
    </row>
    <row r="138" spans="1:16" ht="12.75">
      <c r="A138" s="72" t="s">
        <v>78</v>
      </c>
      <c r="B138" s="50">
        <v>5670</v>
      </c>
      <c r="C138" s="6">
        <f>-1900</f>
        <v>-1900</v>
      </c>
      <c r="D138" s="6"/>
      <c r="E138" s="51">
        <f>SUM(B138:D138)</f>
        <v>3770</v>
      </c>
      <c r="F138" s="50"/>
      <c r="G138" s="6"/>
      <c r="H138" s="51">
        <f>SUM(E138:G138)</f>
        <v>3770</v>
      </c>
      <c r="I138" s="50"/>
      <c r="J138" s="6"/>
      <c r="K138" s="51">
        <f>H138+I138+J138</f>
        <v>3770</v>
      </c>
      <c r="L138" s="50"/>
      <c r="M138" s="12"/>
      <c r="N138" s="166">
        <f>K138+L138+M138</f>
        <v>3770</v>
      </c>
      <c r="O138" s="166"/>
      <c r="P138" s="151">
        <f>N138+O138</f>
        <v>3770</v>
      </c>
    </row>
    <row r="139" spans="1:16" ht="12.75">
      <c r="A139" s="76" t="s">
        <v>101</v>
      </c>
      <c r="B139" s="50"/>
      <c r="C139" s="6"/>
      <c r="D139" s="6"/>
      <c r="E139" s="51">
        <f>SUM(B139:D139)</f>
        <v>0</v>
      </c>
      <c r="F139" s="50">
        <f>1413+158</f>
        <v>1571</v>
      </c>
      <c r="G139" s="6"/>
      <c r="H139" s="51">
        <f>SUM(E139:G139)</f>
        <v>1571</v>
      </c>
      <c r="I139" s="50"/>
      <c r="J139" s="6"/>
      <c r="K139" s="51">
        <f>H139+I139+J139</f>
        <v>1571</v>
      </c>
      <c r="L139" s="50"/>
      <c r="M139" s="12"/>
      <c r="N139" s="166">
        <f>K139+L139+M139</f>
        <v>1571</v>
      </c>
      <c r="O139" s="166"/>
      <c r="P139" s="151">
        <f>N139+O139</f>
        <v>1571</v>
      </c>
    </row>
    <row r="140" spans="1:16" ht="12.75">
      <c r="A140" s="76" t="s">
        <v>91</v>
      </c>
      <c r="B140" s="50"/>
      <c r="C140" s="6">
        <v>1900</v>
      </c>
      <c r="D140" s="6"/>
      <c r="E140" s="51">
        <f>SUM(B140:D140)</f>
        <v>1900</v>
      </c>
      <c r="F140" s="50"/>
      <c r="G140" s="6"/>
      <c r="H140" s="51">
        <f>SUM(E140:G140)</f>
        <v>1900</v>
      </c>
      <c r="I140" s="50"/>
      <c r="J140" s="6"/>
      <c r="K140" s="51">
        <f>H140+I140+J140</f>
        <v>1900</v>
      </c>
      <c r="L140" s="50"/>
      <c r="M140" s="12"/>
      <c r="N140" s="166">
        <f>K140+L140+M140</f>
        <v>1900</v>
      </c>
      <c r="O140" s="166"/>
      <c r="P140" s="151">
        <f>N140+O140</f>
        <v>1900</v>
      </c>
    </row>
    <row r="141" spans="1:16" ht="12.75">
      <c r="A141" s="72" t="s">
        <v>95</v>
      </c>
      <c r="B141" s="50"/>
      <c r="C141" s="6"/>
      <c r="D141" s="6"/>
      <c r="E141" s="51">
        <f>SUM(B141:D141)</f>
        <v>0</v>
      </c>
      <c r="F141" s="50">
        <v>8027</v>
      </c>
      <c r="G141" s="6"/>
      <c r="H141" s="51">
        <f>SUM(E141:G141)</f>
        <v>8027</v>
      </c>
      <c r="I141" s="50"/>
      <c r="J141" s="6"/>
      <c r="K141" s="51">
        <f>H141+I141+J141</f>
        <v>8027</v>
      </c>
      <c r="L141" s="50"/>
      <c r="M141" s="12"/>
      <c r="N141" s="166">
        <f>K141+L141+M141</f>
        <v>8027</v>
      </c>
      <c r="O141" s="166"/>
      <c r="P141" s="151">
        <f>N141+O141</f>
        <v>8027</v>
      </c>
    </row>
    <row r="142" spans="1:16" ht="12.75">
      <c r="A142" s="78" t="s">
        <v>81</v>
      </c>
      <c r="B142" s="58">
        <f>B144</f>
        <v>0</v>
      </c>
      <c r="C142" s="10">
        <f aca="true" t="shared" si="49" ref="C142:N142">C144</f>
        <v>0</v>
      </c>
      <c r="D142" s="10">
        <f t="shared" si="49"/>
        <v>0</v>
      </c>
      <c r="E142" s="59">
        <f t="shared" si="49"/>
        <v>0</v>
      </c>
      <c r="F142" s="58">
        <f t="shared" si="49"/>
        <v>5503</v>
      </c>
      <c r="G142" s="10">
        <f t="shared" si="49"/>
        <v>0</v>
      </c>
      <c r="H142" s="59">
        <f t="shared" si="49"/>
        <v>5503</v>
      </c>
      <c r="I142" s="58">
        <f t="shared" si="49"/>
        <v>0</v>
      </c>
      <c r="J142" s="10">
        <f t="shared" si="49"/>
        <v>0</v>
      </c>
      <c r="K142" s="59">
        <f t="shared" si="49"/>
        <v>5503</v>
      </c>
      <c r="L142" s="58">
        <f t="shared" si="49"/>
        <v>0</v>
      </c>
      <c r="M142" s="133">
        <f t="shared" si="49"/>
        <v>0</v>
      </c>
      <c r="N142" s="170">
        <f t="shared" si="49"/>
        <v>5503</v>
      </c>
      <c r="O142" s="170">
        <f>O144</f>
        <v>0</v>
      </c>
      <c r="P142" s="153">
        <f>P144</f>
        <v>5503</v>
      </c>
    </row>
    <row r="143" spans="1:16" ht="9.75" customHeight="1">
      <c r="A143" s="74" t="s">
        <v>45</v>
      </c>
      <c r="B143" s="50"/>
      <c r="C143" s="6"/>
      <c r="D143" s="6"/>
      <c r="E143" s="49"/>
      <c r="F143" s="50"/>
      <c r="G143" s="6"/>
      <c r="H143" s="49"/>
      <c r="I143" s="50"/>
      <c r="J143" s="6"/>
      <c r="K143" s="49"/>
      <c r="L143" s="50"/>
      <c r="M143" s="12"/>
      <c r="N143" s="165"/>
      <c r="O143" s="166"/>
      <c r="P143" s="150"/>
    </row>
    <row r="144" spans="1:16" ht="12.75">
      <c r="A144" s="75" t="s">
        <v>95</v>
      </c>
      <c r="B144" s="54"/>
      <c r="C144" s="9"/>
      <c r="D144" s="9"/>
      <c r="E144" s="55">
        <f>SUM(B144:D144)</f>
        <v>0</v>
      </c>
      <c r="F144" s="54">
        <v>5503</v>
      </c>
      <c r="G144" s="9"/>
      <c r="H144" s="55">
        <f>SUM(E144:G144)</f>
        <v>5503</v>
      </c>
      <c r="I144" s="54"/>
      <c r="J144" s="9"/>
      <c r="K144" s="55">
        <f>H144+I144+J144</f>
        <v>5503</v>
      </c>
      <c r="L144" s="54"/>
      <c r="M144" s="135"/>
      <c r="N144" s="172">
        <f>K144+L144+M144</f>
        <v>5503</v>
      </c>
      <c r="O144" s="172"/>
      <c r="P144" s="154">
        <f>N144+O144</f>
        <v>5503</v>
      </c>
    </row>
    <row r="145" spans="1:16" ht="12.75">
      <c r="A145" s="69" t="s">
        <v>102</v>
      </c>
      <c r="B145" s="48">
        <f aca="true" t="shared" si="50" ref="B145:P145">B146+B159</f>
        <v>1007986</v>
      </c>
      <c r="C145" s="5">
        <f t="shared" si="50"/>
        <v>57662</v>
      </c>
      <c r="D145" s="5">
        <f t="shared" si="50"/>
        <v>0</v>
      </c>
      <c r="E145" s="49">
        <f t="shared" si="50"/>
        <v>1065648</v>
      </c>
      <c r="F145" s="48">
        <f t="shared" si="50"/>
        <v>55865.5</v>
      </c>
      <c r="G145" s="5">
        <f t="shared" si="50"/>
        <v>110768</v>
      </c>
      <c r="H145" s="49">
        <f t="shared" si="50"/>
        <v>1232281.5</v>
      </c>
      <c r="I145" s="48">
        <f t="shared" si="50"/>
        <v>235838.4</v>
      </c>
      <c r="J145" s="5">
        <f t="shared" si="50"/>
        <v>33718.7</v>
      </c>
      <c r="K145" s="49">
        <f t="shared" si="50"/>
        <v>1501838.5999999999</v>
      </c>
      <c r="L145" s="48">
        <f t="shared" si="50"/>
        <v>515821.9</v>
      </c>
      <c r="M145" s="130">
        <f t="shared" si="50"/>
        <v>33194.6</v>
      </c>
      <c r="N145" s="165">
        <f t="shared" si="50"/>
        <v>2050855.1</v>
      </c>
      <c r="O145" s="165">
        <f t="shared" si="50"/>
        <v>28781.09999999999</v>
      </c>
      <c r="P145" s="150">
        <f t="shared" si="50"/>
        <v>2079636.2000000002</v>
      </c>
    </row>
    <row r="146" spans="1:16" ht="12.75">
      <c r="A146" s="78" t="s">
        <v>75</v>
      </c>
      <c r="B146" s="58">
        <f>SUM(B149:B158)</f>
        <v>996986</v>
      </c>
      <c r="C146" s="10">
        <f aca="true" t="shared" si="51" ref="C146:N146">SUM(C149:C158)</f>
        <v>47707</v>
      </c>
      <c r="D146" s="10">
        <f t="shared" si="51"/>
        <v>0</v>
      </c>
      <c r="E146" s="59">
        <f t="shared" si="51"/>
        <v>1044693</v>
      </c>
      <c r="F146" s="58">
        <f t="shared" si="51"/>
        <v>2155.4</v>
      </c>
      <c r="G146" s="10">
        <f t="shared" si="51"/>
        <v>1666</v>
      </c>
      <c r="H146" s="59">
        <f t="shared" si="51"/>
        <v>1048514.3999999999</v>
      </c>
      <c r="I146" s="58">
        <f t="shared" si="51"/>
        <v>60000</v>
      </c>
      <c r="J146" s="10">
        <f t="shared" si="51"/>
        <v>33718.7</v>
      </c>
      <c r="K146" s="59">
        <f t="shared" si="51"/>
        <v>1142233.0999999999</v>
      </c>
      <c r="L146" s="58">
        <f t="shared" si="51"/>
        <v>304456.2</v>
      </c>
      <c r="M146" s="133">
        <f t="shared" si="51"/>
        <v>0</v>
      </c>
      <c r="N146" s="170">
        <f t="shared" si="51"/>
        <v>1446689.3</v>
      </c>
      <c r="O146" s="170">
        <f>SUM(O149:O158)</f>
        <v>-29560</v>
      </c>
      <c r="P146" s="153">
        <f>SUM(P149:P158)</f>
        <v>1417129.3</v>
      </c>
    </row>
    <row r="147" spans="1:16" ht="9.75" customHeight="1">
      <c r="A147" s="74" t="s">
        <v>45</v>
      </c>
      <c r="B147" s="50"/>
      <c r="C147" s="6"/>
      <c r="D147" s="6"/>
      <c r="E147" s="49"/>
      <c r="F147" s="50"/>
      <c r="G147" s="6"/>
      <c r="H147" s="49"/>
      <c r="I147" s="50"/>
      <c r="J147" s="6"/>
      <c r="K147" s="49"/>
      <c r="L147" s="50"/>
      <c r="M147" s="12"/>
      <c r="N147" s="165"/>
      <c r="O147" s="166"/>
      <c r="P147" s="150"/>
    </row>
    <row r="148" spans="1:16" ht="12.75">
      <c r="A148" s="76" t="s">
        <v>103</v>
      </c>
      <c r="B148" s="50">
        <f aca="true" t="shared" si="52" ref="B148:N148">B149+B150</f>
        <v>570800</v>
      </c>
      <c r="C148" s="6">
        <f t="shared" si="52"/>
        <v>-8000</v>
      </c>
      <c r="D148" s="6">
        <f t="shared" si="52"/>
        <v>0</v>
      </c>
      <c r="E148" s="51">
        <f t="shared" si="52"/>
        <v>562800</v>
      </c>
      <c r="F148" s="50">
        <f t="shared" si="52"/>
        <v>-413.29999999999995</v>
      </c>
      <c r="G148" s="6">
        <f t="shared" si="52"/>
        <v>410</v>
      </c>
      <c r="H148" s="51">
        <f t="shared" si="52"/>
        <v>562796.7</v>
      </c>
      <c r="I148" s="50">
        <f t="shared" si="52"/>
        <v>30000</v>
      </c>
      <c r="J148" s="6">
        <f t="shared" si="52"/>
        <v>0</v>
      </c>
      <c r="K148" s="51">
        <f t="shared" si="52"/>
        <v>592796.7</v>
      </c>
      <c r="L148" s="50">
        <f t="shared" si="52"/>
        <v>2352.9</v>
      </c>
      <c r="M148" s="12">
        <f t="shared" si="52"/>
        <v>0</v>
      </c>
      <c r="N148" s="166">
        <f t="shared" si="52"/>
        <v>595149.6000000001</v>
      </c>
      <c r="O148" s="166">
        <f>O149+O150</f>
        <v>-5500</v>
      </c>
      <c r="P148" s="151">
        <f>P149+P150</f>
        <v>589649.6000000001</v>
      </c>
    </row>
    <row r="149" spans="1:16" ht="12.75">
      <c r="A149" s="76" t="s">
        <v>104</v>
      </c>
      <c r="B149" s="63">
        <v>243300</v>
      </c>
      <c r="C149" s="13">
        <v>-8000</v>
      </c>
      <c r="D149" s="13"/>
      <c r="E149" s="64">
        <f aca="true" t="shared" si="53" ref="E149:E158">B149+C149+D149</f>
        <v>235300</v>
      </c>
      <c r="F149" s="63">
        <f>-2400+1986.7</f>
        <v>-413.29999999999995</v>
      </c>
      <c r="G149" s="13"/>
      <c r="H149" s="64">
        <f aca="true" t="shared" si="54" ref="H149:H158">E149+F149+G149</f>
        <v>234886.7</v>
      </c>
      <c r="I149" s="50">
        <v>30000</v>
      </c>
      <c r="J149" s="6"/>
      <c r="K149" s="64">
        <f aca="true" t="shared" si="55" ref="K149:K158">H149+I149+J149</f>
        <v>264886.7</v>
      </c>
      <c r="L149" s="50">
        <f>500+1852.9</f>
        <v>2352.9</v>
      </c>
      <c r="M149" s="12"/>
      <c r="N149" s="174">
        <f aca="true" t="shared" si="56" ref="N149:N158">K149+L149+M149</f>
        <v>267239.60000000003</v>
      </c>
      <c r="O149" s="166">
        <f>-200-5500</f>
        <v>-5700</v>
      </c>
      <c r="P149" s="155">
        <f>N149+O149</f>
        <v>261539.60000000003</v>
      </c>
    </row>
    <row r="150" spans="1:16" ht="12.75">
      <c r="A150" s="72" t="s">
        <v>105</v>
      </c>
      <c r="B150" s="63">
        <v>327500</v>
      </c>
      <c r="C150" s="13"/>
      <c r="D150" s="13"/>
      <c r="E150" s="64">
        <f t="shared" si="53"/>
        <v>327500</v>
      </c>
      <c r="F150" s="63"/>
      <c r="G150" s="13">
        <v>410</v>
      </c>
      <c r="H150" s="64">
        <f t="shared" si="54"/>
        <v>327910</v>
      </c>
      <c r="I150" s="50"/>
      <c r="J150" s="6"/>
      <c r="K150" s="64">
        <f t="shared" si="55"/>
        <v>327910</v>
      </c>
      <c r="L150" s="50"/>
      <c r="M150" s="12"/>
      <c r="N150" s="174">
        <f t="shared" si="56"/>
        <v>327910</v>
      </c>
      <c r="O150" s="166">
        <v>200</v>
      </c>
      <c r="P150" s="155">
        <f aca="true" t="shared" si="57" ref="P150:P158">N150+O150</f>
        <v>328110</v>
      </c>
    </row>
    <row r="151" spans="1:16" ht="12.75">
      <c r="A151" s="76" t="s">
        <v>106</v>
      </c>
      <c r="B151" s="62">
        <v>8000</v>
      </c>
      <c r="C151" s="12">
        <v>3707</v>
      </c>
      <c r="D151" s="12"/>
      <c r="E151" s="64">
        <f t="shared" si="53"/>
        <v>11707</v>
      </c>
      <c r="F151" s="62"/>
      <c r="G151" s="12"/>
      <c r="H151" s="64">
        <f t="shared" si="54"/>
        <v>11707</v>
      </c>
      <c r="I151" s="62"/>
      <c r="J151" s="12"/>
      <c r="K151" s="64">
        <f t="shared" si="55"/>
        <v>11707</v>
      </c>
      <c r="L151" s="62"/>
      <c r="M151" s="12"/>
      <c r="N151" s="174">
        <f t="shared" si="56"/>
        <v>11707</v>
      </c>
      <c r="O151" s="166"/>
      <c r="P151" s="155">
        <f t="shared" si="57"/>
        <v>11707</v>
      </c>
    </row>
    <row r="152" spans="1:16" ht="12.75">
      <c r="A152" s="76" t="s">
        <v>91</v>
      </c>
      <c r="B152" s="62"/>
      <c r="C152" s="12"/>
      <c r="D152" s="12"/>
      <c r="E152" s="64"/>
      <c r="F152" s="62"/>
      <c r="G152" s="12"/>
      <c r="H152" s="64">
        <f t="shared" si="54"/>
        <v>0</v>
      </c>
      <c r="I152" s="62"/>
      <c r="J152" s="12">
        <v>6896.7</v>
      </c>
      <c r="K152" s="64">
        <f t="shared" si="55"/>
        <v>6896.7</v>
      </c>
      <c r="L152" s="62">
        <f>-6896.7</f>
        <v>-6896.7</v>
      </c>
      <c r="M152" s="12"/>
      <c r="N152" s="174">
        <f t="shared" si="56"/>
        <v>0</v>
      </c>
      <c r="O152" s="166"/>
      <c r="P152" s="155">
        <f t="shared" si="57"/>
        <v>0</v>
      </c>
    </row>
    <row r="153" spans="1:16" ht="12.75">
      <c r="A153" s="72" t="s">
        <v>107</v>
      </c>
      <c r="B153" s="50">
        <v>3000</v>
      </c>
      <c r="C153" s="6"/>
      <c r="D153" s="6"/>
      <c r="E153" s="64">
        <f t="shared" si="53"/>
        <v>3000</v>
      </c>
      <c r="F153" s="50">
        <v>2400</v>
      </c>
      <c r="G153" s="6"/>
      <c r="H153" s="64">
        <f t="shared" si="54"/>
        <v>5400</v>
      </c>
      <c r="I153" s="50"/>
      <c r="J153" s="6"/>
      <c r="K153" s="64">
        <f t="shared" si="55"/>
        <v>5400</v>
      </c>
      <c r="L153" s="50"/>
      <c r="M153" s="12"/>
      <c r="N153" s="174">
        <f t="shared" si="56"/>
        <v>5400</v>
      </c>
      <c r="O153" s="166"/>
      <c r="P153" s="155">
        <f t="shared" si="57"/>
        <v>5400</v>
      </c>
    </row>
    <row r="154" spans="1:16" ht="12.75">
      <c r="A154" s="75" t="s">
        <v>108</v>
      </c>
      <c r="B154" s="54"/>
      <c r="C154" s="9"/>
      <c r="D154" s="9"/>
      <c r="E154" s="123">
        <f t="shared" si="53"/>
        <v>0</v>
      </c>
      <c r="F154" s="54"/>
      <c r="G154" s="9"/>
      <c r="H154" s="123">
        <f t="shared" si="54"/>
        <v>0</v>
      </c>
      <c r="I154" s="54"/>
      <c r="J154" s="9"/>
      <c r="K154" s="123">
        <f t="shared" si="55"/>
        <v>0</v>
      </c>
      <c r="L154" s="54"/>
      <c r="M154" s="135"/>
      <c r="N154" s="175">
        <f t="shared" si="56"/>
        <v>0</v>
      </c>
      <c r="O154" s="172"/>
      <c r="P154" s="156">
        <f t="shared" si="57"/>
        <v>0</v>
      </c>
    </row>
    <row r="155" spans="1:16" ht="12.75">
      <c r="A155" s="72" t="s">
        <v>258</v>
      </c>
      <c r="B155" s="50"/>
      <c r="C155" s="6"/>
      <c r="D155" s="6"/>
      <c r="E155" s="64"/>
      <c r="F155" s="50"/>
      <c r="G155" s="6"/>
      <c r="H155" s="64"/>
      <c r="I155" s="50"/>
      <c r="J155" s="6"/>
      <c r="K155" s="64">
        <f t="shared" si="55"/>
        <v>0</v>
      </c>
      <c r="L155" s="50">
        <v>309000</v>
      </c>
      <c r="M155" s="12"/>
      <c r="N155" s="174">
        <f t="shared" si="56"/>
        <v>309000</v>
      </c>
      <c r="O155" s="166"/>
      <c r="P155" s="155">
        <f t="shared" si="57"/>
        <v>309000</v>
      </c>
    </row>
    <row r="156" spans="1:16" ht="12.75">
      <c r="A156" s="72" t="s">
        <v>110</v>
      </c>
      <c r="B156" s="50">
        <v>67796</v>
      </c>
      <c r="C156" s="6"/>
      <c r="D156" s="6"/>
      <c r="E156" s="64">
        <f t="shared" si="53"/>
        <v>67796</v>
      </c>
      <c r="F156" s="50"/>
      <c r="G156" s="6"/>
      <c r="H156" s="64">
        <f t="shared" si="54"/>
        <v>67796</v>
      </c>
      <c r="I156" s="50"/>
      <c r="J156" s="6"/>
      <c r="K156" s="64">
        <f t="shared" si="55"/>
        <v>67796</v>
      </c>
      <c r="L156" s="50"/>
      <c r="M156" s="12"/>
      <c r="N156" s="174">
        <f t="shared" si="56"/>
        <v>67796</v>
      </c>
      <c r="O156" s="166"/>
      <c r="P156" s="155">
        <f t="shared" si="57"/>
        <v>67796</v>
      </c>
    </row>
    <row r="157" spans="1:16" ht="12.75">
      <c r="A157" s="72" t="s">
        <v>78</v>
      </c>
      <c r="B157" s="50">
        <v>347390</v>
      </c>
      <c r="C157" s="6">
        <f>8000+44000</f>
        <v>52000</v>
      </c>
      <c r="D157" s="6"/>
      <c r="E157" s="64">
        <f t="shared" si="53"/>
        <v>399390</v>
      </c>
      <c r="F157" s="50"/>
      <c r="G157" s="6">
        <v>-410</v>
      </c>
      <c r="H157" s="64">
        <f t="shared" si="54"/>
        <v>398980</v>
      </c>
      <c r="I157" s="50">
        <v>30000</v>
      </c>
      <c r="J157" s="6">
        <v>26822</v>
      </c>
      <c r="K157" s="64">
        <f t="shared" si="55"/>
        <v>455802</v>
      </c>
      <c r="L157" s="50"/>
      <c r="M157" s="12"/>
      <c r="N157" s="174">
        <f t="shared" si="56"/>
        <v>455802</v>
      </c>
      <c r="O157" s="166">
        <f>-9669-14391</f>
        <v>-24060</v>
      </c>
      <c r="P157" s="155">
        <f t="shared" si="57"/>
        <v>431742</v>
      </c>
    </row>
    <row r="158" spans="1:16" ht="12.75">
      <c r="A158" s="72" t="s">
        <v>239</v>
      </c>
      <c r="B158" s="50"/>
      <c r="C158" s="6"/>
      <c r="D158" s="6"/>
      <c r="E158" s="64">
        <f t="shared" si="53"/>
        <v>0</v>
      </c>
      <c r="F158" s="50">
        <v>168.7</v>
      </c>
      <c r="G158" s="6">
        <v>1666</v>
      </c>
      <c r="H158" s="64">
        <f t="shared" si="54"/>
        <v>1834.7</v>
      </c>
      <c r="I158" s="50"/>
      <c r="J158" s="6"/>
      <c r="K158" s="64">
        <f t="shared" si="55"/>
        <v>1834.7</v>
      </c>
      <c r="L158" s="50"/>
      <c r="M158" s="12"/>
      <c r="N158" s="174">
        <f t="shared" si="56"/>
        <v>1834.7</v>
      </c>
      <c r="O158" s="166"/>
      <c r="P158" s="155">
        <f t="shared" si="57"/>
        <v>1834.7</v>
      </c>
    </row>
    <row r="159" spans="1:16" ht="12.75">
      <c r="A159" s="79" t="s">
        <v>81</v>
      </c>
      <c r="B159" s="60">
        <f aca="true" t="shared" si="58" ref="B159:N159">SUM(B161:B166)</f>
        <v>11000</v>
      </c>
      <c r="C159" s="11">
        <f t="shared" si="58"/>
        <v>9955</v>
      </c>
      <c r="D159" s="11">
        <f t="shared" si="58"/>
        <v>0</v>
      </c>
      <c r="E159" s="61">
        <f t="shared" si="58"/>
        <v>20955</v>
      </c>
      <c r="F159" s="60">
        <f t="shared" si="58"/>
        <v>53710.1</v>
      </c>
      <c r="G159" s="11">
        <f t="shared" si="58"/>
        <v>109102</v>
      </c>
      <c r="H159" s="61">
        <f t="shared" si="58"/>
        <v>183767.1</v>
      </c>
      <c r="I159" s="60">
        <f t="shared" si="58"/>
        <v>175838.4</v>
      </c>
      <c r="J159" s="11">
        <f t="shared" si="58"/>
        <v>0</v>
      </c>
      <c r="K159" s="61">
        <f t="shared" si="58"/>
        <v>359605.5</v>
      </c>
      <c r="L159" s="60">
        <f t="shared" si="58"/>
        <v>211365.7</v>
      </c>
      <c r="M159" s="134">
        <f t="shared" si="58"/>
        <v>33194.6</v>
      </c>
      <c r="N159" s="171">
        <f t="shared" si="58"/>
        <v>604165.8</v>
      </c>
      <c r="O159" s="171">
        <f>SUM(O161:O166)</f>
        <v>58341.09999999999</v>
      </c>
      <c r="P159" s="103">
        <f>SUM(P161:P166)</f>
        <v>662506.9</v>
      </c>
    </row>
    <row r="160" spans="1:16" ht="9.75" customHeight="1">
      <c r="A160" s="70" t="s">
        <v>45</v>
      </c>
      <c r="B160" s="52"/>
      <c r="C160" s="7"/>
      <c r="D160" s="7"/>
      <c r="E160" s="53"/>
      <c r="F160" s="52"/>
      <c r="G160" s="7"/>
      <c r="H160" s="53"/>
      <c r="I160" s="52"/>
      <c r="J160" s="7"/>
      <c r="K160" s="53"/>
      <c r="L160" s="52"/>
      <c r="M160" s="131"/>
      <c r="N160" s="167"/>
      <c r="O160" s="167"/>
      <c r="P160" s="65"/>
    </row>
    <row r="161" spans="1:16" ht="12.75">
      <c r="A161" s="71" t="s">
        <v>82</v>
      </c>
      <c r="B161" s="50"/>
      <c r="C161" s="6"/>
      <c r="D161" s="6"/>
      <c r="E161" s="51">
        <f aca="true" t="shared" si="59" ref="E161:E166">B161+C161+D161</f>
        <v>0</v>
      </c>
      <c r="F161" s="50">
        <v>4500</v>
      </c>
      <c r="G161" s="6"/>
      <c r="H161" s="51">
        <f aca="true" t="shared" si="60" ref="H161:H166">E161+F161+G161</f>
        <v>4500</v>
      </c>
      <c r="I161" s="50"/>
      <c r="J161" s="6"/>
      <c r="K161" s="51">
        <f aca="true" t="shared" si="61" ref="K161:K166">H161+I161+J161</f>
        <v>4500</v>
      </c>
      <c r="L161" s="50"/>
      <c r="M161" s="12"/>
      <c r="N161" s="166">
        <f aca="true" t="shared" si="62" ref="N161:N166">K161+L161+M161</f>
        <v>4500</v>
      </c>
      <c r="O161" s="166">
        <f>83.3+14307.7</f>
        <v>14391</v>
      </c>
      <c r="P161" s="151">
        <f aca="true" t="shared" si="63" ref="P161:P166">N161+O161</f>
        <v>18891</v>
      </c>
    </row>
    <row r="162" spans="1:16" ht="12.75">
      <c r="A162" s="72" t="s">
        <v>112</v>
      </c>
      <c r="B162" s="50"/>
      <c r="C162" s="6"/>
      <c r="D162" s="6"/>
      <c r="E162" s="51">
        <f t="shared" si="59"/>
        <v>0</v>
      </c>
      <c r="F162" s="50">
        <v>27906</v>
      </c>
      <c r="G162" s="6">
        <v>109102</v>
      </c>
      <c r="H162" s="51">
        <f t="shared" si="60"/>
        <v>137008</v>
      </c>
      <c r="I162" s="50">
        <f>1519.2+16796.2+208.1+45786.7</f>
        <v>64310.2</v>
      </c>
      <c r="J162" s="6"/>
      <c r="K162" s="51">
        <f t="shared" si="61"/>
        <v>201318.2</v>
      </c>
      <c r="L162" s="12">
        <f>88529.7+433+891.8+3901.9+1313.2+67821.3</f>
        <v>162890.9</v>
      </c>
      <c r="M162" s="12">
        <v>32544</v>
      </c>
      <c r="N162" s="166">
        <f t="shared" si="62"/>
        <v>396753.1</v>
      </c>
      <c r="O162" s="51">
        <f>2528.8+898.3-2624.5</f>
        <v>802.6000000000004</v>
      </c>
      <c r="P162" s="151">
        <f t="shared" si="63"/>
        <v>397555.69999999995</v>
      </c>
    </row>
    <row r="163" spans="1:16" ht="12.75">
      <c r="A163" s="72" t="s">
        <v>245</v>
      </c>
      <c r="B163" s="50">
        <v>11000</v>
      </c>
      <c r="C163" s="6"/>
      <c r="D163" s="6"/>
      <c r="E163" s="51">
        <f t="shared" si="59"/>
        <v>11000</v>
      </c>
      <c r="F163" s="50">
        <v>12000</v>
      </c>
      <c r="G163" s="6"/>
      <c r="H163" s="51">
        <f t="shared" si="60"/>
        <v>23000</v>
      </c>
      <c r="I163" s="50"/>
      <c r="J163" s="6"/>
      <c r="K163" s="51">
        <f t="shared" si="61"/>
        <v>23000</v>
      </c>
      <c r="L163" s="50">
        <v>6896.7</v>
      </c>
      <c r="M163" s="12">
        <v>650.6</v>
      </c>
      <c r="N163" s="166">
        <f t="shared" si="62"/>
        <v>30547.3</v>
      </c>
      <c r="O163" s="166"/>
      <c r="P163" s="151">
        <f t="shared" si="63"/>
        <v>30547.3</v>
      </c>
    </row>
    <row r="164" spans="1:16" ht="12.75">
      <c r="A164" s="72" t="s">
        <v>113</v>
      </c>
      <c r="B164" s="50"/>
      <c r="C164" s="6"/>
      <c r="D164" s="6"/>
      <c r="E164" s="51">
        <f t="shared" si="59"/>
        <v>0</v>
      </c>
      <c r="F164" s="50"/>
      <c r="G164" s="6"/>
      <c r="H164" s="51">
        <f t="shared" si="60"/>
        <v>0</v>
      </c>
      <c r="I164" s="50">
        <f>4917.8+33897.5+28389.6+29944.5</f>
        <v>97149.4</v>
      </c>
      <c r="J164" s="6"/>
      <c r="K164" s="51">
        <f t="shared" si="61"/>
        <v>97149.4</v>
      </c>
      <c r="L164" s="50">
        <f>10110.3+20062.1</f>
        <v>30172.399999999998</v>
      </c>
      <c r="M164" s="12"/>
      <c r="N164" s="166">
        <f t="shared" si="62"/>
        <v>127321.79999999999</v>
      </c>
      <c r="O164" s="166">
        <f>7312.1+8073.4</f>
        <v>15385.5</v>
      </c>
      <c r="P164" s="151">
        <f t="shared" si="63"/>
        <v>142707.3</v>
      </c>
    </row>
    <row r="165" spans="1:16" ht="12.75">
      <c r="A165" s="71" t="s">
        <v>114</v>
      </c>
      <c r="B165" s="50"/>
      <c r="C165" s="6">
        <v>9955</v>
      </c>
      <c r="D165" s="6"/>
      <c r="E165" s="51">
        <f t="shared" si="59"/>
        <v>9955</v>
      </c>
      <c r="F165" s="50">
        <v>9304.1</v>
      </c>
      <c r="G165" s="6"/>
      <c r="H165" s="51">
        <f t="shared" si="60"/>
        <v>19259.1</v>
      </c>
      <c r="I165" s="50">
        <f>5644.8+5324.3</f>
        <v>10969.1</v>
      </c>
      <c r="J165" s="6"/>
      <c r="K165" s="51">
        <f t="shared" si="61"/>
        <v>30228.199999999997</v>
      </c>
      <c r="L165" s="50">
        <v>858.6</v>
      </c>
      <c r="M165" s="12"/>
      <c r="N165" s="166">
        <f t="shared" si="62"/>
        <v>31086.799999999996</v>
      </c>
      <c r="O165" s="166">
        <f>1112.5+1363.5</f>
        <v>2476</v>
      </c>
      <c r="P165" s="151">
        <f t="shared" si="63"/>
        <v>33562.799999999996</v>
      </c>
    </row>
    <row r="166" spans="1:16" ht="12.75">
      <c r="A166" s="75" t="s">
        <v>109</v>
      </c>
      <c r="B166" s="54"/>
      <c r="C166" s="9"/>
      <c r="D166" s="9"/>
      <c r="E166" s="55">
        <f t="shared" si="59"/>
        <v>0</v>
      </c>
      <c r="F166" s="54"/>
      <c r="G166" s="9"/>
      <c r="H166" s="55">
        <f t="shared" si="60"/>
        <v>0</v>
      </c>
      <c r="I166" s="54">
        <v>3409.7</v>
      </c>
      <c r="J166" s="9"/>
      <c r="K166" s="55">
        <f t="shared" si="61"/>
        <v>3409.7</v>
      </c>
      <c r="L166" s="54">
        <f>6206.8+4340.3</f>
        <v>10547.1</v>
      </c>
      <c r="M166" s="135"/>
      <c r="N166" s="172">
        <f t="shared" si="62"/>
        <v>13956.8</v>
      </c>
      <c r="O166" s="172">
        <f>6995.9+17947.3+342.8</f>
        <v>25285.999999999996</v>
      </c>
      <c r="P166" s="154">
        <f t="shared" si="63"/>
        <v>39242.799999999996</v>
      </c>
    </row>
    <row r="167" spans="1:16" ht="12.75">
      <c r="A167" s="69" t="s">
        <v>115</v>
      </c>
      <c r="B167" s="48">
        <f>B168+B173</f>
        <v>7000</v>
      </c>
      <c r="C167" s="5">
        <f aca="true" t="shared" si="64" ref="C167:N167">C168+C173</f>
        <v>300</v>
      </c>
      <c r="D167" s="5">
        <f t="shared" si="64"/>
        <v>7299.1</v>
      </c>
      <c r="E167" s="49">
        <f t="shared" si="64"/>
        <v>14599.1</v>
      </c>
      <c r="F167" s="48">
        <f t="shared" si="64"/>
        <v>398.3</v>
      </c>
      <c r="G167" s="5">
        <f t="shared" si="64"/>
        <v>1780</v>
      </c>
      <c r="H167" s="49">
        <f t="shared" si="64"/>
        <v>16777.4</v>
      </c>
      <c r="I167" s="48">
        <f t="shared" si="64"/>
        <v>3808.7000000000003</v>
      </c>
      <c r="J167" s="5">
        <f t="shared" si="64"/>
        <v>0</v>
      </c>
      <c r="K167" s="49">
        <f t="shared" si="64"/>
        <v>20586.1</v>
      </c>
      <c r="L167" s="48">
        <f t="shared" si="64"/>
        <v>2928.6</v>
      </c>
      <c r="M167" s="130">
        <f t="shared" si="64"/>
        <v>0</v>
      </c>
      <c r="N167" s="165">
        <f t="shared" si="64"/>
        <v>23514.7</v>
      </c>
      <c r="O167" s="165">
        <f>O168+O173</f>
        <v>0</v>
      </c>
      <c r="P167" s="150">
        <f>P168+P173</f>
        <v>23514.7</v>
      </c>
    </row>
    <row r="168" spans="1:16" ht="12.75">
      <c r="A168" s="78" t="s">
        <v>75</v>
      </c>
      <c r="B168" s="58">
        <f>SUM(B170:B172)</f>
        <v>7000</v>
      </c>
      <c r="C168" s="10">
        <f aca="true" t="shared" si="65" ref="C168:N168">SUM(C170:C172)</f>
        <v>300</v>
      </c>
      <c r="D168" s="10">
        <f t="shared" si="65"/>
        <v>7299.1</v>
      </c>
      <c r="E168" s="59">
        <f t="shared" si="65"/>
        <v>14599.1</v>
      </c>
      <c r="F168" s="58">
        <f t="shared" si="65"/>
        <v>398.3</v>
      </c>
      <c r="G168" s="10">
        <f t="shared" si="65"/>
        <v>1780</v>
      </c>
      <c r="H168" s="59">
        <f t="shared" si="65"/>
        <v>16777.4</v>
      </c>
      <c r="I168" s="58">
        <f t="shared" si="65"/>
        <v>3808.7000000000003</v>
      </c>
      <c r="J168" s="10">
        <f t="shared" si="65"/>
        <v>0</v>
      </c>
      <c r="K168" s="59">
        <f t="shared" si="65"/>
        <v>20586.1</v>
      </c>
      <c r="L168" s="58">
        <f t="shared" si="65"/>
        <v>2928.6</v>
      </c>
      <c r="M168" s="133">
        <f t="shared" si="65"/>
        <v>0</v>
      </c>
      <c r="N168" s="170">
        <f t="shared" si="65"/>
        <v>23514.7</v>
      </c>
      <c r="O168" s="170">
        <f>SUM(O170:O172)</f>
        <v>0</v>
      </c>
      <c r="P168" s="153">
        <f>SUM(P170:P172)</f>
        <v>23514.7</v>
      </c>
    </row>
    <row r="169" spans="1:16" ht="9.75" customHeight="1">
      <c r="A169" s="74" t="s">
        <v>45</v>
      </c>
      <c r="B169" s="50"/>
      <c r="C169" s="6"/>
      <c r="D169" s="6"/>
      <c r="E169" s="49"/>
      <c r="F169" s="50"/>
      <c r="G169" s="6"/>
      <c r="H169" s="49"/>
      <c r="I169" s="50"/>
      <c r="J169" s="6"/>
      <c r="K169" s="49"/>
      <c r="L169" s="50"/>
      <c r="M169" s="12"/>
      <c r="N169" s="165"/>
      <c r="O169" s="166"/>
      <c r="P169" s="150"/>
    </row>
    <row r="170" spans="1:16" ht="12.75">
      <c r="A170" s="71" t="s">
        <v>78</v>
      </c>
      <c r="B170" s="50">
        <v>7000</v>
      </c>
      <c r="C170" s="6">
        <v>300</v>
      </c>
      <c r="D170" s="6"/>
      <c r="E170" s="51">
        <f>B170+C170+D170</f>
        <v>7300</v>
      </c>
      <c r="F170" s="50">
        <f>398.3-4</f>
        <v>394.3</v>
      </c>
      <c r="G170" s="6">
        <f>80-1800</f>
        <v>-1720</v>
      </c>
      <c r="H170" s="51">
        <f>E170+F170+G170</f>
        <v>5974.3</v>
      </c>
      <c r="I170" s="50">
        <v>73.3</v>
      </c>
      <c r="J170" s="6"/>
      <c r="K170" s="51">
        <f>H170+I170+J170</f>
        <v>6047.6</v>
      </c>
      <c r="L170" s="50">
        <v>630</v>
      </c>
      <c r="M170" s="12"/>
      <c r="N170" s="166">
        <f>K170+L170+M170</f>
        <v>6677.6</v>
      </c>
      <c r="O170" s="166"/>
      <c r="P170" s="151">
        <f>N170+O170</f>
        <v>6677.6</v>
      </c>
    </row>
    <row r="171" spans="1:16" ht="12.75">
      <c r="A171" s="72" t="s">
        <v>112</v>
      </c>
      <c r="B171" s="50"/>
      <c r="C171" s="6"/>
      <c r="D171" s="6">
        <v>7299.1</v>
      </c>
      <c r="E171" s="51">
        <f>B171+C171+D171</f>
        <v>7299.1</v>
      </c>
      <c r="F171" s="50">
        <v>4</v>
      </c>
      <c r="G171" s="6"/>
      <c r="H171" s="51">
        <f>E171+F171+G171</f>
        <v>7303.1</v>
      </c>
      <c r="I171" s="50">
        <v>3735.4</v>
      </c>
      <c r="J171" s="6"/>
      <c r="K171" s="51">
        <f>H171+I171+J171</f>
        <v>11038.5</v>
      </c>
      <c r="L171" s="50">
        <v>2298.6</v>
      </c>
      <c r="M171" s="12"/>
      <c r="N171" s="166">
        <f>K171+L171+M171</f>
        <v>13337.1</v>
      </c>
      <c r="O171" s="166"/>
      <c r="P171" s="151">
        <f>N171+O171</f>
        <v>13337.1</v>
      </c>
    </row>
    <row r="172" spans="1:16" ht="12.75">
      <c r="A172" s="82" t="s">
        <v>95</v>
      </c>
      <c r="B172" s="54"/>
      <c r="C172" s="9"/>
      <c r="D172" s="9"/>
      <c r="E172" s="55">
        <f>B172+C172+D172</f>
        <v>0</v>
      </c>
      <c r="F172" s="54"/>
      <c r="G172" s="9">
        <f>1800+1700</f>
        <v>3500</v>
      </c>
      <c r="H172" s="55">
        <f>E172+F172+G172</f>
        <v>3500</v>
      </c>
      <c r="I172" s="54"/>
      <c r="J172" s="9"/>
      <c r="K172" s="55">
        <f>H172+I172+J172</f>
        <v>3500</v>
      </c>
      <c r="L172" s="54"/>
      <c r="M172" s="135"/>
      <c r="N172" s="172">
        <f>K172+L172+M172</f>
        <v>3500</v>
      </c>
      <c r="O172" s="172"/>
      <c r="P172" s="154">
        <f>N172+O172</f>
        <v>3500</v>
      </c>
    </row>
    <row r="173" spans="1:16" ht="12.75" hidden="1">
      <c r="A173" s="79" t="s">
        <v>81</v>
      </c>
      <c r="B173" s="52">
        <f>B175</f>
        <v>0</v>
      </c>
      <c r="C173" s="7">
        <f aca="true" t="shared" si="66" ref="C173:N173">C175</f>
        <v>0</v>
      </c>
      <c r="D173" s="7">
        <f t="shared" si="66"/>
        <v>0</v>
      </c>
      <c r="E173" s="53">
        <f t="shared" si="66"/>
        <v>0</v>
      </c>
      <c r="F173" s="52">
        <f t="shared" si="66"/>
        <v>0</v>
      </c>
      <c r="G173" s="7">
        <f t="shared" si="66"/>
        <v>0</v>
      </c>
      <c r="H173" s="53">
        <f t="shared" si="66"/>
        <v>0</v>
      </c>
      <c r="I173" s="52">
        <f t="shared" si="66"/>
        <v>0</v>
      </c>
      <c r="J173" s="7">
        <f t="shared" si="66"/>
        <v>0</v>
      </c>
      <c r="K173" s="53">
        <f t="shared" si="66"/>
        <v>0</v>
      </c>
      <c r="L173" s="52">
        <f t="shared" si="66"/>
        <v>0</v>
      </c>
      <c r="M173" s="131">
        <f t="shared" si="66"/>
        <v>0</v>
      </c>
      <c r="N173" s="167">
        <f t="shared" si="66"/>
        <v>0</v>
      </c>
      <c r="O173" s="167">
        <f>O175</f>
        <v>0</v>
      </c>
      <c r="P173" s="65">
        <f>P175</f>
        <v>0</v>
      </c>
    </row>
    <row r="174" spans="1:16" ht="12.75" hidden="1">
      <c r="A174" s="70" t="s">
        <v>45</v>
      </c>
      <c r="B174" s="50"/>
      <c r="C174" s="6"/>
      <c r="D174" s="6"/>
      <c r="E174" s="51"/>
      <c r="F174" s="50"/>
      <c r="G174" s="6"/>
      <c r="H174" s="51"/>
      <c r="I174" s="50"/>
      <c r="J174" s="6"/>
      <c r="K174" s="51"/>
      <c r="L174" s="50"/>
      <c r="M174" s="12"/>
      <c r="N174" s="166"/>
      <c r="O174" s="166"/>
      <c r="P174" s="151"/>
    </row>
    <row r="175" spans="1:16" ht="12.75" hidden="1">
      <c r="A175" s="82" t="s">
        <v>98</v>
      </c>
      <c r="B175" s="54"/>
      <c r="C175" s="9"/>
      <c r="D175" s="9"/>
      <c r="E175" s="55"/>
      <c r="F175" s="54"/>
      <c r="G175" s="9"/>
      <c r="H175" s="55"/>
      <c r="I175" s="54"/>
      <c r="J175" s="9"/>
      <c r="K175" s="55">
        <f>H175+I175+J175</f>
        <v>0</v>
      </c>
      <c r="L175" s="54"/>
      <c r="M175" s="135"/>
      <c r="N175" s="172">
        <f>K175+L175+M175</f>
        <v>0</v>
      </c>
      <c r="O175" s="172"/>
      <c r="P175" s="154">
        <f>M175+N175+O175</f>
        <v>0</v>
      </c>
    </row>
    <row r="176" spans="1:16" ht="12.75">
      <c r="A176" s="73" t="s">
        <v>116</v>
      </c>
      <c r="B176" s="52">
        <f aca="true" t="shared" si="67" ref="B176:N176">B177+B183</f>
        <v>65707</v>
      </c>
      <c r="C176" s="7">
        <f t="shared" si="67"/>
        <v>-3327</v>
      </c>
      <c r="D176" s="7">
        <f t="shared" si="67"/>
        <v>0</v>
      </c>
      <c r="E176" s="53">
        <f t="shared" si="67"/>
        <v>62380</v>
      </c>
      <c r="F176" s="52">
        <f t="shared" si="67"/>
        <v>-16897.6</v>
      </c>
      <c r="G176" s="7">
        <f t="shared" si="67"/>
        <v>0</v>
      </c>
      <c r="H176" s="53">
        <f t="shared" si="67"/>
        <v>45482.4</v>
      </c>
      <c r="I176" s="52">
        <f t="shared" si="67"/>
        <v>-350</v>
      </c>
      <c r="J176" s="7">
        <f t="shared" si="67"/>
        <v>0</v>
      </c>
      <c r="K176" s="53">
        <f t="shared" si="67"/>
        <v>45132.4</v>
      </c>
      <c r="L176" s="52">
        <f t="shared" si="67"/>
        <v>-745.1000000000004</v>
      </c>
      <c r="M176" s="131">
        <f t="shared" si="67"/>
        <v>-730.6</v>
      </c>
      <c r="N176" s="167">
        <f t="shared" si="67"/>
        <v>43656.7</v>
      </c>
      <c r="O176" s="167">
        <f>O177+O183</f>
        <v>1315.1</v>
      </c>
      <c r="P176" s="65">
        <f>P177+P183</f>
        <v>44971.8</v>
      </c>
    </row>
    <row r="177" spans="1:16" ht="12.75">
      <c r="A177" s="78" t="s">
        <v>75</v>
      </c>
      <c r="B177" s="58">
        <f aca="true" t="shared" si="68" ref="B177:N177">SUM(B179:B182)</f>
        <v>60707</v>
      </c>
      <c r="C177" s="10">
        <f t="shared" si="68"/>
        <v>-3707</v>
      </c>
      <c r="D177" s="10">
        <f t="shared" si="68"/>
        <v>0</v>
      </c>
      <c r="E177" s="59">
        <f t="shared" si="68"/>
        <v>57000</v>
      </c>
      <c r="F177" s="58">
        <f t="shared" si="68"/>
        <v>-16897.6</v>
      </c>
      <c r="G177" s="10">
        <f t="shared" si="68"/>
        <v>0</v>
      </c>
      <c r="H177" s="59">
        <f t="shared" si="68"/>
        <v>40102.4</v>
      </c>
      <c r="I177" s="58">
        <f t="shared" si="68"/>
        <v>-350</v>
      </c>
      <c r="J177" s="10">
        <f t="shared" si="68"/>
        <v>0</v>
      </c>
      <c r="K177" s="59">
        <f t="shared" si="68"/>
        <v>39752.4</v>
      </c>
      <c r="L177" s="58">
        <f t="shared" si="68"/>
        <v>-5555.5</v>
      </c>
      <c r="M177" s="133">
        <f t="shared" si="68"/>
        <v>-80</v>
      </c>
      <c r="N177" s="170">
        <f t="shared" si="68"/>
        <v>34116.9</v>
      </c>
      <c r="O177" s="170">
        <f>SUM(O179:O182)</f>
        <v>1315.1</v>
      </c>
      <c r="P177" s="153">
        <f>SUM(P179:P182)</f>
        <v>35432</v>
      </c>
    </row>
    <row r="178" spans="1:16" ht="9.75" customHeight="1">
      <c r="A178" s="74" t="s">
        <v>45</v>
      </c>
      <c r="B178" s="50"/>
      <c r="C178" s="6"/>
      <c r="D178" s="6"/>
      <c r="E178" s="49"/>
      <c r="F178" s="50"/>
      <c r="G178" s="6"/>
      <c r="H178" s="49"/>
      <c r="I178" s="50"/>
      <c r="J178" s="6"/>
      <c r="K178" s="49"/>
      <c r="L178" s="50"/>
      <c r="M178" s="12"/>
      <c r="N178" s="165"/>
      <c r="O178" s="166"/>
      <c r="P178" s="150"/>
    </row>
    <row r="179" spans="1:16" ht="12.75">
      <c r="A179" s="72" t="s">
        <v>78</v>
      </c>
      <c r="B179" s="50">
        <v>11707</v>
      </c>
      <c r="C179" s="6">
        <v>-3707</v>
      </c>
      <c r="D179" s="6"/>
      <c r="E179" s="51">
        <f>B179+C179+D179</f>
        <v>8000</v>
      </c>
      <c r="F179" s="50">
        <f>229</f>
        <v>229</v>
      </c>
      <c r="G179" s="6"/>
      <c r="H179" s="51">
        <f>E179+F179+G179</f>
        <v>8229</v>
      </c>
      <c r="I179" s="50">
        <f>-200-150</f>
        <v>-350</v>
      </c>
      <c r="J179" s="6"/>
      <c r="K179" s="51">
        <f>H179+I179+J179</f>
        <v>7879</v>
      </c>
      <c r="L179" s="50">
        <f>-3305-800-1505.4</f>
        <v>-5610.4</v>
      </c>
      <c r="M179" s="12">
        <v>-80</v>
      </c>
      <c r="N179" s="166">
        <f>K179+L179+M179</f>
        <v>2188.6000000000004</v>
      </c>
      <c r="O179" s="166">
        <v>-50</v>
      </c>
      <c r="P179" s="151">
        <f>N179+O179</f>
        <v>2138.6000000000004</v>
      </c>
    </row>
    <row r="180" spans="1:16" ht="12.75">
      <c r="A180" s="72" t="s">
        <v>259</v>
      </c>
      <c r="B180" s="50"/>
      <c r="C180" s="6"/>
      <c r="D180" s="6"/>
      <c r="E180" s="51"/>
      <c r="F180" s="50"/>
      <c r="G180" s="6"/>
      <c r="H180" s="51"/>
      <c r="I180" s="50"/>
      <c r="J180" s="6"/>
      <c r="K180" s="51">
        <f>H180+I180+J180</f>
        <v>0</v>
      </c>
      <c r="L180" s="50">
        <v>54.9</v>
      </c>
      <c r="M180" s="12"/>
      <c r="N180" s="166">
        <f>K180+L180+M180</f>
        <v>54.9</v>
      </c>
      <c r="O180" s="166">
        <f>328.5+1036.6</f>
        <v>1365.1</v>
      </c>
      <c r="P180" s="151">
        <f>N180+O180</f>
        <v>1420</v>
      </c>
    </row>
    <row r="181" spans="1:16" ht="12.75">
      <c r="A181" s="72" t="s">
        <v>117</v>
      </c>
      <c r="B181" s="50">
        <v>27000</v>
      </c>
      <c r="C181" s="6"/>
      <c r="D181" s="6"/>
      <c r="E181" s="51">
        <f>B181+C181+D181</f>
        <v>27000</v>
      </c>
      <c r="F181" s="50">
        <f>-12800-4326.6</f>
        <v>-17126.6</v>
      </c>
      <c r="G181" s="6"/>
      <c r="H181" s="51">
        <f>E181+F181+G181</f>
        <v>9873.400000000001</v>
      </c>
      <c r="I181" s="50"/>
      <c r="J181" s="6"/>
      <c r="K181" s="51">
        <f>H181+I181+J181</f>
        <v>9873.400000000001</v>
      </c>
      <c r="L181" s="50"/>
      <c r="M181" s="12"/>
      <c r="N181" s="166">
        <f>K181+L181+M181</f>
        <v>9873.400000000001</v>
      </c>
      <c r="O181" s="166"/>
      <c r="P181" s="151">
        <f>N181+O181</f>
        <v>9873.400000000001</v>
      </c>
    </row>
    <row r="182" spans="1:16" ht="12.75">
      <c r="A182" s="72" t="s">
        <v>118</v>
      </c>
      <c r="B182" s="50">
        <v>22000</v>
      </c>
      <c r="C182" s="6"/>
      <c r="D182" s="6"/>
      <c r="E182" s="51">
        <f>B182+C182+D182</f>
        <v>22000</v>
      </c>
      <c r="F182" s="50"/>
      <c r="G182" s="6"/>
      <c r="H182" s="51">
        <f>E182+F182+G182</f>
        <v>22000</v>
      </c>
      <c r="I182" s="50"/>
      <c r="J182" s="6"/>
      <c r="K182" s="51">
        <f>H182+I182+J182</f>
        <v>22000</v>
      </c>
      <c r="L182" s="50"/>
      <c r="M182" s="12"/>
      <c r="N182" s="166">
        <f>K182+L182+M182</f>
        <v>22000</v>
      </c>
      <c r="O182" s="166"/>
      <c r="P182" s="151">
        <f>N182+O182</f>
        <v>22000</v>
      </c>
    </row>
    <row r="183" spans="1:16" ht="12.75">
      <c r="A183" s="79" t="s">
        <v>81</v>
      </c>
      <c r="B183" s="60">
        <f>B185</f>
        <v>5000</v>
      </c>
      <c r="C183" s="11">
        <f>C185</f>
        <v>380</v>
      </c>
      <c r="D183" s="11">
        <f>D185</f>
        <v>0</v>
      </c>
      <c r="E183" s="61">
        <f>E185</f>
        <v>5380</v>
      </c>
      <c r="F183" s="60">
        <f>F185</f>
        <v>0</v>
      </c>
      <c r="G183" s="11">
        <f aca="true" t="shared" si="69" ref="G183:N183">G185</f>
        <v>0</v>
      </c>
      <c r="H183" s="61">
        <f t="shared" si="69"/>
        <v>5380</v>
      </c>
      <c r="I183" s="60">
        <f t="shared" si="69"/>
        <v>0</v>
      </c>
      <c r="J183" s="11">
        <f t="shared" si="69"/>
        <v>0</v>
      </c>
      <c r="K183" s="103">
        <f t="shared" si="69"/>
        <v>5380</v>
      </c>
      <c r="L183" s="100">
        <f t="shared" si="69"/>
        <v>4810.4</v>
      </c>
      <c r="M183" s="134">
        <f t="shared" si="69"/>
        <v>-650.6</v>
      </c>
      <c r="N183" s="171">
        <f t="shared" si="69"/>
        <v>9539.8</v>
      </c>
      <c r="O183" s="171">
        <f>O185</f>
        <v>0</v>
      </c>
      <c r="P183" s="103">
        <f>P185</f>
        <v>9539.8</v>
      </c>
    </row>
    <row r="184" spans="1:16" ht="9.75" customHeight="1">
      <c r="A184" s="70" t="s">
        <v>45</v>
      </c>
      <c r="B184" s="52"/>
      <c r="C184" s="7"/>
      <c r="D184" s="7"/>
      <c r="E184" s="53"/>
      <c r="F184" s="52"/>
      <c r="G184" s="7"/>
      <c r="H184" s="53"/>
      <c r="I184" s="52"/>
      <c r="J184" s="7"/>
      <c r="K184" s="53"/>
      <c r="L184" s="52"/>
      <c r="M184" s="131"/>
      <c r="N184" s="167"/>
      <c r="O184" s="167"/>
      <c r="P184" s="65"/>
    </row>
    <row r="185" spans="1:16" ht="12.75">
      <c r="A185" s="83" t="s">
        <v>82</v>
      </c>
      <c r="B185" s="54">
        <v>5000</v>
      </c>
      <c r="C185" s="9">
        <v>380</v>
      </c>
      <c r="D185" s="9"/>
      <c r="E185" s="55">
        <f>B185+C185+D185</f>
        <v>5380</v>
      </c>
      <c r="F185" s="54"/>
      <c r="G185" s="9"/>
      <c r="H185" s="55">
        <f>E185+F185+G185</f>
        <v>5380</v>
      </c>
      <c r="I185" s="54"/>
      <c r="J185" s="9"/>
      <c r="K185" s="55">
        <f>H185+I185+J185</f>
        <v>5380</v>
      </c>
      <c r="L185" s="54">
        <f>3305+1505.4</f>
        <v>4810.4</v>
      </c>
      <c r="M185" s="135">
        <v>-650.6</v>
      </c>
      <c r="N185" s="172">
        <f>K185+L185+M185</f>
        <v>9539.8</v>
      </c>
      <c r="O185" s="172"/>
      <c r="P185" s="154">
        <f>N185+O185</f>
        <v>9539.8</v>
      </c>
    </row>
    <row r="186" spans="1:16" ht="12.75">
      <c r="A186" s="69" t="s">
        <v>119</v>
      </c>
      <c r="B186" s="48">
        <f aca="true" t="shared" si="70" ref="B186:N186">B187+B229</f>
        <v>241700</v>
      </c>
      <c r="C186" s="5">
        <f t="shared" si="70"/>
        <v>92688.6</v>
      </c>
      <c r="D186" s="5">
        <f t="shared" si="70"/>
        <v>-30815.8</v>
      </c>
      <c r="E186" s="49">
        <f t="shared" si="70"/>
        <v>303572.80000000005</v>
      </c>
      <c r="F186" s="48">
        <f t="shared" si="70"/>
        <v>23055.5</v>
      </c>
      <c r="G186" s="5">
        <f t="shared" si="70"/>
        <v>-24438.8</v>
      </c>
      <c r="H186" s="49">
        <f t="shared" si="70"/>
        <v>302189.5</v>
      </c>
      <c r="I186" s="48">
        <f t="shared" si="70"/>
        <v>25852.4</v>
      </c>
      <c r="J186" s="5">
        <f t="shared" si="70"/>
        <v>-29748.1</v>
      </c>
      <c r="K186" s="49">
        <f t="shared" si="70"/>
        <v>298293.8</v>
      </c>
      <c r="L186" s="48">
        <f t="shared" si="70"/>
        <v>530.2</v>
      </c>
      <c r="M186" s="130">
        <f t="shared" si="70"/>
        <v>25066.699999999997</v>
      </c>
      <c r="N186" s="165">
        <f t="shared" si="70"/>
        <v>323890.69999999995</v>
      </c>
      <c r="O186" s="165">
        <f>O187+O229</f>
        <v>116107</v>
      </c>
      <c r="P186" s="150">
        <f>P187+P229</f>
        <v>439997.69999999995</v>
      </c>
    </row>
    <row r="187" spans="1:16" ht="12.75">
      <c r="A187" s="78" t="s">
        <v>75</v>
      </c>
      <c r="B187" s="58">
        <f aca="true" t="shared" si="71" ref="B187:N187">SUM(B189:B217)+B220</f>
        <v>153600</v>
      </c>
      <c r="C187" s="10">
        <f t="shared" si="71"/>
        <v>79293.3</v>
      </c>
      <c r="D187" s="10">
        <f t="shared" si="71"/>
        <v>-36214.1</v>
      </c>
      <c r="E187" s="59">
        <f t="shared" si="71"/>
        <v>196679.2</v>
      </c>
      <c r="F187" s="58">
        <f t="shared" si="71"/>
        <v>12878.5</v>
      </c>
      <c r="G187" s="10">
        <f t="shared" si="71"/>
        <v>-10448.3</v>
      </c>
      <c r="H187" s="59">
        <f t="shared" si="71"/>
        <v>199109.4</v>
      </c>
      <c r="I187" s="58">
        <f t="shared" si="71"/>
        <v>23298.7</v>
      </c>
      <c r="J187" s="10">
        <f t="shared" si="71"/>
        <v>-29010</v>
      </c>
      <c r="K187" s="59">
        <f t="shared" si="71"/>
        <v>193398.09999999998</v>
      </c>
      <c r="L187" s="58">
        <f t="shared" si="71"/>
        <v>1383</v>
      </c>
      <c r="M187" s="133">
        <f t="shared" si="71"/>
        <v>10000</v>
      </c>
      <c r="N187" s="170">
        <f t="shared" si="71"/>
        <v>204781.09999999998</v>
      </c>
      <c r="O187" s="170">
        <f>SUM(O189:O217)+O220</f>
        <v>116107</v>
      </c>
      <c r="P187" s="153">
        <f>SUM(P189:P217)+P220</f>
        <v>320888.1</v>
      </c>
    </row>
    <row r="188" spans="1:16" ht="9.75" customHeight="1">
      <c r="A188" s="70" t="s">
        <v>45</v>
      </c>
      <c r="B188" s="52"/>
      <c r="C188" s="7"/>
      <c r="D188" s="7"/>
      <c r="E188" s="53"/>
      <c r="F188" s="52"/>
      <c r="G188" s="7"/>
      <c r="H188" s="53"/>
      <c r="I188" s="52"/>
      <c r="J188" s="7"/>
      <c r="K188" s="53"/>
      <c r="L188" s="52"/>
      <c r="M188" s="131"/>
      <c r="N188" s="167"/>
      <c r="O188" s="167"/>
      <c r="P188" s="65"/>
    </row>
    <row r="189" spans="1:16" ht="12.75">
      <c r="A189" s="72" t="s">
        <v>78</v>
      </c>
      <c r="B189" s="50">
        <v>10000</v>
      </c>
      <c r="C189" s="6">
        <f>-5500-500</f>
        <v>-6000</v>
      </c>
      <c r="D189" s="6"/>
      <c r="E189" s="51">
        <f>B189+C189+D189</f>
        <v>4000</v>
      </c>
      <c r="F189" s="50"/>
      <c r="G189" s="6"/>
      <c r="H189" s="51">
        <f>E189+F189+G189</f>
        <v>4000</v>
      </c>
      <c r="I189" s="67">
        <v>-0.5</v>
      </c>
      <c r="J189" s="6"/>
      <c r="K189" s="51">
        <f>H189+I189+J189</f>
        <v>3999.5</v>
      </c>
      <c r="L189" s="50">
        <f>-5.9</f>
        <v>-5.9</v>
      </c>
      <c r="M189" s="12"/>
      <c r="N189" s="166">
        <f>K189+L189+M189</f>
        <v>3993.6</v>
      </c>
      <c r="O189" s="166"/>
      <c r="P189" s="151">
        <f>N189+O189</f>
        <v>3993.6</v>
      </c>
    </row>
    <row r="190" spans="1:16" ht="12.75">
      <c r="A190" s="72" t="s">
        <v>106</v>
      </c>
      <c r="B190" s="50"/>
      <c r="C190" s="6">
        <f>9300+500</f>
        <v>9800</v>
      </c>
      <c r="D190" s="6"/>
      <c r="E190" s="51">
        <f aca="true" t="shared" si="72" ref="E190:E228">B190+C190+D190</f>
        <v>9800</v>
      </c>
      <c r="F190" s="50"/>
      <c r="G190" s="6"/>
      <c r="H190" s="51">
        <f aca="true" t="shared" si="73" ref="H190:H220">E190+F190+G190</f>
        <v>9800</v>
      </c>
      <c r="I190" s="50"/>
      <c r="J190" s="6"/>
      <c r="K190" s="51">
        <f aca="true" t="shared" si="74" ref="K190:K228">H190+I190+J190</f>
        <v>9800</v>
      </c>
      <c r="L190" s="50"/>
      <c r="M190" s="12"/>
      <c r="N190" s="166">
        <f aca="true" t="shared" si="75" ref="N190:N220">K190+L190+M190</f>
        <v>9800</v>
      </c>
      <c r="O190" s="166"/>
      <c r="P190" s="151">
        <f aca="true" t="shared" si="76" ref="P190:P228">N190+O190</f>
        <v>9800</v>
      </c>
    </row>
    <row r="191" spans="1:16" ht="12.75">
      <c r="A191" s="81" t="s">
        <v>120</v>
      </c>
      <c r="B191" s="50">
        <v>1600</v>
      </c>
      <c r="C191" s="6"/>
      <c r="D191" s="6"/>
      <c r="E191" s="51">
        <f t="shared" si="72"/>
        <v>1600</v>
      </c>
      <c r="F191" s="50"/>
      <c r="G191" s="6"/>
      <c r="H191" s="51">
        <f t="shared" si="73"/>
        <v>1600</v>
      </c>
      <c r="I191" s="50"/>
      <c r="J191" s="6"/>
      <c r="K191" s="51">
        <f t="shared" si="74"/>
        <v>1600</v>
      </c>
      <c r="L191" s="50"/>
      <c r="M191" s="12"/>
      <c r="N191" s="166">
        <f t="shared" si="75"/>
        <v>1600</v>
      </c>
      <c r="O191" s="166"/>
      <c r="P191" s="151">
        <f t="shared" si="76"/>
        <v>1600</v>
      </c>
    </row>
    <row r="192" spans="1:16" ht="12.75">
      <c r="A192" s="81" t="s">
        <v>221</v>
      </c>
      <c r="B192" s="50"/>
      <c r="C192" s="6">
        <v>9264.4</v>
      </c>
      <c r="D192" s="6"/>
      <c r="E192" s="51">
        <f t="shared" si="72"/>
        <v>9264.4</v>
      </c>
      <c r="F192" s="67">
        <v>63.4</v>
      </c>
      <c r="G192" s="6"/>
      <c r="H192" s="51">
        <f t="shared" si="73"/>
        <v>9327.8</v>
      </c>
      <c r="I192" s="50"/>
      <c r="J192" s="6"/>
      <c r="K192" s="51">
        <f t="shared" si="74"/>
        <v>9327.8</v>
      </c>
      <c r="L192" s="50"/>
      <c r="M192" s="12"/>
      <c r="N192" s="166">
        <f t="shared" si="75"/>
        <v>9327.8</v>
      </c>
      <c r="O192" s="166"/>
      <c r="P192" s="151">
        <f t="shared" si="76"/>
        <v>9327.8</v>
      </c>
    </row>
    <row r="193" spans="1:16" ht="12.75">
      <c r="A193" s="72" t="s">
        <v>121</v>
      </c>
      <c r="B193" s="50"/>
      <c r="C193" s="6"/>
      <c r="D193" s="6"/>
      <c r="E193" s="51">
        <f t="shared" si="72"/>
        <v>0</v>
      </c>
      <c r="F193" s="50"/>
      <c r="G193" s="6"/>
      <c r="H193" s="51">
        <f t="shared" si="73"/>
        <v>0</v>
      </c>
      <c r="I193" s="50">
        <v>65</v>
      </c>
      <c r="J193" s="6"/>
      <c r="K193" s="51">
        <f t="shared" si="74"/>
        <v>65</v>
      </c>
      <c r="L193" s="50">
        <v>168.4</v>
      </c>
      <c r="M193" s="12"/>
      <c r="N193" s="166">
        <f t="shared" si="75"/>
        <v>233.4</v>
      </c>
      <c r="O193" s="166"/>
      <c r="P193" s="151">
        <f t="shared" si="76"/>
        <v>233.4</v>
      </c>
    </row>
    <row r="194" spans="1:16" ht="12.75" hidden="1">
      <c r="A194" s="71" t="s">
        <v>122</v>
      </c>
      <c r="B194" s="50"/>
      <c r="C194" s="6"/>
      <c r="D194" s="6"/>
      <c r="E194" s="51">
        <f t="shared" si="72"/>
        <v>0</v>
      </c>
      <c r="F194" s="50"/>
      <c r="G194" s="6"/>
      <c r="H194" s="51">
        <f t="shared" si="73"/>
        <v>0</v>
      </c>
      <c r="I194" s="50"/>
      <c r="J194" s="6"/>
      <c r="K194" s="51">
        <f t="shared" si="74"/>
        <v>0</v>
      </c>
      <c r="L194" s="50"/>
      <c r="M194" s="12"/>
      <c r="N194" s="166">
        <f t="shared" si="75"/>
        <v>0</v>
      </c>
      <c r="O194" s="166"/>
      <c r="P194" s="151">
        <f t="shared" si="76"/>
        <v>0</v>
      </c>
    </row>
    <row r="195" spans="1:16" ht="12.75" hidden="1">
      <c r="A195" s="71" t="s">
        <v>123</v>
      </c>
      <c r="B195" s="50"/>
      <c r="C195" s="6"/>
      <c r="D195" s="6"/>
      <c r="E195" s="51">
        <f t="shared" si="72"/>
        <v>0</v>
      </c>
      <c r="F195" s="50"/>
      <c r="G195" s="6"/>
      <c r="H195" s="51">
        <f t="shared" si="73"/>
        <v>0</v>
      </c>
      <c r="I195" s="50"/>
      <c r="J195" s="6"/>
      <c r="K195" s="51">
        <f t="shared" si="74"/>
        <v>0</v>
      </c>
      <c r="L195" s="50"/>
      <c r="M195" s="12"/>
      <c r="N195" s="166">
        <f t="shared" si="75"/>
        <v>0</v>
      </c>
      <c r="O195" s="166"/>
      <c r="P195" s="151">
        <f t="shared" si="76"/>
        <v>0</v>
      </c>
    </row>
    <row r="196" spans="1:16" ht="12.75" hidden="1">
      <c r="A196" s="81" t="s">
        <v>124</v>
      </c>
      <c r="B196" s="50"/>
      <c r="C196" s="6"/>
      <c r="D196" s="6"/>
      <c r="E196" s="51">
        <f t="shared" si="72"/>
        <v>0</v>
      </c>
      <c r="F196" s="50"/>
      <c r="G196" s="6"/>
      <c r="H196" s="51">
        <f t="shared" si="73"/>
        <v>0</v>
      </c>
      <c r="I196" s="50"/>
      <c r="J196" s="6"/>
      <c r="K196" s="51">
        <f t="shared" si="74"/>
        <v>0</v>
      </c>
      <c r="L196" s="50"/>
      <c r="M196" s="12"/>
      <c r="N196" s="166">
        <f t="shared" si="75"/>
        <v>0</v>
      </c>
      <c r="O196" s="166"/>
      <c r="P196" s="151">
        <f t="shared" si="76"/>
        <v>0</v>
      </c>
    </row>
    <row r="197" spans="1:16" ht="12.75">
      <c r="A197" s="81" t="s">
        <v>251</v>
      </c>
      <c r="B197" s="50"/>
      <c r="C197" s="6"/>
      <c r="D197" s="6"/>
      <c r="E197" s="51"/>
      <c r="F197" s="50"/>
      <c r="G197" s="6"/>
      <c r="H197" s="51">
        <f t="shared" si="73"/>
        <v>0</v>
      </c>
      <c r="I197" s="50">
        <v>22983.7</v>
      </c>
      <c r="J197" s="6"/>
      <c r="K197" s="51">
        <f t="shared" si="74"/>
        <v>22983.7</v>
      </c>
      <c r="L197" s="50"/>
      <c r="M197" s="12"/>
      <c r="N197" s="166">
        <f t="shared" si="75"/>
        <v>22983.7</v>
      </c>
      <c r="O197" s="166"/>
      <c r="P197" s="151">
        <f t="shared" si="76"/>
        <v>22983.7</v>
      </c>
    </row>
    <row r="198" spans="1:16" ht="12.75">
      <c r="A198" s="81" t="s">
        <v>260</v>
      </c>
      <c r="B198" s="50"/>
      <c r="C198" s="6"/>
      <c r="D198" s="6"/>
      <c r="E198" s="51"/>
      <c r="F198" s="50"/>
      <c r="G198" s="6"/>
      <c r="H198" s="51"/>
      <c r="I198" s="50"/>
      <c r="J198" s="6"/>
      <c r="K198" s="51">
        <f t="shared" si="74"/>
        <v>0</v>
      </c>
      <c r="L198" s="12">
        <f>13.2+227.5+130.3+7.7</f>
        <v>378.7</v>
      </c>
      <c r="M198" s="12"/>
      <c r="N198" s="166">
        <f t="shared" si="75"/>
        <v>378.7</v>
      </c>
      <c r="O198" s="51"/>
      <c r="P198" s="151">
        <f t="shared" si="76"/>
        <v>378.7</v>
      </c>
    </row>
    <row r="199" spans="1:16" ht="12.75">
      <c r="A199" s="81" t="s">
        <v>234</v>
      </c>
      <c r="B199" s="50"/>
      <c r="C199" s="6"/>
      <c r="D199" s="6"/>
      <c r="E199" s="51">
        <f t="shared" si="72"/>
        <v>0</v>
      </c>
      <c r="F199" s="50">
        <f>152+2944.2+119.9</f>
        <v>3216.1</v>
      </c>
      <c r="G199" s="6"/>
      <c r="H199" s="51">
        <f t="shared" si="73"/>
        <v>3216.1</v>
      </c>
      <c r="I199" s="50">
        <v>250</v>
      </c>
      <c r="J199" s="6"/>
      <c r="K199" s="51">
        <f t="shared" si="74"/>
        <v>3466.1</v>
      </c>
      <c r="L199" s="50">
        <f>862.8+211</f>
        <v>1073.8</v>
      </c>
      <c r="M199" s="12"/>
      <c r="N199" s="166">
        <f t="shared" si="75"/>
        <v>4539.9</v>
      </c>
      <c r="O199" s="166"/>
      <c r="P199" s="151">
        <f t="shared" si="76"/>
        <v>4539.9</v>
      </c>
    </row>
    <row r="200" spans="1:16" ht="12.75">
      <c r="A200" s="81" t="s">
        <v>236</v>
      </c>
      <c r="B200" s="50"/>
      <c r="C200" s="6"/>
      <c r="D200" s="6"/>
      <c r="E200" s="51">
        <f t="shared" si="72"/>
        <v>0</v>
      </c>
      <c r="F200" s="50">
        <v>303.4</v>
      </c>
      <c r="G200" s="6"/>
      <c r="H200" s="51">
        <f t="shared" si="73"/>
        <v>303.4</v>
      </c>
      <c r="I200" s="50"/>
      <c r="J200" s="6"/>
      <c r="K200" s="51">
        <f t="shared" si="74"/>
        <v>303.4</v>
      </c>
      <c r="L200" s="50">
        <v>93</v>
      </c>
      <c r="M200" s="12"/>
      <c r="N200" s="166">
        <f t="shared" si="75"/>
        <v>396.4</v>
      </c>
      <c r="O200" s="166"/>
      <c r="P200" s="151">
        <f t="shared" si="76"/>
        <v>396.4</v>
      </c>
    </row>
    <row r="201" spans="1:16" ht="12.75">
      <c r="A201" s="81" t="s">
        <v>235</v>
      </c>
      <c r="B201" s="50"/>
      <c r="C201" s="6"/>
      <c r="D201" s="6"/>
      <c r="E201" s="51">
        <f t="shared" si="72"/>
        <v>0</v>
      </c>
      <c r="F201" s="50">
        <v>29.4</v>
      </c>
      <c r="G201" s="6"/>
      <c r="H201" s="51">
        <f t="shared" si="73"/>
        <v>29.4</v>
      </c>
      <c r="I201" s="50"/>
      <c r="J201" s="6"/>
      <c r="K201" s="51">
        <f t="shared" si="74"/>
        <v>29.4</v>
      </c>
      <c r="L201" s="50">
        <f>37.8+5.9</f>
        <v>43.699999999999996</v>
      </c>
      <c r="M201" s="12"/>
      <c r="N201" s="166">
        <f t="shared" si="75"/>
        <v>73.1</v>
      </c>
      <c r="O201" s="166"/>
      <c r="P201" s="151">
        <f t="shared" si="76"/>
        <v>73.1</v>
      </c>
    </row>
    <row r="202" spans="1:16" ht="12.75">
      <c r="A202" s="72" t="s">
        <v>274</v>
      </c>
      <c r="B202" s="50"/>
      <c r="C202" s="6"/>
      <c r="D202" s="6"/>
      <c r="E202" s="51"/>
      <c r="F202" s="50"/>
      <c r="G202" s="6"/>
      <c r="H202" s="51"/>
      <c r="I202" s="50"/>
      <c r="J202" s="6"/>
      <c r="K202" s="51"/>
      <c r="L202" s="50"/>
      <c r="M202" s="12"/>
      <c r="N202" s="166">
        <f t="shared" si="75"/>
        <v>0</v>
      </c>
      <c r="O202" s="166">
        <f>56101.7+9269.5</f>
        <v>65371.2</v>
      </c>
      <c r="P202" s="151">
        <f t="shared" si="76"/>
        <v>65371.2</v>
      </c>
    </row>
    <row r="203" spans="1:16" ht="12.75">
      <c r="A203" s="81" t="s">
        <v>275</v>
      </c>
      <c r="B203" s="50"/>
      <c r="C203" s="6"/>
      <c r="D203" s="6"/>
      <c r="E203" s="51"/>
      <c r="F203" s="50"/>
      <c r="G203" s="6"/>
      <c r="H203" s="51"/>
      <c r="I203" s="50"/>
      <c r="J203" s="6"/>
      <c r="K203" s="51"/>
      <c r="L203" s="50"/>
      <c r="M203" s="12"/>
      <c r="N203" s="166">
        <f t="shared" si="75"/>
        <v>0</v>
      </c>
      <c r="O203" s="166">
        <f>20400.6+2073.9</f>
        <v>22474.5</v>
      </c>
      <c r="P203" s="151">
        <f t="shared" si="76"/>
        <v>22474.5</v>
      </c>
    </row>
    <row r="204" spans="1:16" ht="12.75">
      <c r="A204" s="81" t="s">
        <v>276</v>
      </c>
      <c r="B204" s="50"/>
      <c r="C204" s="6"/>
      <c r="D204" s="6"/>
      <c r="E204" s="51"/>
      <c r="F204" s="50"/>
      <c r="G204" s="6"/>
      <c r="H204" s="51"/>
      <c r="I204" s="50"/>
      <c r="J204" s="6"/>
      <c r="K204" s="51"/>
      <c r="L204" s="50"/>
      <c r="M204" s="12"/>
      <c r="N204" s="166">
        <f t="shared" si="75"/>
        <v>0</v>
      </c>
      <c r="O204" s="166">
        <f>25500.7+2398.7</f>
        <v>27899.4</v>
      </c>
      <c r="P204" s="151">
        <f t="shared" si="76"/>
        <v>27899.4</v>
      </c>
    </row>
    <row r="205" spans="1:16" ht="12.75">
      <c r="A205" s="81" t="s">
        <v>237</v>
      </c>
      <c r="B205" s="50"/>
      <c r="C205" s="6">
        <v>240</v>
      </c>
      <c r="D205" s="6"/>
      <c r="E205" s="51">
        <f t="shared" si="72"/>
        <v>240</v>
      </c>
      <c r="F205" s="50"/>
      <c r="G205" s="6"/>
      <c r="H205" s="51">
        <f t="shared" si="73"/>
        <v>240</v>
      </c>
      <c r="I205" s="50">
        <v>0.5</v>
      </c>
      <c r="J205" s="6"/>
      <c r="K205" s="51">
        <f t="shared" si="74"/>
        <v>240.5</v>
      </c>
      <c r="L205" s="50"/>
      <c r="M205" s="12"/>
      <c r="N205" s="166">
        <f t="shared" si="75"/>
        <v>240.5</v>
      </c>
      <c r="O205" s="166"/>
      <c r="P205" s="151">
        <f t="shared" si="76"/>
        <v>240.5</v>
      </c>
    </row>
    <row r="206" spans="1:16" ht="12.75">
      <c r="A206" s="81" t="s">
        <v>238</v>
      </c>
      <c r="B206" s="50"/>
      <c r="C206" s="6">
        <v>97.6</v>
      </c>
      <c r="D206" s="6"/>
      <c r="E206" s="51">
        <f t="shared" si="72"/>
        <v>97.6</v>
      </c>
      <c r="F206" s="50"/>
      <c r="G206" s="6"/>
      <c r="H206" s="51">
        <f t="shared" si="73"/>
        <v>97.6</v>
      </c>
      <c r="I206" s="50"/>
      <c r="J206" s="6"/>
      <c r="K206" s="51">
        <f t="shared" si="74"/>
        <v>97.6</v>
      </c>
      <c r="L206" s="50"/>
      <c r="M206" s="12"/>
      <c r="N206" s="166">
        <f t="shared" si="75"/>
        <v>97.6</v>
      </c>
      <c r="O206" s="166"/>
      <c r="P206" s="151">
        <f t="shared" si="76"/>
        <v>97.6</v>
      </c>
    </row>
    <row r="207" spans="1:16" ht="12.75">
      <c r="A207" s="72" t="s">
        <v>217</v>
      </c>
      <c r="B207" s="50"/>
      <c r="C207" s="6">
        <v>36618.8</v>
      </c>
      <c r="D207" s="6"/>
      <c r="E207" s="51">
        <f t="shared" si="72"/>
        <v>36618.8</v>
      </c>
      <c r="F207" s="50"/>
      <c r="G207" s="6"/>
      <c r="H207" s="51">
        <f t="shared" si="73"/>
        <v>36618.8</v>
      </c>
      <c r="I207" s="50"/>
      <c r="J207" s="6"/>
      <c r="K207" s="51">
        <f t="shared" si="74"/>
        <v>36618.8</v>
      </c>
      <c r="L207" s="50"/>
      <c r="M207" s="12"/>
      <c r="N207" s="166">
        <f t="shared" si="75"/>
        <v>36618.8</v>
      </c>
      <c r="O207" s="166"/>
      <c r="P207" s="151">
        <f t="shared" si="76"/>
        <v>36618.8</v>
      </c>
    </row>
    <row r="208" spans="1:16" ht="12.75">
      <c r="A208" s="81" t="s">
        <v>222</v>
      </c>
      <c r="B208" s="50"/>
      <c r="C208" s="6">
        <v>13313.8</v>
      </c>
      <c r="D208" s="6"/>
      <c r="E208" s="51">
        <f t="shared" si="72"/>
        <v>13313.8</v>
      </c>
      <c r="F208" s="50"/>
      <c r="G208" s="6"/>
      <c r="H208" s="51">
        <f t="shared" si="73"/>
        <v>13313.8</v>
      </c>
      <c r="I208" s="50"/>
      <c r="J208" s="6"/>
      <c r="K208" s="51">
        <f t="shared" si="74"/>
        <v>13313.8</v>
      </c>
      <c r="L208" s="50"/>
      <c r="M208" s="12"/>
      <c r="N208" s="166">
        <f t="shared" si="75"/>
        <v>13313.8</v>
      </c>
      <c r="O208" s="166"/>
      <c r="P208" s="151">
        <f t="shared" si="76"/>
        <v>13313.8</v>
      </c>
    </row>
    <row r="209" spans="1:16" ht="12.75">
      <c r="A209" s="81" t="s">
        <v>218</v>
      </c>
      <c r="B209" s="50"/>
      <c r="C209" s="6">
        <v>17258.7</v>
      </c>
      <c r="D209" s="6"/>
      <c r="E209" s="51">
        <f t="shared" si="72"/>
        <v>17258.7</v>
      </c>
      <c r="F209" s="50"/>
      <c r="G209" s="6"/>
      <c r="H209" s="51">
        <f t="shared" si="73"/>
        <v>17258.7</v>
      </c>
      <c r="I209" s="50"/>
      <c r="J209" s="6"/>
      <c r="K209" s="51">
        <f t="shared" si="74"/>
        <v>17258.7</v>
      </c>
      <c r="L209" s="50"/>
      <c r="M209" s="12"/>
      <c r="N209" s="166">
        <f t="shared" si="75"/>
        <v>17258.7</v>
      </c>
      <c r="O209" s="166"/>
      <c r="P209" s="151">
        <f t="shared" si="76"/>
        <v>17258.7</v>
      </c>
    </row>
    <row r="210" spans="1:16" ht="12.75">
      <c r="A210" s="72" t="s">
        <v>228</v>
      </c>
      <c r="B210" s="50"/>
      <c r="C210" s="6"/>
      <c r="D210" s="6">
        <v>171.7</v>
      </c>
      <c r="E210" s="51">
        <f t="shared" si="72"/>
        <v>171.7</v>
      </c>
      <c r="F210" s="50"/>
      <c r="G210" s="6"/>
      <c r="H210" s="51">
        <f t="shared" si="73"/>
        <v>171.7</v>
      </c>
      <c r="I210" s="50"/>
      <c r="J210" s="6"/>
      <c r="K210" s="51">
        <f t="shared" si="74"/>
        <v>171.7</v>
      </c>
      <c r="L210" s="50"/>
      <c r="M210" s="12"/>
      <c r="N210" s="166">
        <f t="shared" si="75"/>
        <v>171.7</v>
      </c>
      <c r="O210" s="166"/>
      <c r="P210" s="151">
        <f t="shared" si="76"/>
        <v>171.7</v>
      </c>
    </row>
    <row r="211" spans="1:16" ht="12.75">
      <c r="A211" s="72" t="s">
        <v>125</v>
      </c>
      <c r="B211" s="50"/>
      <c r="C211" s="6"/>
      <c r="D211" s="6"/>
      <c r="E211" s="51">
        <f t="shared" si="72"/>
        <v>0</v>
      </c>
      <c r="F211" s="50">
        <v>401.7</v>
      </c>
      <c r="G211" s="6"/>
      <c r="H211" s="51">
        <f t="shared" si="73"/>
        <v>401.7</v>
      </c>
      <c r="I211" s="50"/>
      <c r="J211" s="6"/>
      <c r="K211" s="51">
        <f t="shared" si="74"/>
        <v>401.7</v>
      </c>
      <c r="L211" s="67"/>
      <c r="M211" s="12"/>
      <c r="N211" s="166">
        <f t="shared" si="75"/>
        <v>401.7</v>
      </c>
      <c r="O211" s="168">
        <v>361.9</v>
      </c>
      <c r="P211" s="151">
        <f t="shared" si="76"/>
        <v>763.5999999999999</v>
      </c>
    </row>
    <row r="212" spans="1:16" ht="12.75">
      <c r="A212" s="72" t="s">
        <v>126</v>
      </c>
      <c r="B212" s="50"/>
      <c r="C212" s="6"/>
      <c r="D212" s="6"/>
      <c r="E212" s="51">
        <f t="shared" si="72"/>
        <v>0</v>
      </c>
      <c r="F212" s="50">
        <v>1113.2</v>
      </c>
      <c r="G212" s="6"/>
      <c r="H212" s="51">
        <f t="shared" si="73"/>
        <v>1113.2</v>
      </c>
      <c r="I212" s="50"/>
      <c r="J212" s="6"/>
      <c r="K212" s="51">
        <f t="shared" si="74"/>
        <v>1113.2</v>
      </c>
      <c r="L212" s="50"/>
      <c r="M212" s="12"/>
      <c r="N212" s="166">
        <f t="shared" si="75"/>
        <v>1113.2</v>
      </c>
      <c r="O212" s="166"/>
      <c r="P212" s="151">
        <f t="shared" si="76"/>
        <v>1113.2</v>
      </c>
    </row>
    <row r="213" spans="1:16" ht="12.75">
      <c r="A213" s="72" t="s">
        <v>126</v>
      </c>
      <c r="B213" s="50"/>
      <c r="C213" s="6"/>
      <c r="D213" s="6"/>
      <c r="E213" s="51">
        <f t="shared" si="72"/>
        <v>0</v>
      </c>
      <c r="F213" s="50"/>
      <c r="G213" s="6"/>
      <c r="H213" s="51">
        <f t="shared" si="73"/>
        <v>0</v>
      </c>
      <c r="I213" s="50"/>
      <c r="J213" s="6"/>
      <c r="K213" s="51">
        <f t="shared" si="74"/>
        <v>0</v>
      </c>
      <c r="L213" s="50"/>
      <c r="M213" s="12"/>
      <c r="N213" s="166">
        <f t="shared" si="75"/>
        <v>0</v>
      </c>
      <c r="O213" s="166"/>
      <c r="P213" s="151">
        <f t="shared" si="76"/>
        <v>0</v>
      </c>
    </row>
    <row r="214" spans="1:16" ht="12.75">
      <c r="A214" s="72" t="s">
        <v>267</v>
      </c>
      <c r="B214" s="50"/>
      <c r="C214" s="6"/>
      <c r="D214" s="6"/>
      <c r="E214" s="51"/>
      <c r="F214" s="50"/>
      <c r="G214" s="6"/>
      <c r="H214" s="51"/>
      <c r="I214" s="50"/>
      <c r="J214" s="6"/>
      <c r="K214" s="51">
        <f t="shared" si="74"/>
        <v>0</v>
      </c>
      <c r="L214" s="67">
        <v>445.8</v>
      </c>
      <c r="M214" s="12"/>
      <c r="N214" s="166">
        <f t="shared" si="75"/>
        <v>445.8</v>
      </c>
      <c r="O214" s="168"/>
      <c r="P214" s="151">
        <f t="shared" si="76"/>
        <v>445.8</v>
      </c>
    </row>
    <row r="215" spans="1:16" ht="12.75">
      <c r="A215" s="72" t="s">
        <v>127</v>
      </c>
      <c r="B215" s="50"/>
      <c r="C215" s="6"/>
      <c r="D215" s="6"/>
      <c r="E215" s="51">
        <f t="shared" si="72"/>
        <v>0</v>
      </c>
      <c r="F215" s="50">
        <v>19261.3</v>
      </c>
      <c r="G215" s="6"/>
      <c r="H215" s="51">
        <f t="shared" si="73"/>
        <v>19261.3</v>
      </c>
      <c r="I215" s="50"/>
      <c r="J215" s="6"/>
      <c r="K215" s="51">
        <f t="shared" si="74"/>
        <v>19261.3</v>
      </c>
      <c r="L215" s="50"/>
      <c r="M215" s="12"/>
      <c r="N215" s="166">
        <f t="shared" si="75"/>
        <v>19261.3</v>
      </c>
      <c r="O215" s="166"/>
      <c r="P215" s="151">
        <f t="shared" si="76"/>
        <v>19261.3</v>
      </c>
    </row>
    <row r="216" spans="1:16" ht="12.75">
      <c r="A216" s="72" t="s">
        <v>128</v>
      </c>
      <c r="B216" s="50">
        <v>25000</v>
      </c>
      <c r="C216" s="6">
        <v>2500</v>
      </c>
      <c r="D216" s="6">
        <v>-25000</v>
      </c>
      <c r="E216" s="51">
        <f t="shared" si="72"/>
        <v>2500</v>
      </c>
      <c r="F216" s="50"/>
      <c r="G216" s="6">
        <v>-2500</v>
      </c>
      <c r="H216" s="51">
        <f t="shared" si="73"/>
        <v>0</v>
      </c>
      <c r="I216" s="50"/>
      <c r="J216" s="6"/>
      <c r="K216" s="51">
        <f t="shared" si="74"/>
        <v>0</v>
      </c>
      <c r="L216" s="50"/>
      <c r="M216" s="12"/>
      <c r="N216" s="166">
        <f t="shared" si="75"/>
        <v>0</v>
      </c>
      <c r="O216" s="166"/>
      <c r="P216" s="151">
        <f t="shared" si="76"/>
        <v>0</v>
      </c>
    </row>
    <row r="217" spans="1:16" ht="12.75">
      <c r="A217" s="72" t="s">
        <v>112</v>
      </c>
      <c r="B217" s="50">
        <v>33000</v>
      </c>
      <c r="C217" s="6">
        <v>-3800</v>
      </c>
      <c r="D217" s="6">
        <f>-1900-700+500+4354.2</f>
        <v>2254.2</v>
      </c>
      <c r="E217" s="51">
        <f t="shared" si="72"/>
        <v>31454.2</v>
      </c>
      <c r="F217" s="50">
        <f>2500-200+1720</f>
        <v>4020</v>
      </c>
      <c r="G217" s="6">
        <f>-1000-1500+10041.7+10000</f>
        <v>17541.7</v>
      </c>
      <c r="H217" s="51">
        <f t="shared" si="73"/>
        <v>53015.899999999994</v>
      </c>
      <c r="I217" s="50"/>
      <c r="J217" s="6">
        <f>-670</f>
        <v>-670</v>
      </c>
      <c r="K217" s="51">
        <f t="shared" si="74"/>
        <v>52345.899999999994</v>
      </c>
      <c r="L217" s="67">
        <f>-819.5+5</f>
        <v>-814.5</v>
      </c>
      <c r="M217" s="12">
        <v>10000</v>
      </c>
      <c r="N217" s="166">
        <f t="shared" si="75"/>
        <v>61531.399999999994</v>
      </c>
      <c r="O217" s="168"/>
      <c r="P217" s="151">
        <f t="shared" si="76"/>
        <v>61531.399999999994</v>
      </c>
    </row>
    <row r="218" spans="1:16" ht="12.75">
      <c r="A218" s="72" t="s">
        <v>244</v>
      </c>
      <c r="B218" s="50"/>
      <c r="C218" s="6"/>
      <c r="D218" s="6"/>
      <c r="E218" s="51">
        <f t="shared" si="72"/>
        <v>0</v>
      </c>
      <c r="F218" s="50">
        <f>1720+467</f>
        <v>2187</v>
      </c>
      <c r="G218" s="6">
        <f>416.5+10041.7</f>
        <v>10458.2</v>
      </c>
      <c r="H218" s="51">
        <f t="shared" si="73"/>
        <v>12645.2</v>
      </c>
      <c r="I218" s="50"/>
      <c r="J218" s="6">
        <v>-670</v>
      </c>
      <c r="K218" s="51">
        <f t="shared" si="74"/>
        <v>11975.2</v>
      </c>
      <c r="L218" s="50">
        <v>-819.5</v>
      </c>
      <c r="M218" s="12"/>
      <c r="N218" s="166">
        <f t="shared" si="75"/>
        <v>11155.7</v>
      </c>
      <c r="O218" s="166"/>
      <c r="P218" s="151">
        <f t="shared" si="76"/>
        <v>11155.7</v>
      </c>
    </row>
    <row r="219" spans="1:16" ht="12.75">
      <c r="A219" s="72" t="s">
        <v>129</v>
      </c>
      <c r="B219" s="50"/>
      <c r="C219" s="6"/>
      <c r="D219" s="6"/>
      <c r="E219" s="51">
        <f t="shared" si="72"/>
        <v>0</v>
      </c>
      <c r="F219" s="50"/>
      <c r="G219" s="6"/>
      <c r="H219" s="51">
        <f t="shared" si="73"/>
        <v>0</v>
      </c>
      <c r="I219" s="50"/>
      <c r="J219" s="6"/>
      <c r="K219" s="51">
        <f t="shared" si="74"/>
        <v>0</v>
      </c>
      <c r="L219" s="50"/>
      <c r="M219" s="12"/>
      <c r="N219" s="166">
        <f t="shared" si="75"/>
        <v>0</v>
      </c>
      <c r="O219" s="166"/>
      <c r="P219" s="151">
        <f t="shared" si="76"/>
        <v>0</v>
      </c>
    </row>
    <row r="220" spans="1:16" ht="12.75">
      <c r="A220" s="72" t="s">
        <v>95</v>
      </c>
      <c r="B220" s="50">
        <v>84000</v>
      </c>
      <c r="C220" s="6"/>
      <c r="D220" s="6">
        <f>SUM(D221:D228)</f>
        <v>-13640</v>
      </c>
      <c r="E220" s="51">
        <f>SUM(E221:E228)</f>
        <v>70360</v>
      </c>
      <c r="F220" s="50">
        <f>SUM(F221:F228)</f>
        <v>-15530</v>
      </c>
      <c r="G220" s="6">
        <f>SUM(G221:G228)</f>
        <v>-25490</v>
      </c>
      <c r="H220" s="51">
        <f t="shared" si="73"/>
        <v>29340</v>
      </c>
      <c r="I220" s="50"/>
      <c r="J220" s="6">
        <v>-28340</v>
      </c>
      <c r="K220" s="51">
        <f t="shared" si="74"/>
        <v>1000</v>
      </c>
      <c r="L220" s="50"/>
      <c r="M220" s="12"/>
      <c r="N220" s="166">
        <f t="shared" si="75"/>
        <v>1000</v>
      </c>
      <c r="O220" s="166"/>
      <c r="P220" s="151">
        <f t="shared" si="76"/>
        <v>1000</v>
      </c>
    </row>
    <row r="221" spans="1:16" ht="12.75">
      <c r="A221" s="72" t="s">
        <v>130</v>
      </c>
      <c r="B221" s="50"/>
      <c r="C221" s="6">
        <v>500</v>
      </c>
      <c r="D221" s="6">
        <v>-500</v>
      </c>
      <c r="E221" s="51">
        <f t="shared" si="72"/>
        <v>0</v>
      </c>
      <c r="F221" s="50"/>
      <c r="G221" s="6"/>
      <c r="H221" s="51">
        <f aca="true" t="shared" si="77" ref="H221:H228">SUM(E221:G221)</f>
        <v>0</v>
      </c>
      <c r="I221" s="50"/>
      <c r="J221" s="6"/>
      <c r="K221" s="51">
        <f t="shared" si="74"/>
        <v>0</v>
      </c>
      <c r="L221" s="50"/>
      <c r="M221" s="12"/>
      <c r="N221" s="166">
        <f aca="true" t="shared" si="78" ref="N221:N228">SUM(K221:M221)</f>
        <v>0</v>
      </c>
      <c r="O221" s="166"/>
      <c r="P221" s="151">
        <f t="shared" si="76"/>
        <v>0</v>
      </c>
    </row>
    <row r="222" spans="1:16" ht="12.75">
      <c r="A222" s="72" t="s">
        <v>131</v>
      </c>
      <c r="B222" s="50"/>
      <c r="C222" s="6">
        <v>9000</v>
      </c>
      <c r="D222" s="6"/>
      <c r="E222" s="51">
        <f t="shared" si="72"/>
        <v>9000</v>
      </c>
      <c r="F222" s="50"/>
      <c r="G222" s="6">
        <v>-9000</v>
      </c>
      <c r="H222" s="51">
        <f t="shared" si="77"/>
        <v>0</v>
      </c>
      <c r="I222" s="50"/>
      <c r="J222" s="6"/>
      <c r="K222" s="51">
        <f t="shared" si="74"/>
        <v>0</v>
      </c>
      <c r="L222" s="50"/>
      <c r="M222" s="12"/>
      <c r="N222" s="166">
        <f t="shared" si="78"/>
        <v>0</v>
      </c>
      <c r="O222" s="166"/>
      <c r="P222" s="151">
        <f t="shared" si="76"/>
        <v>0</v>
      </c>
    </row>
    <row r="223" spans="1:16" ht="12.75">
      <c r="A223" s="72" t="s">
        <v>132</v>
      </c>
      <c r="B223" s="50"/>
      <c r="C223" s="6">
        <v>13530</v>
      </c>
      <c r="D223" s="6"/>
      <c r="E223" s="51">
        <f t="shared" si="72"/>
        <v>13530</v>
      </c>
      <c r="F223" s="50">
        <v>-13530</v>
      </c>
      <c r="G223" s="6"/>
      <c r="H223" s="51">
        <f t="shared" si="77"/>
        <v>0</v>
      </c>
      <c r="I223" s="50"/>
      <c r="J223" s="6"/>
      <c r="K223" s="51">
        <f t="shared" si="74"/>
        <v>0</v>
      </c>
      <c r="L223" s="50"/>
      <c r="M223" s="12"/>
      <c r="N223" s="166">
        <f t="shared" si="78"/>
        <v>0</v>
      </c>
      <c r="O223" s="166"/>
      <c r="P223" s="151">
        <f t="shared" si="76"/>
        <v>0</v>
      </c>
    </row>
    <row r="224" spans="1:16" ht="12.75">
      <c r="A224" s="72" t="s">
        <v>133</v>
      </c>
      <c r="B224" s="50"/>
      <c r="C224" s="6">
        <v>2700</v>
      </c>
      <c r="D224" s="6"/>
      <c r="E224" s="51">
        <f t="shared" si="72"/>
        <v>2700</v>
      </c>
      <c r="F224" s="50"/>
      <c r="G224" s="6">
        <v>-1700</v>
      </c>
      <c r="H224" s="51">
        <f t="shared" si="77"/>
        <v>1000</v>
      </c>
      <c r="I224" s="50"/>
      <c r="J224" s="6"/>
      <c r="K224" s="51">
        <f t="shared" si="74"/>
        <v>1000</v>
      </c>
      <c r="L224" s="50"/>
      <c r="M224" s="12"/>
      <c r="N224" s="166">
        <f t="shared" si="78"/>
        <v>1000</v>
      </c>
      <c r="O224" s="166"/>
      <c r="P224" s="151">
        <f t="shared" si="76"/>
        <v>1000</v>
      </c>
    </row>
    <row r="225" spans="1:16" ht="12.75">
      <c r="A225" s="72" t="s">
        <v>134</v>
      </c>
      <c r="B225" s="50"/>
      <c r="C225" s="6">
        <v>4510</v>
      </c>
      <c r="D225" s="6"/>
      <c r="E225" s="51">
        <f t="shared" si="72"/>
        <v>4510</v>
      </c>
      <c r="F225" s="50"/>
      <c r="G225" s="6">
        <v>-4510</v>
      </c>
      <c r="H225" s="51">
        <f t="shared" si="77"/>
        <v>0</v>
      </c>
      <c r="I225" s="50"/>
      <c r="J225" s="6"/>
      <c r="K225" s="51">
        <f t="shared" si="74"/>
        <v>0</v>
      </c>
      <c r="L225" s="50"/>
      <c r="M225" s="12"/>
      <c r="N225" s="166">
        <f t="shared" si="78"/>
        <v>0</v>
      </c>
      <c r="O225" s="166"/>
      <c r="P225" s="151">
        <f t="shared" si="76"/>
        <v>0</v>
      </c>
    </row>
    <row r="226" spans="1:16" ht="12.75">
      <c r="A226" s="72" t="s">
        <v>135</v>
      </c>
      <c r="B226" s="50"/>
      <c r="C226" s="6">
        <v>10280</v>
      </c>
      <c r="D226" s="6"/>
      <c r="E226" s="51">
        <f t="shared" si="72"/>
        <v>10280</v>
      </c>
      <c r="F226" s="50"/>
      <c r="G226" s="6">
        <v>-10280</v>
      </c>
      <c r="H226" s="51">
        <f t="shared" si="77"/>
        <v>0</v>
      </c>
      <c r="I226" s="50"/>
      <c r="J226" s="6"/>
      <c r="K226" s="51">
        <f t="shared" si="74"/>
        <v>0</v>
      </c>
      <c r="L226" s="50"/>
      <c r="M226" s="12"/>
      <c r="N226" s="166">
        <f t="shared" si="78"/>
        <v>0</v>
      </c>
      <c r="O226" s="166"/>
      <c r="P226" s="151">
        <f t="shared" si="76"/>
        <v>0</v>
      </c>
    </row>
    <row r="227" spans="1:16" ht="12.75">
      <c r="A227" s="72" t="s">
        <v>136</v>
      </c>
      <c r="B227" s="50"/>
      <c r="C227" s="6">
        <v>28340</v>
      </c>
      <c r="D227" s="6"/>
      <c r="E227" s="51">
        <f t="shared" si="72"/>
        <v>28340</v>
      </c>
      <c r="F227" s="50"/>
      <c r="G227" s="6"/>
      <c r="H227" s="51">
        <f t="shared" si="77"/>
        <v>28340</v>
      </c>
      <c r="I227" s="50"/>
      <c r="J227" s="6">
        <v>-28340</v>
      </c>
      <c r="K227" s="51">
        <f t="shared" si="74"/>
        <v>0</v>
      </c>
      <c r="L227" s="50"/>
      <c r="M227" s="12"/>
      <c r="N227" s="166">
        <f t="shared" si="78"/>
        <v>0</v>
      </c>
      <c r="O227" s="166"/>
      <c r="P227" s="151">
        <f t="shared" si="76"/>
        <v>0</v>
      </c>
    </row>
    <row r="228" spans="1:16" ht="12.75">
      <c r="A228" s="75" t="s">
        <v>137</v>
      </c>
      <c r="B228" s="54"/>
      <c r="C228" s="9">
        <v>15140</v>
      </c>
      <c r="D228" s="9">
        <v>-13140</v>
      </c>
      <c r="E228" s="55">
        <f t="shared" si="72"/>
        <v>2000</v>
      </c>
      <c r="F228" s="54">
        <v>-2000</v>
      </c>
      <c r="G228" s="9"/>
      <c r="H228" s="55">
        <f t="shared" si="77"/>
        <v>0</v>
      </c>
      <c r="I228" s="54"/>
      <c r="J228" s="9"/>
      <c r="K228" s="55">
        <f t="shared" si="74"/>
        <v>0</v>
      </c>
      <c r="L228" s="54"/>
      <c r="M228" s="135"/>
      <c r="N228" s="172">
        <f t="shared" si="78"/>
        <v>0</v>
      </c>
      <c r="O228" s="172"/>
      <c r="P228" s="154">
        <f t="shared" si="76"/>
        <v>0</v>
      </c>
    </row>
    <row r="229" spans="1:16" ht="12.75">
      <c r="A229" s="79" t="s">
        <v>81</v>
      </c>
      <c r="B229" s="60">
        <f aca="true" t="shared" si="79" ref="B229:N229">SUM(B231:B244)</f>
        <v>88100</v>
      </c>
      <c r="C229" s="11">
        <f t="shared" si="79"/>
        <v>13395.300000000001</v>
      </c>
      <c r="D229" s="11">
        <f t="shared" si="79"/>
        <v>5398.299999999999</v>
      </c>
      <c r="E229" s="61">
        <f t="shared" si="79"/>
        <v>106893.6</v>
      </c>
      <c r="F229" s="60">
        <f t="shared" si="79"/>
        <v>10177</v>
      </c>
      <c r="G229" s="11">
        <f t="shared" si="79"/>
        <v>-13990.5</v>
      </c>
      <c r="H229" s="61">
        <f t="shared" si="79"/>
        <v>103080.1</v>
      </c>
      <c r="I229" s="60">
        <f t="shared" si="79"/>
        <v>2553.7</v>
      </c>
      <c r="J229" s="11">
        <f t="shared" si="79"/>
        <v>-738.1</v>
      </c>
      <c r="K229" s="61">
        <f t="shared" si="79"/>
        <v>104895.7</v>
      </c>
      <c r="L229" s="60">
        <f t="shared" si="79"/>
        <v>-852.8</v>
      </c>
      <c r="M229" s="134">
        <f t="shared" si="79"/>
        <v>15066.699999999999</v>
      </c>
      <c r="N229" s="171">
        <f t="shared" si="79"/>
        <v>119109.59999999999</v>
      </c>
      <c r="O229" s="171">
        <f>SUM(O231:O244)</f>
        <v>0</v>
      </c>
      <c r="P229" s="103">
        <f>SUM(P231:P244)</f>
        <v>119109.59999999999</v>
      </c>
    </row>
    <row r="230" spans="1:16" ht="9.75" customHeight="1">
      <c r="A230" s="81" t="s">
        <v>45</v>
      </c>
      <c r="B230" s="50"/>
      <c r="C230" s="6"/>
      <c r="D230" s="6"/>
      <c r="E230" s="51"/>
      <c r="F230" s="50"/>
      <c r="G230" s="6"/>
      <c r="H230" s="51"/>
      <c r="I230" s="50"/>
      <c r="J230" s="6"/>
      <c r="K230" s="51"/>
      <c r="L230" s="50"/>
      <c r="M230" s="12"/>
      <c r="N230" s="166"/>
      <c r="O230" s="166"/>
      <c r="P230" s="151"/>
    </row>
    <row r="231" spans="1:16" ht="12.75">
      <c r="A231" s="72" t="s">
        <v>138</v>
      </c>
      <c r="B231" s="50">
        <v>100</v>
      </c>
      <c r="C231" s="6"/>
      <c r="D231" s="6"/>
      <c r="E231" s="51">
        <f>B231+C231+D231</f>
        <v>100</v>
      </c>
      <c r="F231" s="50"/>
      <c r="G231" s="6"/>
      <c r="H231" s="51">
        <f>E231+F231+G231</f>
        <v>100</v>
      </c>
      <c r="I231" s="50"/>
      <c r="J231" s="6"/>
      <c r="K231" s="51">
        <f>H231+I231+J231</f>
        <v>100</v>
      </c>
      <c r="L231" s="50"/>
      <c r="M231" s="12"/>
      <c r="N231" s="166">
        <f>K231+L231+M231</f>
        <v>100</v>
      </c>
      <c r="O231" s="166"/>
      <c r="P231" s="151">
        <f aca="true" t="shared" si="80" ref="P231:P244">N231+O231</f>
        <v>100</v>
      </c>
    </row>
    <row r="232" spans="1:16" ht="12.75" hidden="1">
      <c r="A232" s="72" t="s">
        <v>139</v>
      </c>
      <c r="B232" s="50"/>
      <c r="C232" s="6"/>
      <c r="D232" s="6"/>
      <c r="E232" s="51">
        <f aca="true" t="shared" si="81" ref="E232:E244">B232+C232+D232</f>
        <v>0</v>
      </c>
      <c r="F232" s="50"/>
      <c r="G232" s="6"/>
      <c r="H232" s="51">
        <f aca="true" t="shared" si="82" ref="H232:H244">E232+F232+G232</f>
        <v>0</v>
      </c>
      <c r="I232" s="50"/>
      <c r="J232" s="6"/>
      <c r="K232" s="51">
        <f aca="true" t="shared" si="83" ref="K232:K244">H232+I232+J232</f>
        <v>0</v>
      </c>
      <c r="L232" s="50"/>
      <c r="M232" s="12"/>
      <c r="N232" s="166">
        <f aca="true" t="shared" si="84" ref="N232:N244">K232+L232+M232</f>
        <v>0</v>
      </c>
      <c r="O232" s="166"/>
      <c r="P232" s="151">
        <f t="shared" si="80"/>
        <v>0</v>
      </c>
    </row>
    <row r="233" spans="1:16" ht="12.75" hidden="1">
      <c r="A233" s="81" t="s">
        <v>124</v>
      </c>
      <c r="B233" s="50"/>
      <c r="C233" s="6"/>
      <c r="D233" s="6"/>
      <c r="E233" s="51">
        <f t="shared" si="81"/>
        <v>0</v>
      </c>
      <c r="F233" s="50"/>
      <c r="G233" s="6"/>
      <c r="H233" s="51">
        <f t="shared" si="82"/>
        <v>0</v>
      </c>
      <c r="I233" s="50"/>
      <c r="J233" s="6"/>
      <c r="K233" s="51">
        <f t="shared" si="83"/>
        <v>0</v>
      </c>
      <c r="L233" s="50"/>
      <c r="M233" s="12"/>
      <c r="N233" s="166">
        <f t="shared" si="84"/>
        <v>0</v>
      </c>
      <c r="O233" s="166"/>
      <c r="P233" s="151">
        <f t="shared" si="80"/>
        <v>0</v>
      </c>
    </row>
    <row r="234" spans="1:16" ht="12.75" hidden="1">
      <c r="A234" s="71" t="s">
        <v>123</v>
      </c>
      <c r="B234" s="50"/>
      <c r="C234" s="6"/>
      <c r="D234" s="6"/>
      <c r="E234" s="51">
        <f t="shared" si="81"/>
        <v>0</v>
      </c>
      <c r="F234" s="50"/>
      <c r="G234" s="6"/>
      <c r="H234" s="51">
        <f t="shared" si="82"/>
        <v>0</v>
      </c>
      <c r="I234" s="50"/>
      <c r="J234" s="6"/>
      <c r="K234" s="51">
        <f t="shared" si="83"/>
        <v>0</v>
      </c>
      <c r="L234" s="50"/>
      <c r="M234" s="12"/>
      <c r="N234" s="166">
        <f t="shared" si="84"/>
        <v>0</v>
      </c>
      <c r="O234" s="166"/>
      <c r="P234" s="151">
        <f t="shared" si="80"/>
        <v>0</v>
      </c>
    </row>
    <row r="235" spans="1:16" ht="12.75" hidden="1">
      <c r="A235" s="72" t="s">
        <v>140</v>
      </c>
      <c r="B235" s="50"/>
      <c r="C235" s="6"/>
      <c r="D235" s="6"/>
      <c r="E235" s="51">
        <f t="shared" si="81"/>
        <v>0</v>
      </c>
      <c r="F235" s="50"/>
      <c r="G235" s="6"/>
      <c r="H235" s="51">
        <f t="shared" si="82"/>
        <v>0</v>
      </c>
      <c r="I235" s="50"/>
      <c r="J235" s="6"/>
      <c r="K235" s="51">
        <f t="shared" si="83"/>
        <v>0</v>
      </c>
      <c r="L235" s="50"/>
      <c r="M235" s="12"/>
      <c r="N235" s="166">
        <f t="shared" si="84"/>
        <v>0</v>
      </c>
      <c r="O235" s="166"/>
      <c r="P235" s="151">
        <f t="shared" si="80"/>
        <v>0</v>
      </c>
    </row>
    <row r="236" spans="1:16" ht="12.75">
      <c r="A236" s="81" t="s">
        <v>219</v>
      </c>
      <c r="B236" s="50"/>
      <c r="C236" s="6">
        <v>5387.1</v>
      </c>
      <c r="D236" s="6"/>
      <c r="E236" s="51">
        <f t="shared" si="81"/>
        <v>5387.1</v>
      </c>
      <c r="F236" s="50"/>
      <c r="G236" s="6"/>
      <c r="H236" s="51">
        <f t="shared" si="82"/>
        <v>5387.1</v>
      </c>
      <c r="I236" s="50"/>
      <c r="J236" s="6"/>
      <c r="K236" s="51">
        <f t="shared" si="83"/>
        <v>5387.1</v>
      </c>
      <c r="L236" s="50"/>
      <c r="M236" s="12"/>
      <c r="N236" s="166">
        <f t="shared" si="84"/>
        <v>5387.1</v>
      </c>
      <c r="O236" s="166"/>
      <c r="P236" s="151">
        <f t="shared" si="80"/>
        <v>5387.1</v>
      </c>
    </row>
    <row r="237" spans="1:16" ht="12.75">
      <c r="A237" s="81" t="s">
        <v>220</v>
      </c>
      <c r="B237" s="50"/>
      <c r="C237" s="6">
        <v>2448.1</v>
      </c>
      <c r="D237" s="6"/>
      <c r="E237" s="51">
        <f t="shared" si="81"/>
        <v>2448.1</v>
      </c>
      <c r="F237" s="50"/>
      <c r="G237" s="6"/>
      <c r="H237" s="51">
        <f t="shared" si="82"/>
        <v>2448.1</v>
      </c>
      <c r="I237" s="50"/>
      <c r="J237" s="6"/>
      <c r="K237" s="51">
        <f t="shared" si="83"/>
        <v>2448.1</v>
      </c>
      <c r="L237" s="50"/>
      <c r="M237" s="12"/>
      <c r="N237" s="166">
        <f t="shared" si="84"/>
        <v>2448.1</v>
      </c>
      <c r="O237" s="166"/>
      <c r="P237" s="151">
        <f t="shared" si="80"/>
        <v>2448.1</v>
      </c>
    </row>
    <row r="238" spans="1:16" ht="12.75">
      <c r="A238" s="81" t="s">
        <v>218</v>
      </c>
      <c r="B238" s="50"/>
      <c r="C238" s="6">
        <v>3060.1</v>
      </c>
      <c r="D238" s="6"/>
      <c r="E238" s="51">
        <f t="shared" si="81"/>
        <v>3060.1</v>
      </c>
      <c r="F238" s="50"/>
      <c r="G238" s="6"/>
      <c r="H238" s="51">
        <f t="shared" si="82"/>
        <v>3060.1</v>
      </c>
      <c r="I238" s="50"/>
      <c r="J238" s="6"/>
      <c r="K238" s="51">
        <f t="shared" si="83"/>
        <v>3060.1</v>
      </c>
      <c r="L238" s="50"/>
      <c r="M238" s="12"/>
      <c r="N238" s="166">
        <f t="shared" si="84"/>
        <v>3060.1</v>
      </c>
      <c r="O238" s="166"/>
      <c r="P238" s="151">
        <f t="shared" si="80"/>
        <v>3060.1</v>
      </c>
    </row>
    <row r="239" spans="1:16" ht="12.75">
      <c r="A239" s="81" t="s">
        <v>251</v>
      </c>
      <c r="B239" s="50"/>
      <c r="C239" s="6"/>
      <c r="D239" s="6"/>
      <c r="E239" s="51"/>
      <c r="F239" s="50"/>
      <c r="G239" s="6"/>
      <c r="H239" s="51">
        <f t="shared" si="82"/>
        <v>0</v>
      </c>
      <c r="I239" s="50">
        <v>2553.7</v>
      </c>
      <c r="J239" s="6"/>
      <c r="K239" s="51">
        <f t="shared" si="83"/>
        <v>2553.7</v>
      </c>
      <c r="L239" s="50"/>
      <c r="M239" s="12"/>
      <c r="N239" s="166">
        <f t="shared" si="84"/>
        <v>2553.7</v>
      </c>
      <c r="O239" s="166"/>
      <c r="P239" s="151">
        <f t="shared" si="80"/>
        <v>2553.7</v>
      </c>
    </row>
    <row r="240" spans="1:16" ht="12.75">
      <c r="A240" s="72" t="s">
        <v>229</v>
      </c>
      <c r="B240" s="50"/>
      <c r="C240" s="6"/>
      <c r="D240" s="6">
        <v>16470.8</v>
      </c>
      <c r="E240" s="51">
        <f t="shared" si="81"/>
        <v>16470.8</v>
      </c>
      <c r="F240" s="50"/>
      <c r="G240" s="6"/>
      <c r="H240" s="51">
        <f t="shared" si="82"/>
        <v>16470.8</v>
      </c>
      <c r="I240" s="50"/>
      <c r="J240" s="6"/>
      <c r="K240" s="51">
        <f t="shared" si="83"/>
        <v>16470.8</v>
      </c>
      <c r="L240" s="50"/>
      <c r="M240" s="12"/>
      <c r="N240" s="166">
        <f t="shared" si="84"/>
        <v>16470.8</v>
      </c>
      <c r="O240" s="166"/>
      <c r="P240" s="151">
        <f t="shared" si="80"/>
        <v>16470.8</v>
      </c>
    </row>
    <row r="241" spans="1:16" ht="12.75">
      <c r="A241" s="72" t="s">
        <v>242</v>
      </c>
      <c r="B241" s="50"/>
      <c r="C241" s="6"/>
      <c r="D241" s="6"/>
      <c r="E241" s="51">
        <f t="shared" si="81"/>
        <v>0</v>
      </c>
      <c r="F241" s="50">
        <v>8344.2</v>
      </c>
      <c r="G241" s="6"/>
      <c r="H241" s="51">
        <f t="shared" si="82"/>
        <v>8344.2</v>
      </c>
      <c r="I241" s="50"/>
      <c r="J241" s="6"/>
      <c r="K241" s="51">
        <f t="shared" si="83"/>
        <v>8344.2</v>
      </c>
      <c r="L241" s="50"/>
      <c r="M241" s="12"/>
      <c r="N241" s="166">
        <f t="shared" si="84"/>
        <v>8344.2</v>
      </c>
      <c r="O241" s="166"/>
      <c r="P241" s="151">
        <f t="shared" si="80"/>
        <v>8344.2</v>
      </c>
    </row>
    <row r="242" spans="1:16" ht="12.75" hidden="1">
      <c r="A242" s="72" t="s">
        <v>82</v>
      </c>
      <c r="B242" s="50"/>
      <c r="C242" s="6"/>
      <c r="D242" s="6"/>
      <c r="E242" s="51">
        <f t="shared" si="81"/>
        <v>0</v>
      </c>
      <c r="F242" s="67"/>
      <c r="G242" s="6"/>
      <c r="H242" s="51">
        <f t="shared" si="82"/>
        <v>0</v>
      </c>
      <c r="I242" s="50"/>
      <c r="J242" s="6"/>
      <c r="K242" s="51">
        <f t="shared" si="83"/>
        <v>0</v>
      </c>
      <c r="L242" s="50"/>
      <c r="M242" s="12"/>
      <c r="N242" s="166">
        <f t="shared" si="84"/>
        <v>0</v>
      </c>
      <c r="O242" s="166"/>
      <c r="P242" s="151">
        <f t="shared" si="80"/>
        <v>0</v>
      </c>
    </row>
    <row r="243" spans="1:16" ht="12.75">
      <c r="A243" s="72" t="s">
        <v>128</v>
      </c>
      <c r="B243" s="50">
        <v>20000</v>
      </c>
      <c r="C243" s="6">
        <v>2500</v>
      </c>
      <c r="D243" s="6">
        <v>-20000</v>
      </c>
      <c r="E243" s="51">
        <f t="shared" si="81"/>
        <v>2500</v>
      </c>
      <c r="F243" s="50"/>
      <c r="G243" s="6">
        <v>-2500</v>
      </c>
      <c r="H243" s="51">
        <f t="shared" si="82"/>
        <v>0</v>
      </c>
      <c r="I243" s="50"/>
      <c r="J243" s="6"/>
      <c r="K243" s="51">
        <f t="shared" si="83"/>
        <v>0</v>
      </c>
      <c r="L243" s="50"/>
      <c r="M243" s="12"/>
      <c r="N243" s="166">
        <f t="shared" si="84"/>
        <v>0</v>
      </c>
      <c r="O243" s="166"/>
      <c r="P243" s="151">
        <f t="shared" si="80"/>
        <v>0</v>
      </c>
    </row>
    <row r="244" spans="1:16" ht="12.75">
      <c r="A244" s="75" t="s">
        <v>112</v>
      </c>
      <c r="B244" s="54">
        <v>68000</v>
      </c>
      <c r="C244" s="9"/>
      <c r="D244" s="9">
        <f>8443.7+483.8</f>
        <v>8927.5</v>
      </c>
      <c r="E244" s="55">
        <f t="shared" si="81"/>
        <v>76927.5</v>
      </c>
      <c r="F244" s="54">
        <f>4000+25907.5-28074.7</f>
        <v>1832.7999999999993</v>
      </c>
      <c r="G244" s="9">
        <f>-648.8-800-10041.7</f>
        <v>-11490.5</v>
      </c>
      <c r="H244" s="55">
        <f t="shared" si="82"/>
        <v>67269.8</v>
      </c>
      <c r="I244" s="54"/>
      <c r="J244" s="9">
        <v>-738.1</v>
      </c>
      <c r="K244" s="55">
        <f t="shared" si="83"/>
        <v>66531.7</v>
      </c>
      <c r="L244" s="54">
        <f>-15-832.8-5</f>
        <v>-852.8</v>
      </c>
      <c r="M244" s="135">
        <f>-54.7+15121.4</f>
        <v>15066.699999999999</v>
      </c>
      <c r="N244" s="172">
        <f t="shared" si="84"/>
        <v>80745.59999999999</v>
      </c>
      <c r="O244" s="172"/>
      <c r="P244" s="154">
        <f t="shared" si="80"/>
        <v>80745.59999999999</v>
      </c>
    </row>
    <row r="245" spans="1:16" ht="12.75">
      <c r="A245" s="69" t="s">
        <v>141</v>
      </c>
      <c r="B245" s="48">
        <f aca="true" t="shared" si="85" ref="B245:P245">B246+B275</f>
        <v>350319</v>
      </c>
      <c r="C245" s="5">
        <f t="shared" si="85"/>
        <v>1322811.3</v>
      </c>
      <c r="D245" s="5">
        <f t="shared" si="85"/>
        <v>0</v>
      </c>
      <c r="E245" s="49">
        <f t="shared" si="85"/>
        <v>1673130.3</v>
      </c>
      <c r="F245" s="48">
        <f t="shared" si="85"/>
        <v>1151779.8</v>
      </c>
      <c r="G245" s="5">
        <f t="shared" si="85"/>
        <v>12152.5</v>
      </c>
      <c r="H245" s="49">
        <f t="shared" si="85"/>
        <v>2837062.5999999996</v>
      </c>
      <c r="I245" s="48">
        <f t="shared" si="85"/>
        <v>1102191.7</v>
      </c>
      <c r="J245" s="5">
        <f t="shared" si="85"/>
        <v>5084.4</v>
      </c>
      <c r="K245" s="49">
        <f t="shared" si="85"/>
        <v>3944338.7</v>
      </c>
      <c r="L245" s="119">
        <f t="shared" si="85"/>
        <v>1107595.5</v>
      </c>
      <c r="M245" s="136">
        <f t="shared" si="85"/>
        <v>2286.2000000000003</v>
      </c>
      <c r="N245" s="165">
        <f t="shared" si="85"/>
        <v>5054220.3999999985</v>
      </c>
      <c r="O245" s="176">
        <f t="shared" si="85"/>
        <v>1173.3000000000002</v>
      </c>
      <c r="P245" s="150">
        <f t="shared" si="85"/>
        <v>5055393.699999999</v>
      </c>
    </row>
    <row r="246" spans="1:16" ht="12.75">
      <c r="A246" s="78" t="s">
        <v>75</v>
      </c>
      <c r="B246" s="58">
        <f aca="true" t="shared" si="86" ref="B246:N246">SUM(B248:B274)</f>
        <v>350319</v>
      </c>
      <c r="C246" s="10">
        <f t="shared" si="86"/>
        <v>1172454</v>
      </c>
      <c r="D246" s="10">
        <f t="shared" si="86"/>
        <v>0</v>
      </c>
      <c r="E246" s="59">
        <f t="shared" si="86"/>
        <v>1522773</v>
      </c>
      <c r="F246" s="58">
        <f t="shared" si="86"/>
        <v>1151779.8</v>
      </c>
      <c r="G246" s="10">
        <f t="shared" si="86"/>
        <v>10022.7</v>
      </c>
      <c r="H246" s="59">
        <f t="shared" si="86"/>
        <v>2684575.4999999995</v>
      </c>
      <c r="I246" s="58">
        <f t="shared" si="86"/>
        <v>1102191.7</v>
      </c>
      <c r="J246" s="10">
        <f t="shared" si="86"/>
        <v>1316.499999999999</v>
      </c>
      <c r="K246" s="59">
        <f t="shared" si="86"/>
        <v>3788083.7</v>
      </c>
      <c r="L246" s="58">
        <f t="shared" si="86"/>
        <v>1100785.7</v>
      </c>
      <c r="M246" s="133">
        <f t="shared" si="86"/>
        <v>-84.29999999999973</v>
      </c>
      <c r="N246" s="170">
        <f t="shared" si="86"/>
        <v>4888785.099999999</v>
      </c>
      <c r="O246" s="170">
        <f>SUM(O248:O274)</f>
        <v>600.7</v>
      </c>
      <c r="P246" s="153">
        <f>SUM(P248:P274)</f>
        <v>4889385.799999999</v>
      </c>
    </row>
    <row r="247" spans="1:16" ht="9.75" customHeight="1">
      <c r="A247" s="70" t="s">
        <v>45</v>
      </c>
      <c r="B247" s="50"/>
      <c r="C247" s="6"/>
      <c r="D247" s="6"/>
      <c r="E247" s="51"/>
      <c r="F247" s="50"/>
      <c r="G247" s="6"/>
      <c r="H247" s="51"/>
      <c r="I247" s="50"/>
      <c r="J247" s="6"/>
      <c r="K247" s="51"/>
      <c r="L247" s="50"/>
      <c r="M247" s="12"/>
      <c r="N247" s="166"/>
      <c r="O247" s="166"/>
      <c r="P247" s="151"/>
    </row>
    <row r="248" spans="1:16" ht="12.75">
      <c r="A248" s="76" t="s">
        <v>106</v>
      </c>
      <c r="B248" s="50">
        <v>326929</v>
      </c>
      <c r="C248" s="6"/>
      <c r="D248" s="6">
        <v>1029.4</v>
      </c>
      <c r="E248" s="51">
        <f>B248+C248+D248</f>
        <v>327958.4</v>
      </c>
      <c r="F248" s="50">
        <v>1939.5</v>
      </c>
      <c r="G248" s="6">
        <f>15175.4</f>
        <v>15175.4</v>
      </c>
      <c r="H248" s="51">
        <f>E248+F248+G248</f>
        <v>345073.30000000005</v>
      </c>
      <c r="I248" s="50"/>
      <c r="J248" s="6">
        <v>7416.9</v>
      </c>
      <c r="K248" s="51">
        <f>H248+I248+J248</f>
        <v>352490.20000000007</v>
      </c>
      <c r="L248" s="50">
        <v>941.7</v>
      </c>
      <c r="M248" s="12">
        <v>986.7</v>
      </c>
      <c r="N248" s="166">
        <f>K248+L248+M248</f>
        <v>354418.6000000001</v>
      </c>
      <c r="O248" s="166">
        <v>60</v>
      </c>
      <c r="P248" s="151">
        <f>N248+O248</f>
        <v>354478.6000000001</v>
      </c>
    </row>
    <row r="249" spans="1:16" ht="12.75">
      <c r="A249" s="76" t="s">
        <v>142</v>
      </c>
      <c r="B249" s="50"/>
      <c r="C249" s="6"/>
      <c r="D249" s="6"/>
      <c r="E249" s="51"/>
      <c r="F249" s="50"/>
      <c r="G249" s="6"/>
      <c r="H249" s="51"/>
      <c r="I249" s="50"/>
      <c r="J249" s="6"/>
      <c r="K249" s="51"/>
      <c r="L249" s="50"/>
      <c r="M249" s="12"/>
      <c r="N249" s="166"/>
      <c r="O249" s="166"/>
      <c r="P249" s="151"/>
    </row>
    <row r="250" spans="1:16" ht="12.75">
      <c r="A250" s="76" t="s">
        <v>143</v>
      </c>
      <c r="B250" s="50"/>
      <c r="C250" s="6">
        <v>404132</v>
      </c>
      <c r="D250" s="6"/>
      <c r="E250" s="51">
        <f aca="true" t="shared" si="87" ref="E250:E274">B250+C250+D250</f>
        <v>404132</v>
      </c>
      <c r="F250" s="50">
        <v>388461</v>
      </c>
      <c r="G250" s="6"/>
      <c r="H250" s="51">
        <f aca="true" t="shared" si="88" ref="H250:H274">E250+F250+G250</f>
        <v>792593</v>
      </c>
      <c r="I250" s="50">
        <f>15496.4+368060.1</f>
        <v>383556.5</v>
      </c>
      <c r="J250" s="6"/>
      <c r="K250" s="51">
        <f aca="true" t="shared" si="89" ref="K250:K274">H250+I250+J250</f>
        <v>1176149.5</v>
      </c>
      <c r="L250" s="50">
        <v>393692.5</v>
      </c>
      <c r="M250" s="12"/>
      <c r="N250" s="166">
        <f aca="true" t="shared" si="90" ref="N250:N274">K250+L250+M250</f>
        <v>1569842</v>
      </c>
      <c r="O250" s="166"/>
      <c r="P250" s="151">
        <f>N250+O250</f>
        <v>1569842</v>
      </c>
    </row>
    <row r="251" spans="1:16" ht="12.75">
      <c r="A251" s="76" t="s">
        <v>144</v>
      </c>
      <c r="B251" s="50"/>
      <c r="C251" s="6">
        <v>52350</v>
      </c>
      <c r="D251" s="6"/>
      <c r="E251" s="51">
        <f t="shared" si="87"/>
        <v>52350</v>
      </c>
      <c r="F251" s="50">
        <v>44050</v>
      </c>
      <c r="G251" s="6"/>
      <c r="H251" s="51">
        <f t="shared" si="88"/>
        <v>96400</v>
      </c>
      <c r="I251" s="50">
        <v>48490</v>
      </c>
      <c r="J251" s="6"/>
      <c r="K251" s="51">
        <f t="shared" si="89"/>
        <v>144890</v>
      </c>
      <c r="L251" s="50">
        <v>49145</v>
      </c>
      <c r="M251" s="12"/>
      <c r="N251" s="166">
        <f t="shared" si="90"/>
        <v>194035</v>
      </c>
      <c r="O251" s="166"/>
      <c r="P251" s="151">
        <f aca="true" t="shared" si="91" ref="P251:P274">N251+O251</f>
        <v>194035</v>
      </c>
    </row>
    <row r="252" spans="1:16" ht="12.75">
      <c r="A252" s="76" t="s">
        <v>145</v>
      </c>
      <c r="B252" s="50"/>
      <c r="C252" s="6">
        <v>618261</v>
      </c>
      <c r="D252" s="6"/>
      <c r="E252" s="51">
        <f t="shared" si="87"/>
        <v>618261</v>
      </c>
      <c r="F252" s="50">
        <v>614745</v>
      </c>
      <c r="G252" s="6"/>
      <c r="H252" s="51">
        <f t="shared" si="88"/>
        <v>1233006</v>
      </c>
      <c r="I252" s="50">
        <f>3455.6+598888.9</f>
        <v>602344.5</v>
      </c>
      <c r="J252" s="6"/>
      <c r="K252" s="51">
        <f t="shared" si="89"/>
        <v>1835350.5</v>
      </c>
      <c r="L252" s="50">
        <v>607629.5</v>
      </c>
      <c r="M252" s="12"/>
      <c r="N252" s="166">
        <f t="shared" si="90"/>
        <v>2442980</v>
      </c>
      <c r="O252" s="166"/>
      <c r="P252" s="151">
        <f t="shared" si="91"/>
        <v>2442980</v>
      </c>
    </row>
    <row r="253" spans="1:16" ht="12.75">
      <c r="A253" s="76" t="s">
        <v>146</v>
      </c>
      <c r="B253" s="50"/>
      <c r="C253" s="6"/>
      <c r="D253" s="6"/>
      <c r="E253" s="51">
        <f t="shared" si="87"/>
        <v>0</v>
      </c>
      <c r="F253" s="50">
        <v>852</v>
      </c>
      <c r="G253" s="6"/>
      <c r="H253" s="51">
        <f t="shared" si="88"/>
        <v>852</v>
      </c>
      <c r="I253" s="50"/>
      <c r="J253" s="6"/>
      <c r="K253" s="51">
        <f t="shared" si="89"/>
        <v>852</v>
      </c>
      <c r="L253" s="50"/>
      <c r="M253" s="12"/>
      <c r="N253" s="166">
        <f t="shared" si="90"/>
        <v>852</v>
      </c>
      <c r="O253" s="166"/>
      <c r="P253" s="151">
        <f t="shared" si="91"/>
        <v>852</v>
      </c>
    </row>
    <row r="254" spans="1:16" ht="12.75">
      <c r="A254" s="76" t="s">
        <v>243</v>
      </c>
      <c r="B254" s="50"/>
      <c r="C254" s="6"/>
      <c r="D254" s="6"/>
      <c r="E254" s="51">
        <f t="shared" si="87"/>
        <v>0</v>
      </c>
      <c r="F254" s="50">
        <v>4196</v>
      </c>
      <c r="G254" s="6"/>
      <c r="H254" s="51">
        <f t="shared" si="88"/>
        <v>4196</v>
      </c>
      <c r="I254" s="50"/>
      <c r="J254" s="6"/>
      <c r="K254" s="51">
        <f t="shared" si="89"/>
        <v>4196</v>
      </c>
      <c r="L254" s="50"/>
      <c r="M254" s="12"/>
      <c r="N254" s="166">
        <f t="shared" si="90"/>
        <v>4196</v>
      </c>
      <c r="O254" s="166"/>
      <c r="P254" s="151">
        <f t="shared" si="91"/>
        <v>4196</v>
      </c>
    </row>
    <row r="255" spans="1:16" ht="12.75">
      <c r="A255" s="76" t="s">
        <v>147</v>
      </c>
      <c r="B255" s="50"/>
      <c r="C255" s="6"/>
      <c r="D255" s="6"/>
      <c r="E255" s="51">
        <f t="shared" si="87"/>
        <v>0</v>
      </c>
      <c r="F255" s="50">
        <f>3392.8+4167.5</f>
        <v>7560.3</v>
      </c>
      <c r="G255" s="6"/>
      <c r="H255" s="51">
        <f t="shared" si="88"/>
        <v>7560.3</v>
      </c>
      <c r="I255" s="50"/>
      <c r="J255" s="6"/>
      <c r="K255" s="51">
        <f t="shared" si="89"/>
        <v>7560.3</v>
      </c>
      <c r="L255" s="50"/>
      <c r="M255" s="12"/>
      <c r="N255" s="166">
        <f t="shared" si="90"/>
        <v>7560.3</v>
      </c>
      <c r="O255" s="166">
        <v>3.8</v>
      </c>
      <c r="P255" s="151">
        <f t="shared" si="91"/>
        <v>7564.1</v>
      </c>
    </row>
    <row r="256" spans="1:16" ht="12.75">
      <c r="A256" s="76" t="s">
        <v>148</v>
      </c>
      <c r="B256" s="50"/>
      <c r="C256" s="6"/>
      <c r="D256" s="6"/>
      <c r="E256" s="51">
        <f t="shared" si="87"/>
        <v>0</v>
      </c>
      <c r="F256" s="50"/>
      <c r="G256" s="6"/>
      <c r="H256" s="51">
        <f t="shared" si="88"/>
        <v>0</v>
      </c>
      <c r="I256" s="50"/>
      <c r="J256" s="6"/>
      <c r="K256" s="51">
        <f t="shared" si="89"/>
        <v>0</v>
      </c>
      <c r="L256" s="67">
        <f>159.8+70.2+62.3+40.8+26+267.8+423.4</f>
        <v>1050.3000000000002</v>
      </c>
      <c r="M256" s="12"/>
      <c r="N256" s="166">
        <f t="shared" si="90"/>
        <v>1050.3000000000002</v>
      </c>
      <c r="O256" s="168">
        <v>62.4</v>
      </c>
      <c r="P256" s="151">
        <f t="shared" si="91"/>
        <v>1112.7000000000003</v>
      </c>
    </row>
    <row r="257" spans="1:16" ht="12.75">
      <c r="A257" s="76" t="s">
        <v>149</v>
      </c>
      <c r="B257" s="50"/>
      <c r="C257" s="6"/>
      <c r="D257" s="6"/>
      <c r="E257" s="51">
        <f t="shared" si="87"/>
        <v>0</v>
      </c>
      <c r="F257" s="50"/>
      <c r="G257" s="6"/>
      <c r="H257" s="51">
        <f t="shared" si="88"/>
        <v>0</v>
      </c>
      <c r="I257" s="50">
        <v>1759.5</v>
      </c>
      <c r="J257" s="6"/>
      <c r="K257" s="51">
        <f t="shared" si="89"/>
        <v>1759.5</v>
      </c>
      <c r="L257" s="12">
        <f>115+65</f>
        <v>180</v>
      </c>
      <c r="M257" s="12"/>
      <c r="N257" s="166">
        <f t="shared" si="90"/>
        <v>1939.5</v>
      </c>
      <c r="O257" s="51"/>
      <c r="P257" s="151">
        <f t="shared" si="91"/>
        <v>1939.5</v>
      </c>
    </row>
    <row r="258" spans="1:16" ht="12.75">
      <c r="A258" s="76" t="s">
        <v>263</v>
      </c>
      <c r="B258" s="50"/>
      <c r="C258" s="6"/>
      <c r="D258" s="6"/>
      <c r="E258" s="51"/>
      <c r="F258" s="50"/>
      <c r="G258" s="6"/>
      <c r="H258" s="51"/>
      <c r="I258" s="50"/>
      <c r="J258" s="6"/>
      <c r="K258" s="51">
        <f t="shared" si="89"/>
        <v>0</v>
      </c>
      <c r="L258" s="12">
        <v>96.5</v>
      </c>
      <c r="M258" s="12"/>
      <c r="N258" s="166">
        <f t="shared" si="90"/>
        <v>96.5</v>
      </c>
      <c r="O258" s="51"/>
      <c r="P258" s="151">
        <f t="shared" si="91"/>
        <v>96.5</v>
      </c>
    </row>
    <row r="259" spans="1:16" ht="12.75">
      <c r="A259" s="76" t="s">
        <v>150</v>
      </c>
      <c r="B259" s="50"/>
      <c r="C259" s="6"/>
      <c r="D259" s="6"/>
      <c r="E259" s="51">
        <f t="shared" si="87"/>
        <v>0</v>
      </c>
      <c r="F259" s="50"/>
      <c r="G259" s="6"/>
      <c r="H259" s="51">
        <f t="shared" si="88"/>
        <v>0</v>
      </c>
      <c r="I259" s="50">
        <v>270.2</v>
      </c>
      <c r="J259" s="6"/>
      <c r="K259" s="51">
        <f t="shared" si="89"/>
        <v>270.2</v>
      </c>
      <c r="L259" s="6">
        <v>-66.6</v>
      </c>
      <c r="M259" s="12"/>
      <c r="N259" s="166">
        <f t="shared" si="90"/>
        <v>203.6</v>
      </c>
      <c r="O259" s="51">
        <v>273.5</v>
      </c>
      <c r="P259" s="151">
        <f t="shared" si="91"/>
        <v>477.1</v>
      </c>
    </row>
    <row r="260" spans="1:16" ht="12.75">
      <c r="A260" s="76" t="s">
        <v>151</v>
      </c>
      <c r="B260" s="50"/>
      <c r="C260" s="6">
        <v>40997</v>
      </c>
      <c r="D260" s="6"/>
      <c r="E260" s="51">
        <f t="shared" si="87"/>
        <v>40997</v>
      </c>
      <c r="F260" s="50">
        <f>40997+48854</f>
        <v>89851</v>
      </c>
      <c r="G260" s="6"/>
      <c r="H260" s="51">
        <f t="shared" si="88"/>
        <v>130848</v>
      </c>
      <c r="I260" s="50">
        <f>88+503+41248</f>
        <v>41839</v>
      </c>
      <c r="J260" s="6"/>
      <c r="K260" s="51">
        <f t="shared" si="89"/>
        <v>172687</v>
      </c>
      <c r="L260" s="50">
        <v>41247</v>
      </c>
      <c r="M260" s="12"/>
      <c r="N260" s="166">
        <f t="shared" si="90"/>
        <v>213934</v>
      </c>
      <c r="O260" s="166"/>
      <c r="P260" s="151">
        <f t="shared" si="91"/>
        <v>213934</v>
      </c>
    </row>
    <row r="261" spans="1:16" ht="12.75">
      <c r="A261" s="76" t="s">
        <v>224</v>
      </c>
      <c r="B261" s="50"/>
      <c r="C261" s="6">
        <v>17843</v>
      </c>
      <c r="D261" s="6"/>
      <c r="E261" s="51">
        <f t="shared" si="87"/>
        <v>17843</v>
      </c>
      <c r="F261" s="50"/>
      <c r="G261" s="6"/>
      <c r="H261" s="51">
        <f t="shared" si="88"/>
        <v>17843</v>
      </c>
      <c r="I261" s="50">
        <f>23597+107+142</f>
        <v>23846</v>
      </c>
      <c r="J261" s="6"/>
      <c r="K261" s="51">
        <f t="shared" si="89"/>
        <v>41689</v>
      </c>
      <c r="L261" s="50"/>
      <c r="M261" s="12"/>
      <c r="N261" s="166">
        <f t="shared" si="90"/>
        <v>41689</v>
      </c>
      <c r="O261" s="166"/>
      <c r="P261" s="151">
        <f t="shared" si="91"/>
        <v>41689</v>
      </c>
    </row>
    <row r="262" spans="1:16" ht="12.75">
      <c r="A262" s="96" t="s">
        <v>223</v>
      </c>
      <c r="B262" s="50"/>
      <c r="C262" s="6">
        <v>31213</v>
      </c>
      <c r="D262" s="6"/>
      <c r="E262" s="51">
        <f t="shared" si="87"/>
        <v>31213</v>
      </c>
      <c r="F262" s="50"/>
      <c r="G262" s="6"/>
      <c r="H262" s="51">
        <f t="shared" si="88"/>
        <v>31213</v>
      </c>
      <c r="I262" s="50"/>
      <c r="J262" s="6"/>
      <c r="K262" s="51">
        <f t="shared" si="89"/>
        <v>31213</v>
      </c>
      <c r="L262" s="50">
        <v>6075</v>
      </c>
      <c r="M262" s="12"/>
      <c r="N262" s="166">
        <f t="shared" si="90"/>
        <v>37288</v>
      </c>
      <c r="O262" s="166"/>
      <c r="P262" s="151">
        <f t="shared" si="91"/>
        <v>37288</v>
      </c>
    </row>
    <row r="263" spans="1:16" ht="12.75">
      <c r="A263" s="96" t="s">
        <v>272</v>
      </c>
      <c r="B263" s="50"/>
      <c r="C263" s="6"/>
      <c r="D263" s="6"/>
      <c r="E263" s="51"/>
      <c r="F263" s="50"/>
      <c r="G263" s="6"/>
      <c r="H263" s="51"/>
      <c r="I263" s="50"/>
      <c r="J263" s="6"/>
      <c r="K263" s="51"/>
      <c r="L263" s="50"/>
      <c r="M263" s="12"/>
      <c r="N263" s="166">
        <f t="shared" si="90"/>
        <v>0</v>
      </c>
      <c r="O263" s="166">
        <v>165</v>
      </c>
      <c r="P263" s="151">
        <f t="shared" si="91"/>
        <v>165</v>
      </c>
    </row>
    <row r="264" spans="1:16" ht="12.75">
      <c r="A264" s="76" t="s">
        <v>152</v>
      </c>
      <c r="B264" s="50"/>
      <c r="C264" s="6"/>
      <c r="D264" s="6"/>
      <c r="E264" s="51">
        <f t="shared" si="87"/>
        <v>0</v>
      </c>
      <c r="F264" s="50"/>
      <c r="G264" s="6"/>
      <c r="H264" s="51">
        <f t="shared" si="88"/>
        <v>0</v>
      </c>
      <c r="I264" s="50"/>
      <c r="J264" s="6"/>
      <c r="K264" s="51">
        <f t="shared" si="89"/>
        <v>0</v>
      </c>
      <c r="L264" s="50"/>
      <c r="M264" s="12"/>
      <c r="N264" s="166">
        <f t="shared" si="90"/>
        <v>0</v>
      </c>
      <c r="O264" s="166"/>
      <c r="P264" s="151">
        <f t="shared" si="91"/>
        <v>0</v>
      </c>
    </row>
    <row r="265" spans="1:16" ht="12.75">
      <c r="A265" s="76" t="s">
        <v>233</v>
      </c>
      <c r="B265" s="50"/>
      <c r="C265" s="6"/>
      <c r="D265" s="6"/>
      <c r="E265" s="51">
        <f t="shared" si="87"/>
        <v>0</v>
      </c>
      <c r="F265" s="50">
        <v>125</v>
      </c>
      <c r="G265" s="6"/>
      <c r="H265" s="51">
        <f t="shared" si="88"/>
        <v>125</v>
      </c>
      <c r="I265" s="50"/>
      <c r="J265" s="6"/>
      <c r="K265" s="51">
        <f t="shared" si="89"/>
        <v>125</v>
      </c>
      <c r="L265" s="50"/>
      <c r="M265" s="12"/>
      <c r="N265" s="166">
        <f t="shared" si="90"/>
        <v>125</v>
      </c>
      <c r="O265" s="166"/>
      <c r="P265" s="151">
        <f t="shared" si="91"/>
        <v>125</v>
      </c>
    </row>
    <row r="266" spans="1:16" ht="12.75">
      <c r="A266" s="76" t="s">
        <v>278</v>
      </c>
      <c r="B266" s="50"/>
      <c r="C266" s="6"/>
      <c r="D266" s="6"/>
      <c r="E266" s="51"/>
      <c r="F266" s="50"/>
      <c r="G266" s="6"/>
      <c r="H266" s="51"/>
      <c r="I266" s="50"/>
      <c r="J266" s="6"/>
      <c r="K266" s="51">
        <f t="shared" si="89"/>
        <v>0</v>
      </c>
      <c r="L266" s="50">
        <v>61.8</v>
      </c>
      <c r="M266" s="12"/>
      <c r="N266" s="166">
        <f t="shared" si="90"/>
        <v>61.8</v>
      </c>
      <c r="O266" s="166">
        <f>88.2+7.8</f>
        <v>96</v>
      </c>
      <c r="P266" s="151">
        <f t="shared" si="91"/>
        <v>157.8</v>
      </c>
    </row>
    <row r="267" spans="1:16" ht="12.75">
      <c r="A267" s="76" t="s">
        <v>266</v>
      </c>
      <c r="B267" s="50"/>
      <c r="C267" s="6"/>
      <c r="D267" s="6"/>
      <c r="E267" s="51"/>
      <c r="F267" s="50"/>
      <c r="G267" s="6"/>
      <c r="H267" s="51"/>
      <c r="I267" s="50"/>
      <c r="J267" s="6"/>
      <c r="K267" s="51">
        <f t="shared" si="89"/>
        <v>0</v>
      </c>
      <c r="L267" s="50">
        <f>48.2+131.5</f>
        <v>179.7</v>
      </c>
      <c r="M267" s="12"/>
      <c r="N267" s="166">
        <f t="shared" si="90"/>
        <v>179.7</v>
      </c>
      <c r="O267" s="166"/>
      <c r="P267" s="151">
        <f t="shared" si="91"/>
        <v>179.7</v>
      </c>
    </row>
    <row r="268" spans="1:16" ht="12.75">
      <c r="A268" s="76" t="s">
        <v>262</v>
      </c>
      <c r="B268" s="50"/>
      <c r="C268" s="6"/>
      <c r="D268" s="6"/>
      <c r="E268" s="51"/>
      <c r="F268" s="50"/>
      <c r="G268" s="6"/>
      <c r="H268" s="51"/>
      <c r="I268" s="50"/>
      <c r="J268" s="6"/>
      <c r="K268" s="51">
        <f t="shared" si="89"/>
        <v>0</v>
      </c>
      <c r="L268" s="50">
        <v>1930</v>
      </c>
      <c r="M268" s="12"/>
      <c r="N268" s="166">
        <f t="shared" si="90"/>
        <v>1930</v>
      </c>
      <c r="O268" s="166"/>
      <c r="P268" s="151">
        <f t="shared" si="91"/>
        <v>1930</v>
      </c>
    </row>
    <row r="269" spans="1:16" ht="12.75">
      <c r="A269" s="76" t="s">
        <v>153</v>
      </c>
      <c r="B269" s="50"/>
      <c r="C269" s="6"/>
      <c r="D269" s="6"/>
      <c r="E269" s="51">
        <f t="shared" si="87"/>
        <v>0</v>
      </c>
      <c r="F269" s="50"/>
      <c r="G269" s="6"/>
      <c r="H269" s="51">
        <f t="shared" si="88"/>
        <v>0</v>
      </c>
      <c r="I269" s="50">
        <v>86</v>
      </c>
      <c r="J269" s="6"/>
      <c r="K269" s="51">
        <f t="shared" si="89"/>
        <v>86</v>
      </c>
      <c r="L269" s="50"/>
      <c r="M269" s="12"/>
      <c r="N269" s="166">
        <f t="shared" si="90"/>
        <v>86</v>
      </c>
      <c r="O269" s="166"/>
      <c r="P269" s="151">
        <f t="shared" si="91"/>
        <v>86</v>
      </c>
    </row>
    <row r="270" spans="1:16" ht="12.75" hidden="1">
      <c r="A270" s="76" t="s">
        <v>154</v>
      </c>
      <c r="B270" s="50"/>
      <c r="C270" s="6"/>
      <c r="D270" s="6"/>
      <c r="E270" s="51">
        <f t="shared" si="87"/>
        <v>0</v>
      </c>
      <c r="F270" s="50"/>
      <c r="G270" s="6"/>
      <c r="H270" s="51">
        <f t="shared" si="88"/>
        <v>0</v>
      </c>
      <c r="I270" s="50"/>
      <c r="J270" s="6"/>
      <c r="K270" s="51">
        <f t="shared" si="89"/>
        <v>0</v>
      </c>
      <c r="L270" s="50"/>
      <c r="M270" s="12"/>
      <c r="N270" s="166">
        <f t="shared" si="90"/>
        <v>0</v>
      </c>
      <c r="O270" s="166"/>
      <c r="P270" s="151">
        <f t="shared" si="91"/>
        <v>0</v>
      </c>
    </row>
    <row r="271" spans="1:16" ht="12.75">
      <c r="A271" s="76" t="s">
        <v>95</v>
      </c>
      <c r="B271" s="50"/>
      <c r="C271" s="6"/>
      <c r="D271" s="6"/>
      <c r="E271" s="51">
        <f t="shared" si="87"/>
        <v>0</v>
      </c>
      <c r="F271" s="50"/>
      <c r="G271" s="6">
        <v>4510</v>
      </c>
      <c r="H271" s="51">
        <f t="shared" si="88"/>
        <v>4510</v>
      </c>
      <c r="I271" s="50"/>
      <c r="J271" s="6"/>
      <c r="K271" s="51">
        <f t="shared" si="89"/>
        <v>4510</v>
      </c>
      <c r="L271" s="50"/>
      <c r="M271" s="12"/>
      <c r="N271" s="166">
        <f t="shared" si="90"/>
        <v>4510</v>
      </c>
      <c r="O271" s="166"/>
      <c r="P271" s="151">
        <f t="shared" si="91"/>
        <v>4510</v>
      </c>
    </row>
    <row r="272" spans="1:16" ht="12.75">
      <c r="A272" s="76" t="s">
        <v>269</v>
      </c>
      <c r="B272" s="50"/>
      <c r="C272" s="6"/>
      <c r="D272" s="6"/>
      <c r="E272" s="51"/>
      <c r="F272" s="50"/>
      <c r="G272" s="6"/>
      <c r="H272" s="51"/>
      <c r="I272" s="50"/>
      <c r="J272" s="6"/>
      <c r="K272" s="51">
        <f t="shared" si="89"/>
        <v>0</v>
      </c>
      <c r="L272" s="50"/>
      <c r="M272" s="12">
        <v>151</v>
      </c>
      <c r="N272" s="166">
        <f t="shared" si="90"/>
        <v>151</v>
      </c>
      <c r="O272" s="166"/>
      <c r="P272" s="151">
        <f t="shared" si="91"/>
        <v>151</v>
      </c>
    </row>
    <row r="273" spans="1:16" ht="12.75">
      <c r="A273" s="76" t="s">
        <v>111</v>
      </c>
      <c r="B273" s="50"/>
      <c r="C273" s="6"/>
      <c r="D273" s="6"/>
      <c r="E273" s="51">
        <f t="shared" si="87"/>
        <v>0</v>
      </c>
      <c r="F273" s="50"/>
      <c r="G273" s="8">
        <f>981.1+19+800</f>
        <v>1800.1</v>
      </c>
      <c r="H273" s="51">
        <f t="shared" si="88"/>
        <v>1800.1</v>
      </c>
      <c r="I273" s="50"/>
      <c r="J273" s="6">
        <v>1350.4</v>
      </c>
      <c r="K273" s="51">
        <f t="shared" si="89"/>
        <v>3150.5</v>
      </c>
      <c r="L273" s="50">
        <v>15</v>
      </c>
      <c r="M273" s="12">
        <f>54.7+995</f>
        <v>1049.7</v>
      </c>
      <c r="N273" s="166">
        <f t="shared" si="90"/>
        <v>4215.2</v>
      </c>
      <c r="O273" s="166"/>
      <c r="P273" s="151">
        <f t="shared" si="91"/>
        <v>4215.2</v>
      </c>
    </row>
    <row r="274" spans="1:16" ht="12.75">
      <c r="A274" s="76" t="s">
        <v>78</v>
      </c>
      <c r="B274" s="50">
        <v>23390</v>
      </c>
      <c r="C274" s="6">
        <v>7658</v>
      </c>
      <c r="D274" s="6">
        <v>-1029.4</v>
      </c>
      <c r="E274" s="51">
        <f t="shared" si="87"/>
        <v>30018.6</v>
      </c>
      <c r="F274" s="50"/>
      <c r="G274" s="8">
        <f>-12322+651+208.2</f>
        <v>-11462.8</v>
      </c>
      <c r="H274" s="51">
        <f t="shared" si="88"/>
        <v>18555.8</v>
      </c>
      <c r="I274" s="50"/>
      <c r="J274" s="6">
        <v>-7450.8</v>
      </c>
      <c r="K274" s="51">
        <f t="shared" si="89"/>
        <v>11105</v>
      </c>
      <c r="L274" s="50">
        <v>-1391.7</v>
      </c>
      <c r="M274" s="12">
        <f>-600-1671.7</f>
        <v>-2271.7</v>
      </c>
      <c r="N274" s="166">
        <f t="shared" si="90"/>
        <v>7441.599999999999</v>
      </c>
      <c r="O274" s="166">
        <v>-60</v>
      </c>
      <c r="P274" s="151">
        <f t="shared" si="91"/>
        <v>7381.599999999999</v>
      </c>
    </row>
    <row r="275" spans="1:16" ht="12.75">
      <c r="A275" s="79" t="s">
        <v>81</v>
      </c>
      <c r="B275" s="60">
        <f aca="true" t="shared" si="92" ref="B275:P275">SUM(B277:B282)</f>
        <v>0</v>
      </c>
      <c r="C275" s="11">
        <f t="shared" si="92"/>
        <v>150357.3</v>
      </c>
      <c r="D275" s="11">
        <f t="shared" si="92"/>
        <v>0</v>
      </c>
      <c r="E275" s="61">
        <f t="shared" si="92"/>
        <v>150357.3</v>
      </c>
      <c r="F275" s="60">
        <f t="shared" si="92"/>
        <v>0</v>
      </c>
      <c r="G275" s="11">
        <f t="shared" si="92"/>
        <v>2129.8</v>
      </c>
      <c r="H275" s="61">
        <f t="shared" si="92"/>
        <v>152487.09999999998</v>
      </c>
      <c r="I275" s="60">
        <f t="shared" si="92"/>
        <v>0</v>
      </c>
      <c r="J275" s="11">
        <f t="shared" si="92"/>
        <v>3767.9</v>
      </c>
      <c r="K275" s="61">
        <f t="shared" si="92"/>
        <v>156255</v>
      </c>
      <c r="L275" s="60">
        <f t="shared" si="92"/>
        <v>6809.8</v>
      </c>
      <c r="M275" s="134">
        <f t="shared" si="92"/>
        <v>2370.5</v>
      </c>
      <c r="N275" s="171">
        <f t="shared" si="92"/>
        <v>165435.3</v>
      </c>
      <c r="O275" s="171">
        <f t="shared" si="92"/>
        <v>572.6</v>
      </c>
      <c r="P275" s="103">
        <f t="shared" si="92"/>
        <v>166007.9</v>
      </c>
    </row>
    <row r="276" spans="1:16" ht="9.75" customHeight="1">
      <c r="A276" s="74" t="s">
        <v>45</v>
      </c>
      <c r="B276" s="50"/>
      <c r="C276" s="6"/>
      <c r="D276" s="6"/>
      <c r="E276" s="51"/>
      <c r="F276" s="50"/>
      <c r="G276" s="6"/>
      <c r="H276" s="49"/>
      <c r="I276" s="50"/>
      <c r="J276" s="6"/>
      <c r="K276" s="49"/>
      <c r="L276" s="50"/>
      <c r="M276" s="12"/>
      <c r="N276" s="165"/>
      <c r="O276" s="166"/>
      <c r="P276" s="150"/>
    </row>
    <row r="277" spans="1:16" ht="12.75">
      <c r="A277" s="76" t="s">
        <v>155</v>
      </c>
      <c r="B277" s="50"/>
      <c r="C277" s="6"/>
      <c r="D277" s="6"/>
      <c r="E277" s="51">
        <f aca="true" t="shared" si="93" ref="E277:E282">B277+C277+D277</f>
        <v>0</v>
      </c>
      <c r="F277" s="50"/>
      <c r="G277" s="6"/>
      <c r="H277" s="51">
        <f aca="true" t="shared" si="94" ref="H277:H282">E277+F277+G277</f>
        <v>0</v>
      </c>
      <c r="I277" s="50"/>
      <c r="J277" s="6">
        <v>40.5</v>
      </c>
      <c r="K277" s="51">
        <f aca="true" t="shared" si="95" ref="K277:K282">H277+I277+J277</f>
        <v>40.5</v>
      </c>
      <c r="L277" s="50">
        <v>450</v>
      </c>
      <c r="M277" s="12">
        <v>75.5</v>
      </c>
      <c r="N277" s="166">
        <f aca="true" t="shared" si="96" ref="N277:N282">K277+L277+M277</f>
        <v>566</v>
      </c>
      <c r="O277" s="166"/>
      <c r="P277" s="151">
        <f aca="true" t="shared" si="97" ref="P277:P282">N277+O277</f>
        <v>566</v>
      </c>
    </row>
    <row r="278" spans="1:16" ht="12.75">
      <c r="A278" s="76" t="s">
        <v>246</v>
      </c>
      <c r="B278" s="50"/>
      <c r="C278" s="6"/>
      <c r="D278" s="6"/>
      <c r="E278" s="51">
        <f t="shared" si="93"/>
        <v>0</v>
      </c>
      <c r="F278" s="50"/>
      <c r="G278" s="6">
        <v>1500</v>
      </c>
      <c r="H278" s="51">
        <f t="shared" si="94"/>
        <v>1500</v>
      </c>
      <c r="I278" s="50"/>
      <c r="J278" s="6"/>
      <c r="K278" s="51">
        <f t="shared" si="95"/>
        <v>1500</v>
      </c>
      <c r="L278" s="50"/>
      <c r="M278" s="12"/>
      <c r="N278" s="166">
        <f t="shared" si="96"/>
        <v>1500</v>
      </c>
      <c r="O278" s="166"/>
      <c r="P278" s="151">
        <f t="shared" si="97"/>
        <v>1500</v>
      </c>
    </row>
    <row r="279" spans="1:16" ht="12.75">
      <c r="A279" s="76" t="s">
        <v>111</v>
      </c>
      <c r="B279" s="50"/>
      <c r="C279" s="6"/>
      <c r="D279" s="6"/>
      <c r="E279" s="51">
        <f t="shared" si="93"/>
        <v>0</v>
      </c>
      <c r="F279" s="50"/>
      <c r="G279" s="6">
        <v>629.8</v>
      </c>
      <c r="H279" s="51">
        <f t="shared" si="94"/>
        <v>629.8</v>
      </c>
      <c r="I279" s="50"/>
      <c r="J279" s="8">
        <v>3727.4</v>
      </c>
      <c r="K279" s="51">
        <f t="shared" si="95"/>
        <v>4357.2</v>
      </c>
      <c r="L279" s="50">
        <v>832.8</v>
      </c>
      <c r="M279" s="12">
        <v>2295</v>
      </c>
      <c r="N279" s="166">
        <f t="shared" si="96"/>
        <v>7485</v>
      </c>
      <c r="O279" s="166"/>
      <c r="P279" s="151">
        <f t="shared" si="97"/>
        <v>7485</v>
      </c>
    </row>
    <row r="280" spans="1:16" ht="12.75">
      <c r="A280" s="76" t="s">
        <v>278</v>
      </c>
      <c r="B280" s="50"/>
      <c r="C280" s="6"/>
      <c r="D280" s="6"/>
      <c r="E280" s="51"/>
      <c r="F280" s="50"/>
      <c r="G280" s="6"/>
      <c r="H280" s="51"/>
      <c r="I280" s="50"/>
      <c r="J280" s="8"/>
      <c r="K280" s="51">
        <f t="shared" si="95"/>
        <v>0</v>
      </c>
      <c r="L280" s="50">
        <v>1563</v>
      </c>
      <c r="M280" s="12"/>
      <c r="N280" s="166">
        <f t="shared" si="96"/>
        <v>1563</v>
      </c>
      <c r="O280" s="177">
        <f>526.2+46.4</f>
        <v>572.6</v>
      </c>
      <c r="P280" s="151">
        <f t="shared" si="97"/>
        <v>2135.6</v>
      </c>
    </row>
    <row r="281" spans="1:16" ht="12.75">
      <c r="A281" s="76" t="s">
        <v>266</v>
      </c>
      <c r="B281" s="50"/>
      <c r="C281" s="6"/>
      <c r="D281" s="6"/>
      <c r="E281" s="51"/>
      <c r="F281" s="50"/>
      <c r="G281" s="6"/>
      <c r="H281" s="51"/>
      <c r="I281" s="50"/>
      <c r="J281" s="8"/>
      <c r="K281" s="51">
        <f t="shared" si="95"/>
        <v>0</v>
      </c>
      <c r="L281" s="50">
        <f>989.8+2693.2</f>
        <v>3683</v>
      </c>
      <c r="M281" s="12"/>
      <c r="N281" s="166">
        <f t="shared" si="96"/>
        <v>3683</v>
      </c>
      <c r="O281" s="166"/>
      <c r="P281" s="151">
        <f t="shared" si="97"/>
        <v>3683</v>
      </c>
    </row>
    <row r="282" spans="1:16" ht="12.75">
      <c r="A282" s="82" t="s">
        <v>264</v>
      </c>
      <c r="B282" s="54"/>
      <c r="C282" s="9">
        <v>150357.3</v>
      </c>
      <c r="D282" s="9"/>
      <c r="E282" s="55">
        <f t="shared" si="93"/>
        <v>150357.3</v>
      </c>
      <c r="F282" s="54"/>
      <c r="G282" s="9"/>
      <c r="H282" s="55">
        <f t="shared" si="94"/>
        <v>150357.3</v>
      </c>
      <c r="I282" s="54"/>
      <c r="J282" s="9"/>
      <c r="K282" s="55">
        <f t="shared" si="95"/>
        <v>150357.3</v>
      </c>
      <c r="L282" s="54">
        <v>281</v>
      </c>
      <c r="M282" s="135"/>
      <c r="N282" s="172">
        <f t="shared" si="96"/>
        <v>150638.3</v>
      </c>
      <c r="O282" s="172"/>
      <c r="P282" s="154">
        <f t="shared" si="97"/>
        <v>150638.3</v>
      </c>
    </row>
    <row r="283" spans="1:16" ht="12.75">
      <c r="A283" s="69" t="s">
        <v>156</v>
      </c>
      <c r="B283" s="48">
        <f aca="true" t="shared" si="98" ref="B283:N283">B284+B294</f>
        <v>292032</v>
      </c>
      <c r="C283" s="5">
        <f t="shared" si="98"/>
        <v>102500.6</v>
      </c>
      <c r="D283" s="5">
        <f t="shared" si="98"/>
        <v>1900</v>
      </c>
      <c r="E283" s="49">
        <f t="shared" si="98"/>
        <v>396432.6</v>
      </c>
      <c r="F283" s="48">
        <f t="shared" si="98"/>
        <v>7638.3</v>
      </c>
      <c r="G283" s="5">
        <f t="shared" si="98"/>
        <v>3712.5</v>
      </c>
      <c r="H283" s="49">
        <f t="shared" si="98"/>
        <v>407783.39999999997</v>
      </c>
      <c r="I283" s="48">
        <f t="shared" si="98"/>
        <v>21222.2</v>
      </c>
      <c r="J283" s="5">
        <f t="shared" si="98"/>
        <v>90670</v>
      </c>
      <c r="K283" s="49">
        <f t="shared" si="98"/>
        <v>519675.60000000003</v>
      </c>
      <c r="L283" s="48">
        <f t="shared" si="98"/>
        <v>407.7</v>
      </c>
      <c r="M283" s="130">
        <f t="shared" si="98"/>
        <v>5809.800000000001</v>
      </c>
      <c r="N283" s="165">
        <f t="shared" si="98"/>
        <v>525893.1000000001</v>
      </c>
      <c r="O283" s="165">
        <f>O284+O294</f>
        <v>8934.9</v>
      </c>
      <c r="P283" s="150">
        <f>P284+P294</f>
        <v>534828.0000000001</v>
      </c>
    </row>
    <row r="284" spans="1:16" ht="12.75">
      <c r="A284" s="78" t="s">
        <v>75</v>
      </c>
      <c r="B284" s="58">
        <f>SUM(B286:B293)</f>
        <v>292032</v>
      </c>
      <c r="C284" s="10">
        <f>SUM(C286:C292)</f>
        <v>92500.6</v>
      </c>
      <c r="D284" s="10">
        <f>SUM(D286:D292)</f>
        <v>1900</v>
      </c>
      <c r="E284" s="59">
        <f>SUM(E286:E293)</f>
        <v>386432.6</v>
      </c>
      <c r="F284" s="58">
        <f>SUM(F286:F293)</f>
        <v>4638.3</v>
      </c>
      <c r="G284" s="10">
        <f>SUM(G286:G293)</f>
        <v>3617.1</v>
      </c>
      <c r="H284" s="59">
        <f>SUM(H286:H293)</f>
        <v>394687.99999999994</v>
      </c>
      <c r="I284" s="58">
        <f>SUM(I286:I293)</f>
        <v>18222.2</v>
      </c>
      <c r="J284" s="10">
        <f>SUM(J286:J292)</f>
        <v>90000</v>
      </c>
      <c r="K284" s="59">
        <f>SUM(K286:K293)</f>
        <v>502910.2</v>
      </c>
      <c r="L284" s="58">
        <f>SUM(L286:L293)</f>
        <v>407.7</v>
      </c>
      <c r="M284" s="133">
        <f>SUM(M286:M292)</f>
        <v>-590.1999999999989</v>
      </c>
      <c r="N284" s="170">
        <f>SUM(N286:N293)</f>
        <v>502727.70000000007</v>
      </c>
      <c r="O284" s="170">
        <f>SUM(O286:O293)</f>
        <v>1798.5</v>
      </c>
      <c r="P284" s="153">
        <f>SUM(P286:P293)</f>
        <v>504526.20000000007</v>
      </c>
    </row>
    <row r="285" spans="1:16" ht="9.75" customHeight="1">
      <c r="A285" s="74" t="s">
        <v>45</v>
      </c>
      <c r="B285" s="50"/>
      <c r="C285" s="6"/>
      <c r="D285" s="6"/>
      <c r="E285" s="49"/>
      <c r="F285" s="50"/>
      <c r="G285" s="6"/>
      <c r="H285" s="49"/>
      <c r="I285" s="50"/>
      <c r="J285" s="6"/>
      <c r="K285" s="49"/>
      <c r="L285" s="50"/>
      <c r="M285" s="12"/>
      <c r="N285" s="165"/>
      <c r="O285" s="166"/>
      <c r="P285" s="150"/>
    </row>
    <row r="286" spans="1:16" ht="12.75">
      <c r="A286" s="71" t="s">
        <v>106</v>
      </c>
      <c r="B286" s="50">
        <v>173162</v>
      </c>
      <c r="C286" s="6">
        <v>21180</v>
      </c>
      <c r="D286" s="6"/>
      <c r="E286" s="51">
        <f aca="true" t="shared" si="99" ref="E286:E293">B286+C286+D286</f>
        <v>194342</v>
      </c>
      <c r="F286" s="50">
        <v>4000</v>
      </c>
      <c r="G286" s="6">
        <v>-95.4</v>
      </c>
      <c r="H286" s="51">
        <f aca="true" t="shared" si="100" ref="H286:H293">E286+F286+G286</f>
        <v>198246.6</v>
      </c>
      <c r="I286" s="50">
        <f>8500+8874.7</f>
        <v>17374.7</v>
      </c>
      <c r="J286" s="6"/>
      <c r="K286" s="51">
        <f aca="true" t="shared" si="101" ref="K286:K293">H286+I286+J286</f>
        <v>215621.30000000002</v>
      </c>
      <c r="L286" s="50"/>
      <c r="M286" s="12">
        <f>-720+309.8-626.6</f>
        <v>-1036.8</v>
      </c>
      <c r="N286" s="166">
        <f aca="true" t="shared" si="102" ref="N286:N293">K286+L286+M286</f>
        <v>214584.50000000003</v>
      </c>
      <c r="O286" s="166"/>
      <c r="P286" s="151">
        <f>N286+O286</f>
        <v>214584.50000000003</v>
      </c>
    </row>
    <row r="287" spans="1:16" ht="12.75">
      <c r="A287" s="76" t="s">
        <v>90</v>
      </c>
      <c r="B287" s="50">
        <v>87240</v>
      </c>
      <c r="C287" s="6">
        <v>21156</v>
      </c>
      <c r="D287" s="6"/>
      <c r="E287" s="51">
        <f t="shared" si="99"/>
        <v>108396</v>
      </c>
      <c r="F287" s="50">
        <f>4000+8500+6500</f>
        <v>19000</v>
      </c>
      <c r="G287" s="6"/>
      <c r="H287" s="51">
        <f t="shared" si="100"/>
        <v>127396</v>
      </c>
      <c r="I287" s="50"/>
      <c r="J287" s="6">
        <v>90000</v>
      </c>
      <c r="K287" s="51">
        <f t="shared" si="101"/>
        <v>217396</v>
      </c>
      <c r="L287" s="50"/>
      <c r="M287" s="12">
        <v>11243.6</v>
      </c>
      <c r="N287" s="166">
        <f t="shared" si="102"/>
        <v>228639.6</v>
      </c>
      <c r="O287" s="166"/>
      <c r="P287" s="151">
        <f aca="true" t="shared" si="103" ref="P287:P293">N287+O287</f>
        <v>228639.6</v>
      </c>
    </row>
    <row r="288" spans="1:16" ht="12.75">
      <c r="A288" s="76" t="s">
        <v>230</v>
      </c>
      <c r="B288" s="50"/>
      <c r="C288" s="6"/>
      <c r="D288" s="6"/>
      <c r="E288" s="51"/>
      <c r="F288" s="50"/>
      <c r="G288" s="6"/>
      <c r="H288" s="51"/>
      <c r="I288" s="50"/>
      <c r="J288" s="6"/>
      <c r="K288" s="51">
        <f t="shared" si="101"/>
        <v>0</v>
      </c>
      <c r="L288" s="50"/>
      <c r="M288" s="12">
        <v>720</v>
      </c>
      <c r="N288" s="166">
        <f t="shared" si="102"/>
        <v>720</v>
      </c>
      <c r="O288" s="166"/>
      <c r="P288" s="151">
        <f t="shared" si="103"/>
        <v>720</v>
      </c>
    </row>
    <row r="289" spans="1:16" ht="12.75">
      <c r="A289" s="76" t="s">
        <v>78</v>
      </c>
      <c r="B289" s="50">
        <v>31630</v>
      </c>
      <c r="C289" s="6">
        <v>50000</v>
      </c>
      <c r="D289" s="6">
        <v>1900</v>
      </c>
      <c r="E289" s="51">
        <f t="shared" si="99"/>
        <v>83530</v>
      </c>
      <c r="F289" s="50">
        <f>-4000-15000</f>
        <v>-19000</v>
      </c>
      <c r="G289" s="6">
        <f>712.5+3000-13.9</f>
        <v>3698.6</v>
      </c>
      <c r="H289" s="51">
        <f t="shared" si="100"/>
        <v>68228.6</v>
      </c>
      <c r="I289" s="50"/>
      <c r="J289" s="6"/>
      <c r="K289" s="51">
        <f t="shared" si="101"/>
        <v>68228.6</v>
      </c>
      <c r="L289" s="50"/>
      <c r="M289" s="12">
        <v>-11517</v>
      </c>
      <c r="N289" s="166">
        <f t="shared" si="102"/>
        <v>56711.600000000006</v>
      </c>
      <c r="O289" s="166">
        <v>1200</v>
      </c>
      <c r="P289" s="151">
        <f t="shared" si="103"/>
        <v>57911.600000000006</v>
      </c>
    </row>
    <row r="290" spans="1:16" ht="12.75">
      <c r="A290" s="76" t="s">
        <v>157</v>
      </c>
      <c r="B290" s="50"/>
      <c r="C290" s="6"/>
      <c r="D290" s="6"/>
      <c r="E290" s="51">
        <f t="shared" si="99"/>
        <v>0</v>
      </c>
      <c r="F290" s="50">
        <v>638.3</v>
      </c>
      <c r="G290" s="6"/>
      <c r="H290" s="51">
        <f t="shared" si="100"/>
        <v>638.3</v>
      </c>
      <c r="I290" s="50">
        <v>618.5</v>
      </c>
      <c r="J290" s="6"/>
      <c r="K290" s="51">
        <f t="shared" si="101"/>
        <v>1256.8</v>
      </c>
      <c r="L290" s="68">
        <v>407.7</v>
      </c>
      <c r="M290" s="12"/>
      <c r="N290" s="166">
        <f t="shared" si="102"/>
        <v>1664.5</v>
      </c>
      <c r="O290" s="177">
        <v>444.6</v>
      </c>
      <c r="P290" s="151">
        <f t="shared" si="103"/>
        <v>2109.1</v>
      </c>
    </row>
    <row r="291" spans="1:16" ht="12.75">
      <c r="A291" s="76" t="s">
        <v>158</v>
      </c>
      <c r="B291" s="50"/>
      <c r="C291" s="6"/>
      <c r="D291" s="6"/>
      <c r="E291" s="51">
        <f t="shared" si="99"/>
        <v>0</v>
      </c>
      <c r="F291" s="50"/>
      <c r="G291" s="6"/>
      <c r="H291" s="51">
        <f t="shared" si="100"/>
        <v>0</v>
      </c>
      <c r="I291" s="50">
        <v>70</v>
      </c>
      <c r="J291" s="6"/>
      <c r="K291" s="51">
        <f t="shared" si="101"/>
        <v>70</v>
      </c>
      <c r="L291" s="50"/>
      <c r="M291" s="12"/>
      <c r="N291" s="166">
        <f t="shared" si="102"/>
        <v>70</v>
      </c>
      <c r="O291" s="166"/>
      <c r="P291" s="151">
        <f t="shared" si="103"/>
        <v>70</v>
      </c>
    </row>
    <row r="292" spans="1:16" ht="12.75">
      <c r="A292" s="76" t="s">
        <v>159</v>
      </c>
      <c r="B292" s="50"/>
      <c r="C292" s="6">
        <v>164.6</v>
      </c>
      <c r="D292" s="6"/>
      <c r="E292" s="51">
        <f t="shared" si="99"/>
        <v>164.6</v>
      </c>
      <c r="F292" s="50"/>
      <c r="G292" s="6"/>
      <c r="H292" s="51">
        <f t="shared" si="100"/>
        <v>164.6</v>
      </c>
      <c r="I292" s="50">
        <v>159</v>
      </c>
      <c r="J292" s="6"/>
      <c r="K292" s="51">
        <f t="shared" si="101"/>
        <v>323.6</v>
      </c>
      <c r="L292" s="50"/>
      <c r="M292" s="12"/>
      <c r="N292" s="166">
        <f t="shared" si="102"/>
        <v>323.6</v>
      </c>
      <c r="O292" s="166">
        <f>98.8+55.1</f>
        <v>153.9</v>
      </c>
      <c r="P292" s="151">
        <f t="shared" si="103"/>
        <v>477.5</v>
      </c>
    </row>
    <row r="293" spans="1:16" ht="12.75">
      <c r="A293" s="76" t="s">
        <v>247</v>
      </c>
      <c r="B293" s="50"/>
      <c r="C293" s="6"/>
      <c r="D293" s="6"/>
      <c r="E293" s="51">
        <f t="shared" si="99"/>
        <v>0</v>
      </c>
      <c r="F293" s="50"/>
      <c r="G293" s="6">
        <v>13.9</v>
      </c>
      <c r="H293" s="51">
        <f t="shared" si="100"/>
        <v>13.9</v>
      </c>
      <c r="I293" s="50"/>
      <c r="J293" s="6"/>
      <c r="K293" s="51">
        <f t="shared" si="101"/>
        <v>13.9</v>
      </c>
      <c r="L293" s="50"/>
      <c r="M293" s="12"/>
      <c r="N293" s="166">
        <f t="shared" si="102"/>
        <v>13.9</v>
      </c>
      <c r="O293" s="166"/>
      <c r="P293" s="151">
        <f t="shared" si="103"/>
        <v>13.9</v>
      </c>
    </row>
    <row r="294" spans="1:16" ht="12.75">
      <c r="A294" s="78" t="s">
        <v>81</v>
      </c>
      <c r="B294" s="58">
        <f aca="true" t="shared" si="104" ref="B294:N294">SUM(B296:B301)</f>
        <v>0</v>
      </c>
      <c r="C294" s="10">
        <f t="shared" si="104"/>
        <v>10000</v>
      </c>
      <c r="D294" s="10">
        <f t="shared" si="104"/>
        <v>0</v>
      </c>
      <c r="E294" s="59">
        <f t="shared" si="104"/>
        <v>10000</v>
      </c>
      <c r="F294" s="58">
        <f t="shared" si="104"/>
        <v>3000</v>
      </c>
      <c r="G294" s="10">
        <f t="shared" si="104"/>
        <v>95.4</v>
      </c>
      <c r="H294" s="59">
        <f t="shared" si="104"/>
        <v>13095.4</v>
      </c>
      <c r="I294" s="58">
        <f t="shared" si="104"/>
        <v>3000</v>
      </c>
      <c r="J294" s="10">
        <f t="shared" si="104"/>
        <v>670</v>
      </c>
      <c r="K294" s="59">
        <f t="shared" si="104"/>
        <v>16765.4</v>
      </c>
      <c r="L294" s="58">
        <f t="shared" si="104"/>
        <v>0</v>
      </c>
      <c r="M294" s="133">
        <f t="shared" si="104"/>
        <v>6400</v>
      </c>
      <c r="N294" s="170">
        <f t="shared" si="104"/>
        <v>23165.4</v>
      </c>
      <c r="O294" s="170">
        <f>SUM(O296:O301)</f>
        <v>7136.4</v>
      </c>
      <c r="P294" s="153">
        <f>SUM(P296:P301)</f>
        <v>30301.800000000003</v>
      </c>
    </row>
    <row r="295" spans="1:16" ht="9.75" customHeight="1">
      <c r="A295" s="74" t="s">
        <v>45</v>
      </c>
      <c r="B295" s="50"/>
      <c r="C295" s="6"/>
      <c r="D295" s="6"/>
      <c r="E295" s="51"/>
      <c r="F295" s="50"/>
      <c r="G295" s="6"/>
      <c r="H295" s="51"/>
      <c r="I295" s="50"/>
      <c r="J295" s="6"/>
      <c r="K295" s="51"/>
      <c r="L295" s="50"/>
      <c r="M295" s="12"/>
      <c r="N295" s="166"/>
      <c r="O295" s="166"/>
      <c r="P295" s="151"/>
    </row>
    <row r="296" spans="1:16" ht="12.75">
      <c r="A296" s="81" t="s">
        <v>160</v>
      </c>
      <c r="B296" s="50"/>
      <c r="C296" s="6">
        <v>10000</v>
      </c>
      <c r="D296" s="6"/>
      <c r="E296" s="51">
        <f>B296+C296+D296</f>
        <v>10000</v>
      </c>
      <c r="F296" s="50"/>
      <c r="G296" s="6"/>
      <c r="H296" s="51">
        <f>E296+F296+G296</f>
        <v>10000</v>
      </c>
      <c r="I296" s="50"/>
      <c r="J296" s="6"/>
      <c r="K296" s="51">
        <f>H296+I296+J296</f>
        <v>10000</v>
      </c>
      <c r="L296" s="50"/>
      <c r="M296" s="12"/>
      <c r="N296" s="166">
        <f>K296+L296+M296</f>
        <v>10000</v>
      </c>
      <c r="O296" s="166"/>
      <c r="P296" s="151">
        <f aca="true" t="shared" si="105" ref="P296:P301">N296+O296</f>
        <v>10000</v>
      </c>
    </row>
    <row r="297" spans="1:16" ht="12.75">
      <c r="A297" s="76" t="s">
        <v>155</v>
      </c>
      <c r="B297" s="50"/>
      <c r="C297" s="6"/>
      <c r="D297" s="6"/>
      <c r="E297" s="51">
        <f>B297+C297+D297</f>
        <v>0</v>
      </c>
      <c r="F297" s="50"/>
      <c r="G297" s="6">
        <v>95.4</v>
      </c>
      <c r="H297" s="51">
        <f>E297+F297+G297</f>
        <v>95.4</v>
      </c>
      <c r="I297" s="50"/>
      <c r="J297" s="6"/>
      <c r="K297" s="51">
        <f>H297+I297+J297</f>
        <v>95.4</v>
      </c>
      <c r="L297" s="50"/>
      <c r="M297" s="12">
        <v>900</v>
      </c>
      <c r="N297" s="166">
        <f>K297+L297+M297</f>
        <v>995.4</v>
      </c>
      <c r="O297" s="166"/>
      <c r="P297" s="151">
        <f t="shared" si="105"/>
        <v>995.4</v>
      </c>
    </row>
    <row r="298" spans="1:16" ht="12.75">
      <c r="A298" s="76" t="s">
        <v>273</v>
      </c>
      <c r="B298" s="50"/>
      <c r="C298" s="105"/>
      <c r="D298" s="105"/>
      <c r="E298" s="51"/>
      <c r="F298" s="50"/>
      <c r="G298" s="105"/>
      <c r="H298" s="51"/>
      <c r="I298" s="50"/>
      <c r="J298" s="105"/>
      <c r="K298" s="51"/>
      <c r="L298" s="50"/>
      <c r="M298" s="137"/>
      <c r="N298" s="166">
        <f>K298+L298+M298</f>
        <v>0</v>
      </c>
      <c r="O298" s="166">
        <f>2100+3000</f>
        <v>5100</v>
      </c>
      <c r="P298" s="151">
        <f t="shared" si="105"/>
        <v>5100</v>
      </c>
    </row>
    <row r="299" spans="1:16" ht="12.75">
      <c r="A299" s="76" t="s">
        <v>111</v>
      </c>
      <c r="B299" s="50"/>
      <c r="C299" s="105"/>
      <c r="D299" s="105"/>
      <c r="E299" s="51">
        <f>B299+C299+D299</f>
        <v>0</v>
      </c>
      <c r="F299" s="50">
        <v>3000</v>
      </c>
      <c r="G299" s="105"/>
      <c r="H299" s="51">
        <f>E299+F299+G299</f>
        <v>3000</v>
      </c>
      <c r="I299" s="50"/>
      <c r="J299" s="117"/>
      <c r="K299" s="51">
        <f>H299+I299+J299</f>
        <v>3000</v>
      </c>
      <c r="L299" s="50"/>
      <c r="M299" s="137">
        <v>5500</v>
      </c>
      <c r="N299" s="166">
        <f>K299+L299+M299</f>
        <v>8500</v>
      </c>
      <c r="O299" s="166"/>
      <c r="P299" s="151">
        <f t="shared" si="105"/>
        <v>8500</v>
      </c>
    </row>
    <row r="300" spans="1:16" ht="12.75">
      <c r="A300" s="76" t="s">
        <v>279</v>
      </c>
      <c r="B300" s="50"/>
      <c r="C300" s="105"/>
      <c r="D300" s="105"/>
      <c r="E300" s="51"/>
      <c r="F300" s="50"/>
      <c r="G300" s="105"/>
      <c r="H300" s="51"/>
      <c r="I300" s="50"/>
      <c r="J300" s="117"/>
      <c r="K300" s="51"/>
      <c r="L300" s="50"/>
      <c r="M300" s="137"/>
      <c r="N300" s="166"/>
      <c r="O300" s="166">
        <v>2036.4</v>
      </c>
      <c r="P300" s="151">
        <f t="shared" si="105"/>
        <v>2036.4</v>
      </c>
    </row>
    <row r="301" spans="1:16" ht="12.75">
      <c r="A301" s="75" t="s">
        <v>82</v>
      </c>
      <c r="B301" s="54"/>
      <c r="C301" s="14"/>
      <c r="D301" s="14"/>
      <c r="E301" s="55">
        <f>B301+C301+D301</f>
        <v>0</v>
      </c>
      <c r="F301" s="54"/>
      <c r="G301" s="14"/>
      <c r="H301" s="55">
        <f>E301+F301+G301</f>
        <v>0</v>
      </c>
      <c r="I301" s="54">
        <v>3000</v>
      </c>
      <c r="J301" s="14">
        <v>670</v>
      </c>
      <c r="K301" s="55">
        <f>H301+I301+J301</f>
        <v>3670</v>
      </c>
      <c r="L301" s="54"/>
      <c r="M301" s="138"/>
      <c r="N301" s="172">
        <f>K301+L301+M301</f>
        <v>3670</v>
      </c>
      <c r="O301" s="172"/>
      <c r="P301" s="154">
        <f t="shared" si="105"/>
        <v>3670</v>
      </c>
    </row>
    <row r="302" spans="1:16" ht="12.75">
      <c r="A302" s="84" t="s">
        <v>161</v>
      </c>
      <c r="B302" s="52">
        <f aca="true" t="shared" si="106" ref="B302:N302">B303+B313</f>
        <v>159277</v>
      </c>
      <c r="C302" s="15">
        <f t="shared" si="106"/>
        <v>4810</v>
      </c>
      <c r="D302" s="15">
        <f t="shared" si="106"/>
        <v>0</v>
      </c>
      <c r="E302" s="65">
        <f t="shared" si="106"/>
        <v>164087</v>
      </c>
      <c r="F302" s="52">
        <f t="shared" si="106"/>
        <v>-990</v>
      </c>
      <c r="G302" s="15">
        <f t="shared" si="106"/>
        <v>11280</v>
      </c>
      <c r="H302" s="65">
        <f t="shared" si="106"/>
        <v>174377</v>
      </c>
      <c r="I302" s="52">
        <f t="shared" si="106"/>
        <v>388.6</v>
      </c>
      <c r="J302" s="15">
        <f t="shared" si="106"/>
        <v>0</v>
      </c>
      <c r="K302" s="65">
        <f t="shared" si="106"/>
        <v>174765.6</v>
      </c>
      <c r="L302" s="52">
        <f t="shared" si="106"/>
        <v>20297.7</v>
      </c>
      <c r="M302" s="139">
        <f t="shared" si="106"/>
        <v>4522</v>
      </c>
      <c r="N302" s="167">
        <f t="shared" si="106"/>
        <v>199585.30000000002</v>
      </c>
      <c r="O302" s="167">
        <f>O303+O313</f>
        <v>8561.2</v>
      </c>
      <c r="P302" s="65">
        <f>P303+P313</f>
        <v>208146.5</v>
      </c>
    </row>
    <row r="303" spans="1:16" ht="12.75">
      <c r="A303" s="78" t="s">
        <v>75</v>
      </c>
      <c r="B303" s="58">
        <f aca="true" t="shared" si="107" ref="B303:N303">SUM(B305:B312)</f>
        <v>159277</v>
      </c>
      <c r="C303" s="10">
        <f t="shared" si="107"/>
        <v>4810</v>
      </c>
      <c r="D303" s="10">
        <f t="shared" si="107"/>
        <v>0</v>
      </c>
      <c r="E303" s="59">
        <f t="shared" si="107"/>
        <v>164087</v>
      </c>
      <c r="F303" s="58">
        <f t="shared" si="107"/>
        <v>-990</v>
      </c>
      <c r="G303" s="10">
        <f t="shared" si="107"/>
        <v>11280</v>
      </c>
      <c r="H303" s="59">
        <f t="shared" si="107"/>
        <v>174377</v>
      </c>
      <c r="I303" s="58">
        <f t="shared" si="107"/>
        <v>223.5</v>
      </c>
      <c r="J303" s="10">
        <f t="shared" si="107"/>
        <v>0</v>
      </c>
      <c r="K303" s="59">
        <f t="shared" si="107"/>
        <v>174600.5</v>
      </c>
      <c r="L303" s="58">
        <f t="shared" si="107"/>
        <v>2641.2</v>
      </c>
      <c r="M303" s="133">
        <f t="shared" si="107"/>
        <v>0</v>
      </c>
      <c r="N303" s="170">
        <f t="shared" si="107"/>
        <v>177241.7</v>
      </c>
      <c r="O303" s="170">
        <f>SUM(O305:O312)</f>
        <v>84.2</v>
      </c>
      <c r="P303" s="153">
        <f>SUM(P305:P312)</f>
        <v>177325.9</v>
      </c>
    </row>
    <row r="304" spans="1:16" ht="9.75" customHeight="1">
      <c r="A304" s="74" t="s">
        <v>45</v>
      </c>
      <c r="B304" s="50"/>
      <c r="C304" s="6"/>
      <c r="D304" s="6"/>
      <c r="E304" s="51"/>
      <c r="F304" s="50"/>
      <c r="G304" s="6"/>
      <c r="H304" s="51"/>
      <c r="I304" s="50"/>
      <c r="J304" s="6"/>
      <c r="K304" s="51"/>
      <c r="L304" s="50"/>
      <c r="M304" s="12"/>
      <c r="N304" s="166"/>
      <c r="O304" s="166"/>
      <c r="P304" s="151"/>
    </row>
    <row r="305" spans="1:16" ht="12.75">
      <c r="A305" s="76" t="s">
        <v>106</v>
      </c>
      <c r="B305" s="50">
        <v>126310</v>
      </c>
      <c r="C305" s="6">
        <v>4226</v>
      </c>
      <c r="D305" s="6">
        <v>215</v>
      </c>
      <c r="E305" s="51">
        <f>B305+C305+D305</f>
        <v>130751</v>
      </c>
      <c r="F305" s="50">
        <f>-962+230</f>
        <v>-732</v>
      </c>
      <c r="G305" s="6"/>
      <c r="H305" s="51">
        <f>E305+F305+G305</f>
        <v>130019</v>
      </c>
      <c r="I305" s="50"/>
      <c r="J305" s="6"/>
      <c r="K305" s="51">
        <f>H305+I305+J305</f>
        <v>130019</v>
      </c>
      <c r="L305" s="50">
        <f>1500+1000+145</f>
        <v>2645</v>
      </c>
      <c r="M305" s="12"/>
      <c r="N305" s="166">
        <f>K305+L305+M305</f>
        <v>132664</v>
      </c>
      <c r="O305" s="166"/>
      <c r="P305" s="151">
        <f>N305+O305</f>
        <v>132664</v>
      </c>
    </row>
    <row r="306" spans="1:16" ht="12.75">
      <c r="A306" s="76" t="s">
        <v>78</v>
      </c>
      <c r="B306" s="50">
        <v>30167</v>
      </c>
      <c r="C306" s="6">
        <f>-6242+459</f>
        <v>-5783</v>
      </c>
      <c r="D306" s="6">
        <f>-740-215</f>
        <v>-955</v>
      </c>
      <c r="E306" s="51">
        <f aca="true" t="shared" si="108" ref="E306:E312">B306+C306+D306</f>
        <v>23429</v>
      </c>
      <c r="F306" s="50">
        <v>-459</v>
      </c>
      <c r="G306" s="6">
        <f>1000-2700</f>
        <v>-1700</v>
      </c>
      <c r="H306" s="51">
        <f aca="true" t="shared" si="109" ref="H306:H312">E306+F306+G306</f>
        <v>21270</v>
      </c>
      <c r="I306" s="50">
        <f>-346+40</f>
        <v>-306</v>
      </c>
      <c r="J306" s="6"/>
      <c r="K306" s="51">
        <f aca="true" t="shared" si="110" ref="K306:K312">H306+I306+J306</f>
        <v>20964</v>
      </c>
      <c r="L306" s="50">
        <v>-55</v>
      </c>
      <c r="M306" s="12"/>
      <c r="N306" s="166">
        <f aca="true" t="shared" si="111" ref="N306:N312">K306+L306+M306</f>
        <v>20909</v>
      </c>
      <c r="O306" s="166"/>
      <c r="P306" s="151">
        <f aca="true" t="shared" si="112" ref="P306:P312">N306+O306</f>
        <v>20909</v>
      </c>
    </row>
    <row r="307" spans="1:16" ht="12.75">
      <c r="A307" s="76" t="s">
        <v>214</v>
      </c>
      <c r="B307" s="50">
        <v>2800</v>
      </c>
      <c r="C307" s="6">
        <v>125</v>
      </c>
      <c r="D307" s="6"/>
      <c r="E307" s="51">
        <f t="shared" si="108"/>
        <v>2925</v>
      </c>
      <c r="F307" s="50"/>
      <c r="G307" s="6"/>
      <c r="H307" s="51">
        <f t="shared" si="109"/>
        <v>2925</v>
      </c>
      <c r="I307" s="50">
        <v>346</v>
      </c>
      <c r="J307" s="6"/>
      <c r="K307" s="51">
        <f t="shared" si="110"/>
        <v>3271</v>
      </c>
      <c r="L307" s="50"/>
      <c r="M307" s="12"/>
      <c r="N307" s="166">
        <f t="shared" si="111"/>
        <v>3271</v>
      </c>
      <c r="O307" s="166"/>
      <c r="P307" s="151">
        <f t="shared" si="112"/>
        <v>3271</v>
      </c>
    </row>
    <row r="308" spans="1:16" ht="12.75">
      <c r="A308" s="76" t="s">
        <v>91</v>
      </c>
      <c r="B308" s="50"/>
      <c r="C308" s="6">
        <v>6242</v>
      </c>
      <c r="D308" s="6">
        <v>740</v>
      </c>
      <c r="E308" s="51">
        <f t="shared" si="108"/>
        <v>6982</v>
      </c>
      <c r="F308" s="50"/>
      <c r="G308" s="6">
        <v>2700</v>
      </c>
      <c r="H308" s="51">
        <f t="shared" si="109"/>
        <v>9682</v>
      </c>
      <c r="I308" s="50">
        <v>-40</v>
      </c>
      <c r="J308" s="6"/>
      <c r="K308" s="51">
        <f t="shared" si="110"/>
        <v>9642</v>
      </c>
      <c r="L308" s="50"/>
      <c r="M308" s="12"/>
      <c r="N308" s="166">
        <f t="shared" si="111"/>
        <v>9642</v>
      </c>
      <c r="O308" s="166"/>
      <c r="P308" s="151">
        <f t="shared" si="112"/>
        <v>9642</v>
      </c>
    </row>
    <row r="309" spans="1:16" ht="12.75">
      <c r="A309" s="76" t="s">
        <v>162</v>
      </c>
      <c r="B309" s="50"/>
      <c r="C309" s="6"/>
      <c r="D309" s="6"/>
      <c r="E309" s="51">
        <f t="shared" si="108"/>
        <v>0</v>
      </c>
      <c r="F309" s="50">
        <f>50+151</f>
        <v>201</v>
      </c>
      <c r="G309" s="6"/>
      <c r="H309" s="51">
        <f t="shared" si="109"/>
        <v>201</v>
      </c>
      <c r="I309" s="50">
        <v>20</v>
      </c>
      <c r="J309" s="6"/>
      <c r="K309" s="51">
        <f t="shared" si="110"/>
        <v>221</v>
      </c>
      <c r="L309" s="50"/>
      <c r="M309" s="12"/>
      <c r="N309" s="166">
        <f t="shared" si="111"/>
        <v>221</v>
      </c>
      <c r="O309" s="166"/>
      <c r="P309" s="151">
        <f t="shared" si="112"/>
        <v>221</v>
      </c>
    </row>
    <row r="310" spans="1:16" ht="12.75">
      <c r="A310" s="76" t="s">
        <v>163</v>
      </c>
      <c r="B310" s="50"/>
      <c r="C310" s="6"/>
      <c r="D310" s="6"/>
      <c r="E310" s="51">
        <f t="shared" si="108"/>
        <v>0</v>
      </c>
      <c r="F310" s="50"/>
      <c r="G310" s="6"/>
      <c r="H310" s="51">
        <f t="shared" si="109"/>
        <v>0</v>
      </c>
      <c r="I310" s="50">
        <v>158</v>
      </c>
      <c r="J310" s="6"/>
      <c r="K310" s="51">
        <f t="shared" si="110"/>
        <v>158</v>
      </c>
      <c r="L310" s="50"/>
      <c r="M310" s="12"/>
      <c r="N310" s="166">
        <f t="shared" si="111"/>
        <v>158</v>
      </c>
      <c r="O310" s="166"/>
      <c r="P310" s="151">
        <f t="shared" si="112"/>
        <v>158</v>
      </c>
    </row>
    <row r="311" spans="1:16" ht="12.75">
      <c r="A311" s="122" t="s">
        <v>280</v>
      </c>
      <c r="B311" s="50"/>
      <c r="C311" s="6"/>
      <c r="D311" s="6"/>
      <c r="E311" s="51"/>
      <c r="F311" s="50"/>
      <c r="G311" s="6"/>
      <c r="H311" s="51">
        <f t="shared" si="109"/>
        <v>0</v>
      </c>
      <c r="I311" s="50">
        <v>45.5</v>
      </c>
      <c r="J311" s="6"/>
      <c r="K311" s="51">
        <f t="shared" si="110"/>
        <v>45.5</v>
      </c>
      <c r="L311" s="50">
        <v>141.2</v>
      </c>
      <c r="M311" s="12"/>
      <c r="N311" s="166">
        <f t="shared" si="111"/>
        <v>186.7</v>
      </c>
      <c r="O311" s="166">
        <v>84.2</v>
      </c>
      <c r="P311" s="151">
        <f t="shared" si="112"/>
        <v>270.9</v>
      </c>
    </row>
    <row r="312" spans="1:16" ht="12.75">
      <c r="A312" s="76" t="s">
        <v>95</v>
      </c>
      <c r="B312" s="50"/>
      <c r="C312" s="6"/>
      <c r="D312" s="6"/>
      <c r="E312" s="51">
        <f t="shared" si="108"/>
        <v>0</v>
      </c>
      <c r="F312" s="50"/>
      <c r="G312" s="6">
        <v>10280</v>
      </c>
      <c r="H312" s="51">
        <f t="shared" si="109"/>
        <v>10280</v>
      </c>
      <c r="I312" s="50"/>
      <c r="J312" s="6"/>
      <c r="K312" s="51">
        <f t="shared" si="110"/>
        <v>10280</v>
      </c>
      <c r="L312" s="50">
        <v>-90</v>
      </c>
      <c r="M312" s="12"/>
      <c r="N312" s="166">
        <f t="shared" si="111"/>
        <v>10190</v>
      </c>
      <c r="O312" s="166"/>
      <c r="P312" s="151">
        <f t="shared" si="112"/>
        <v>10190</v>
      </c>
    </row>
    <row r="313" spans="1:16" ht="12.75">
      <c r="A313" s="78" t="s">
        <v>81</v>
      </c>
      <c r="B313" s="58">
        <f>SUM(B315:B316)</f>
        <v>0</v>
      </c>
      <c r="C313" s="10">
        <f aca="true" t="shared" si="113" ref="C313:J313">SUM(C316:C316)</f>
        <v>0</v>
      </c>
      <c r="D313" s="10">
        <f t="shared" si="113"/>
        <v>0</v>
      </c>
      <c r="E313" s="59">
        <f t="shared" si="113"/>
        <v>0</v>
      </c>
      <c r="F313" s="58">
        <f t="shared" si="113"/>
        <v>0</v>
      </c>
      <c r="G313" s="10">
        <f t="shared" si="113"/>
        <v>0</v>
      </c>
      <c r="H313" s="59">
        <f t="shared" si="113"/>
        <v>0</v>
      </c>
      <c r="I313" s="58">
        <f t="shared" si="113"/>
        <v>165.1</v>
      </c>
      <c r="J313" s="10">
        <f t="shared" si="113"/>
        <v>0</v>
      </c>
      <c r="K313" s="59">
        <f aca="true" t="shared" si="114" ref="K313:P313">SUM(K315:K316)</f>
        <v>165.1</v>
      </c>
      <c r="L313" s="107">
        <f t="shared" si="114"/>
        <v>17656.5</v>
      </c>
      <c r="M313" s="133">
        <f t="shared" si="114"/>
        <v>4522</v>
      </c>
      <c r="N313" s="170">
        <f t="shared" si="114"/>
        <v>22343.600000000002</v>
      </c>
      <c r="O313" s="170">
        <f t="shared" si="114"/>
        <v>8477</v>
      </c>
      <c r="P313" s="153">
        <f t="shared" si="114"/>
        <v>30820.600000000002</v>
      </c>
    </row>
    <row r="314" spans="1:16" ht="12.75">
      <c r="A314" s="74" t="s">
        <v>45</v>
      </c>
      <c r="B314" s="50"/>
      <c r="C314" s="6"/>
      <c r="D314" s="6"/>
      <c r="E314" s="51"/>
      <c r="F314" s="50"/>
      <c r="G314" s="6"/>
      <c r="H314" s="51"/>
      <c r="I314" s="50"/>
      <c r="J314" s="6"/>
      <c r="K314" s="51"/>
      <c r="L314" s="50"/>
      <c r="M314" s="12"/>
      <c r="N314" s="166"/>
      <c r="O314" s="166"/>
      <c r="P314" s="151"/>
    </row>
    <row r="315" spans="1:16" ht="12.75">
      <c r="A315" s="76" t="s">
        <v>111</v>
      </c>
      <c r="B315" s="50"/>
      <c r="C315" s="6"/>
      <c r="D315" s="6"/>
      <c r="E315" s="51"/>
      <c r="F315" s="50"/>
      <c r="G315" s="6"/>
      <c r="H315" s="51"/>
      <c r="I315" s="50"/>
      <c r="J315" s="6"/>
      <c r="K315" s="51">
        <f>H315+I315+J315</f>
        <v>0</v>
      </c>
      <c r="L315" s="50">
        <v>11939.7</v>
      </c>
      <c r="M315" s="12">
        <f>-11044.2+4522</f>
        <v>-6522.200000000001</v>
      </c>
      <c r="N315" s="166">
        <f>K315+L315+M315</f>
        <v>5417.5</v>
      </c>
      <c r="O315" s="166"/>
      <c r="P315" s="151">
        <f>N315+O315</f>
        <v>5417.5</v>
      </c>
    </row>
    <row r="316" spans="1:16" ht="12.75">
      <c r="A316" s="121" t="s">
        <v>280</v>
      </c>
      <c r="B316" s="54"/>
      <c r="C316" s="9"/>
      <c r="D316" s="9"/>
      <c r="E316" s="55">
        <f>B316+C316+D316</f>
        <v>0</v>
      </c>
      <c r="F316" s="54"/>
      <c r="G316" s="9"/>
      <c r="H316" s="55">
        <f>E316+F316+G316</f>
        <v>0</v>
      </c>
      <c r="I316" s="54">
        <v>165.1</v>
      </c>
      <c r="J316" s="9"/>
      <c r="K316" s="55">
        <f>H316+I316+J316</f>
        <v>165.1</v>
      </c>
      <c r="L316" s="54">
        <v>5716.8</v>
      </c>
      <c r="M316" s="135">
        <v>11044.2</v>
      </c>
      <c r="N316" s="172">
        <f>K316+L316+M316</f>
        <v>16926.100000000002</v>
      </c>
      <c r="O316" s="172">
        <f>8477</f>
        <v>8477</v>
      </c>
      <c r="P316" s="154">
        <f>N316+O316</f>
        <v>25403.100000000002</v>
      </c>
    </row>
    <row r="317" spans="1:16" ht="12.75">
      <c r="A317" s="69" t="s">
        <v>164</v>
      </c>
      <c r="B317" s="48">
        <f aca="true" t="shared" si="115" ref="B317:N317">B318+B333</f>
        <v>36867</v>
      </c>
      <c r="C317" s="5">
        <f t="shared" si="115"/>
        <v>81982.5</v>
      </c>
      <c r="D317" s="5">
        <f t="shared" si="115"/>
        <v>0</v>
      </c>
      <c r="E317" s="49">
        <f t="shared" si="115"/>
        <v>118849.5</v>
      </c>
      <c r="F317" s="48">
        <f t="shared" si="115"/>
        <v>2237.6</v>
      </c>
      <c r="G317" s="5">
        <f t="shared" si="115"/>
        <v>25000</v>
      </c>
      <c r="H317" s="49">
        <f t="shared" si="115"/>
        <v>146087.1</v>
      </c>
      <c r="I317" s="48">
        <f t="shared" si="115"/>
        <v>33852.899999999994</v>
      </c>
      <c r="J317" s="5">
        <f t="shared" si="115"/>
        <v>28340</v>
      </c>
      <c r="K317" s="49">
        <f t="shared" si="115"/>
        <v>208280.00000000003</v>
      </c>
      <c r="L317" s="48">
        <f t="shared" si="115"/>
        <v>20894.499999999996</v>
      </c>
      <c r="M317" s="130">
        <f t="shared" si="115"/>
        <v>23060</v>
      </c>
      <c r="N317" s="165">
        <f t="shared" si="115"/>
        <v>252234.5</v>
      </c>
      <c r="O317" s="165">
        <f>O318+O333</f>
        <v>11977.7</v>
      </c>
      <c r="P317" s="150">
        <f>P318+P333</f>
        <v>264212.2</v>
      </c>
    </row>
    <row r="318" spans="1:16" ht="12.75">
      <c r="A318" s="78" t="s">
        <v>75</v>
      </c>
      <c r="B318" s="58">
        <f>SUM(B320:B332)</f>
        <v>36867</v>
      </c>
      <c r="C318" s="10">
        <f aca="true" t="shared" si="116" ref="C318:N318">SUM(C320:C332)</f>
        <v>76982.5</v>
      </c>
      <c r="D318" s="10">
        <f t="shared" si="116"/>
        <v>0</v>
      </c>
      <c r="E318" s="59">
        <f t="shared" si="116"/>
        <v>113849.5</v>
      </c>
      <c r="F318" s="58">
        <f t="shared" si="116"/>
        <v>2237.6</v>
      </c>
      <c r="G318" s="10">
        <f t="shared" si="116"/>
        <v>25000</v>
      </c>
      <c r="H318" s="59">
        <f t="shared" si="116"/>
        <v>141087.1</v>
      </c>
      <c r="I318" s="58">
        <f t="shared" si="116"/>
        <v>33852.899999999994</v>
      </c>
      <c r="J318" s="10">
        <f t="shared" si="116"/>
        <v>28340</v>
      </c>
      <c r="K318" s="59">
        <f t="shared" si="116"/>
        <v>203280.00000000003</v>
      </c>
      <c r="L318" s="58">
        <f t="shared" si="116"/>
        <v>20894.499999999996</v>
      </c>
      <c r="M318" s="133">
        <f t="shared" si="116"/>
        <v>23060</v>
      </c>
      <c r="N318" s="170">
        <f t="shared" si="116"/>
        <v>247234.5</v>
      </c>
      <c r="O318" s="170">
        <f>SUM(O320:O332)</f>
        <v>5721.1</v>
      </c>
      <c r="P318" s="153">
        <f>SUM(P320:P332)</f>
        <v>252955.6</v>
      </c>
    </row>
    <row r="319" spans="1:16" ht="9.75" customHeight="1">
      <c r="A319" s="74" t="s">
        <v>45</v>
      </c>
      <c r="B319" s="50"/>
      <c r="C319" s="6"/>
      <c r="D319" s="6"/>
      <c r="E319" s="51"/>
      <c r="F319" s="50"/>
      <c r="G319" s="6"/>
      <c r="H319" s="51"/>
      <c r="I319" s="50"/>
      <c r="J319" s="6"/>
      <c r="K319" s="51"/>
      <c r="L319" s="50"/>
      <c r="M319" s="12"/>
      <c r="N319" s="166"/>
      <c r="O319" s="166"/>
      <c r="P319" s="151"/>
    </row>
    <row r="320" spans="1:16" ht="12.75">
      <c r="A320" s="85" t="s">
        <v>165</v>
      </c>
      <c r="B320" s="50">
        <v>27253</v>
      </c>
      <c r="C320" s="6">
        <v>9160</v>
      </c>
      <c r="D320" s="6"/>
      <c r="E320" s="51">
        <f>B320+C320+D320</f>
        <v>36413</v>
      </c>
      <c r="F320" s="50"/>
      <c r="G320" s="6"/>
      <c r="H320" s="51">
        <f>E320+F320+G320</f>
        <v>36413</v>
      </c>
      <c r="I320" s="50"/>
      <c r="J320" s="6"/>
      <c r="K320" s="51">
        <f>H320+I320+J320</f>
        <v>36413</v>
      </c>
      <c r="L320" s="50">
        <v>122</v>
      </c>
      <c r="M320" s="12">
        <v>25433</v>
      </c>
      <c r="N320" s="166">
        <f>K320+L320+M320</f>
        <v>61968</v>
      </c>
      <c r="O320" s="166"/>
      <c r="P320" s="151">
        <f>N320+O320</f>
        <v>61968</v>
      </c>
    </row>
    <row r="321" spans="1:16" ht="12.75">
      <c r="A321" s="72" t="s">
        <v>230</v>
      </c>
      <c r="B321" s="50"/>
      <c r="C321" s="6"/>
      <c r="D321" s="6">
        <v>35000</v>
      </c>
      <c r="E321" s="51">
        <f aca="true" t="shared" si="117" ref="E321:E332">B321+C321+D321</f>
        <v>35000</v>
      </c>
      <c r="F321" s="50"/>
      <c r="G321" s="6">
        <v>25000</v>
      </c>
      <c r="H321" s="51">
        <f aca="true" t="shared" si="118" ref="H321:H332">E321+F321+G321</f>
        <v>60000</v>
      </c>
      <c r="I321" s="50"/>
      <c r="J321" s="6">
        <v>12627</v>
      </c>
      <c r="K321" s="51">
        <f aca="true" t="shared" si="119" ref="K321:K332">H321+I321+J321</f>
        <v>72627</v>
      </c>
      <c r="L321" s="50"/>
      <c r="M321" s="12"/>
      <c r="N321" s="166">
        <f aca="true" t="shared" si="120" ref="N321:N332">K321+L321+M321</f>
        <v>72627</v>
      </c>
      <c r="O321" s="166"/>
      <c r="P321" s="151">
        <f aca="true" t="shared" si="121" ref="P321:P332">N321+O321</f>
        <v>72627</v>
      </c>
    </row>
    <row r="322" spans="1:16" ht="12.75">
      <c r="A322" s="72" t="s">
        <v>78</v>
      </c>
      <c r="B322" s="50">
        <f>8534+1080</f>
        <v>9614</v>
      </c>
      <c r="C322" s="6">
        <v>50000</v>
      </c>
      <c r="D322" s="6">
        <v>-35000</v>
      </c>
      <c r="E322" s="51">
        <f t="shared" si="117"/>
        <v>24614</v>
      </c>
      <c r="F322" s="50"/>
      <c r="G322" s="6"/>
      <c r="H322" s="51">
        <f t="shared" si="118"/>
        <v>24614</v>
      </c>
      <c r="I322" s="50"/>
      <c r="J322" s="6">
        <v>-12627</v>
      </c>
      <c r="K322" s="51">
        <f t="shared" si="119"/>
        <v>11987</v>
      </c>
      <c r="L322" s="50">
        <v>-122</v>
      </c>
      <c r="M322" s="12">
        <v>-2373</v>
      </c>
      <c r="N322" s="166">
        <f t="shared" si="120"/>
        <v>9492</v>
      </c>
      <c r="O322" s="166"/>
      <c r="P322" s="151">
        <f t="shared" si="121"/>
        <v>9492</v>
      </c>
    </row>
    <row r="323" spans="1:16" ht="12.75" hidden="1">
      <c r="A323" s="72" t="s">
        <v>91</v>
      </c>
      <c r="B323" s="50"/>
      <c r="C323" s="6"/>
      <c r="D323" s="6"/>
      <c r="E323" s="51">
        <f t="shared" si="117"/>
        <v>0</v>
      </c>
      <c r="F323" s="50"/>
      <c r="G323" s="6"/>
      <c r="H323" s="51">
        <f t="shared" si="118"/>
        <v>0</v>
      </c>
      <c r="I323" s="50"/>
      <c r="J323" s="6"/>
      <c r="K323" s="51">
        <f t="shared" si="119"/>
        <v>0</v>
      </c>
      <c r="L323" s="50"/>
      <c r="M323" s="12"/>
      <c r="N323" s="166">
        <f t="shared" si="120"/>
        <v>0</v>
      </c>
      <c r="O323" s="166"/>
      <c r="P323" s="151">
        <f t="shared" si="121"/>
        <v>0</v>
      </c>
    </row>
    <row r="324" spans="1:16" ht="12.75">
      <c r="A324" s="81" t="s">
        <v>252</v>
      </c>
      <c r="B324" s="50"/>
      <c r="C324" s="6">
        <v>1255.5</v>
      </c>
      <c r="D324" s="6"/>
      <c r="E324" s="51">
        <f t="shared" si="117"/>
        <v>1255.5</v>
      </c>
      <c r="F324" s="50"/>
      <c r="G324" s="6"/>
      <c r="H324" s="51">
        <f t="shared" si="118"/>
        <v>1255.5</v>
      </c>
      <c r="I324" s="50">
        <v>2715.1</v>
      </c>
      <c r="J324" s="6"/>
      <c r="K324" s="51">
        <f t="shared" si="119"/>
        <v>3970.6</v>
      </c>
      <c r="L324" s="50">
        <f>1611.2+4594.2</f>
        <v>6205.4</v>
      </c>
      <c r="M324" s="12"/>
      <c r="N324" s="166">
        <f t="shared" si="120"/>
        <v>10176</v>
      </c>
      <c r="O324" s="166"/>
      <c r="P324" s="151">
        <f t="shared" si="121"/>
        <v>10176</v>
      </c>
    </row>
    <row r="325" spans="1:16" ht="12.75">
      <c r="A325" s="81" t="s">
        <v>253</v>
      </c>
      <c r="B325" s="50"/>
      <c r="C325" s="6">
        <v>1391.4</v>
      </c>
      <c r="D325" s="6"/>
      <c r="E325" s="51">
        <f t="shared" si="117"/>
        <v>1391.4</v>
      </c>
      <c r="F325" s="50"/>
      <c r="G325" s="6"/>
      <c r="H325" s="51">
        <f t="shared" si="118"/>
        <v>1391.4</v>
      </c>
      <c r="I325" s="50">
        <v>3237.5</v>
      </c>
      <c r="J325" s="6"/>
      <c r="K325" s="51">
        <f t="shared" si="119"/>
        <v>4628.9</v>
      </c>
      <c r="L325" s="50">
        <v>2039</v>
      </c>
      <c r="M325" s="12"/>
      <c r="N325" s="166">
        <f t="shared" si="120"/>
        <v>6667.9</v>
      </c>
      <c r="O325" s="166">
        <v>5420.3</v>
      </c>
      <c r="P325" s="151">
        <f t="shared" si="121"/>
        <v>12088.2</v>
      </c>
    </row>
    <row r="326" spans="1:16" ht="12.75">
      <c r="A326" s="72" t="s">
        <v>254</v>
      </c>
      <c r="B326" s="50"/>
      <c r="C326" s="6">
        <v>14825.6</v>
      </c>
      <c r="D326" s="6"/>
      <c r="E326" s="51">
        <f t="shared" si="117"/>
        <v>14825.6</v>
      </c>
      <c r="F326" s="50"/>
      <c r="G326" s="6"/>
      <c r="H326" s="51">
        <f t="shared" si="118"/>
        <v>14825.6</v>
      </c>
      <c r="I326" s="50">
        <v>26490.1</v>
      </c>
      <c r="J326" s="6"/>
      <c r="K326" s="51">
        <f t="shared" si="119"/>
        <v>41315.7</v>
      </c>
      <c r="L326" s="50">
        <v>10289.3</v>
      </c>
      <c r="M326" s="12"/>
      <c r="N326" s="166">
        <f t="shared" si="120"/>
        <v>51605</v>
      </c>
      <c r="O326" s="166"/>
      <c r="P326" s="151">
        <f t="shared" si="121"/>
        <v>51605</v>
      </c>
    </row>
    <row r="327" spans="1:16" ht="12.75">
      <c r="A327" s="81" t="s">
        <v>232</v>
      </c>
      <c r="B327" s="50"/>
      <c r="C327" s="6"/>
      <c r="D327" s="6"/>
      <c r="E327" s="51">
        <f t="shared" si="117"/>
        <v>0</v>
      </c>
      <c r="F327" s="50">
        <v>1416</v>
      </c>
      <c r="G327" s="6"/>
      <c r="H327" s="51">
        <f t="shared" si="118"/>
        <v>1416</v>
      </c>
      <c r="I327" s="50">
        <v>687.7</v>
      </c>
      <c r="J327" s="6"/>
      <c r="K327" s="51">
        <f t="shared" si="119"/>
        <v>2103.7</v>
      </c>
      <c r="L327" s="50">
        <v>1270.8</v>
      </c>
      <c r="M327" s="12"/>
      <c r="N327" s="166">
        <f t="shared" si="120"/>
        <v>3374.5</v>
      </c>
      <c r="O327" s="166"/>
      <c r="P327" s="151">
        <f t="shared" si="121"/>
        <v>3374.5</v>
      </c>
    </row>
    <row r="328" spans="1:16" ht="12.75" hidden="1">
      <c r="A328" s="71" t="s">
        <v>166</v>
      </c>
      <c r="B328" s="50"/>
      <c r="C328" s="6"/>
      <c r="D328" s="6"/>
      <c r="E328" s="51">
        <f t="shared" si="117"/>
        <v>0</v>
      </c>
      <c r="F328" s="50"/>
      <c r="G328" s="6"/>
      <c r="H328" s="51">
        <f t="shared" si="118"/>
        <v>0</v>
      </c>
      <c r="I328" s="50"/>
      <c r="J328" s="6"/>
      <c r="K328" s="51">
        <f t="shared" si="119"/>
        <v>0</v>
      </c>
      <c r="L328" s="50"/>
      <c r="M328" s="12"/>
      <c r="N328" s="166">
        <f t="shared" si="120"/>
        <v>0</v>
      </c>
      <c r="O328" s="166"/>
      <c r="P328" s="151">
        <f t="shared" si="121"/>
        <v>0</v>
      </c>
    </row>
    <row r="329" spans="1:16" ht="12.75">
      <c r="A329" s="72" t="s">
        <v>167</v>
      </c>
      <c r="B329" s="50"/>
      <c r="C329" s="6">
        <v>350</v>
      </c>
      <c r="D329" s="6"/>
      <c r="E329" s="51">
        <f t="shared" si="117"/>
        <v>350</v>
      </c>
      <c r="F329" s="50">
        <f>228.4+593.2</f>
        <v>821.6</v>
      </c>
      <c r="G329" s="6"/>
      <c r="H329" s="51">
        <f t="shared" si="118"/>
        <v>1171.6</v>
      </c>
      <c r="I329" s="50">
        <v>349.5</v>
      </c>
      <c r="J329" s="6"/>
      <c r="K329" s="51">
        <f t="shared" si="119"/>
        <v>1521.1</v>
      </c>
      <c r="L329" s="12">
        <f>676.9+220.4+192.7</f>
        <v>1090</v>
      </c>
      <c r="M329" s="12"/>
      <c r="N329" s="166">
        <f t="shared" si="120"/>
        <v>2611.1</v>
      </c>
      <c r="O329" s="51">
        <f>149.4+151.4</f>
        <v>300.8</v>
      </c>
      <c r="P329" s="151">
        <f t="shared" si="121"/>
        <v>2911.9</v>
      </c>
    </row>
    <row r="330" spans="1:16" ht="12.75">
      <c r="A330" s="72" t="s">
        <v>248</v>
      </c>
      <c r="B330" s="50"/>
      <c r="C330" s="6"/>
      <c r="D330" s="6"/>
      <c r="E330" s="51">
        <f t="shared" si="117"/>
        <v>0</v>
      </c>
      <c r="F330" s="50"/>
      <c r="G330" s="6"/>
      <c r="H330" s="51">
        <f t="shared" si="118"/>
        <v>0</v>
      </c>
      <c r="I330" s="50">
        <v>373</v>
      </c>
      <c r="J330" s="6"/>
      <c r="K330" s="51">
        <f t="shared" si="119"/>
        <v>373</v>
      </c>
      <c r="L330" s="50"/>
      <c r="M330" s="12"/>
      <c r="N330" s="166">
        <f t="shared" si="120"/>
        <v>373</v>
      </c>
      <c r="O330" s="166"/>
      <c r="P330" s="151">
        <f t="shared" si="121"/>
        <v>373</v>
      </c>
    </row>
    <row r="331" spans="1:16" ht="12.75" hidden="1">
      <c r="A331" s="72" t="s">
        <v>94</v>
      </c>
      <c r="B331" s="50"/>
      <c r="C331" s="6"/>
      <c r="D331" s="6"/>
      <c r="E331" s="51">
        <f t="shared" si="117"/>
        <v>0</v>
      </c>
      <c r="F331" s="50"/>
      <c r="G331" s="6"/>
      <c r="H331" s="51">
        <f t="shared" si="118"/>
        <v>0</v>
      </c>
      <c r="I331" s="50"/>
      <c r="J331" s="6"/>
      <c r="K331" s="51">
        <f t="shared" si="119"/>
        <v>0</v>
      </c>
      <c r="L331" s="50"/>
      <c r="M331" s="12"/>
      <c r="N331" s="166">
        <f t="shared" si="120"/>
        <v>0</v>
      </c>
      <c r="O331" s="166"/>
      <c r="P331" s="151">
        <f t="shared" si="121"/>
        <v>0</v>
      </c>
    </row>
    <row r="332" spans="1:16" ht="12.75">
      <c r="A332" s="72" t="s">
        <v>95</v>
      </c>
      <c r="B332" s="50"/>
      <c r="C332" s="6"/>
      <c r="D332" s="6"/>
      <c r="E332" s="51">
        <f t="shared" si="117"/>
        <v>0</v>
      </c>
      <c r="F332" s="50"/>
      <c r="G332" s="6"/>
      <c r="H332" s="51">
        <f t="shared" si="118"/>
        <v>0</v>
      </c>
      <c r="I332" s="50"/>
      <c r="J332" s="6">
        <v>28340</v>
      </c>
      <c r="K332" s="51">
        <f t="shared" si="119"/>
        <v>28340</v>
      </c>
      <c r="L332" s="50"/>
      <c r="M332" s="12"/>
      <c r="N332" s="166">
        <f t="shared" si="120"/>
        <v>28340</v>
      </c>
      <c r="O332" s="166"/>
      <c r="P332" s="151">
        <f t="shared" si="121"/>
        <v>28340</v>
      </c>
    </row>
    <row r="333" spans="1:16" ht="12.75">
      <c r="A333" s="78" t="s">
        <v>81</v>
      </c>
      <c r="B333" s="58">
        <f aca="true" t="shared" si="122" ref="B333:N333">SUM(B335:B338)</f>
        <v>0</v>
      </c>
      <c r="C333" s="10">
        <f t="shared" si="122"/>
        <v>5000</v>
      </c>
      <c r="D333" s="10">
        <f t="shared" si="122"/>
        <v>0</v>
      </c>
      <c r="E333" s="59">
        <f t="shared" si="122"/>
        <v>5000</v>
      </c>
      <c r="F333" s="58">
        <f t="shared" si="122"/>
        <v>0</v>
      </c>
      <c r="G333" s="10">
        <f t="shared" si="122"/>
        <v>0</v>
      </c>
      <c r="H333" s="59">
        <f t="shared" si="122"/>
        <v>5000</v>
      </c>
      <c r="I333" s="58">
        <f t="shared" si="122"/>
        <v>0</v>
      </c>
      <c r="J333" s="10">
        <f t="shared" si="122"/>
        <v>0</v>
      </c>
      <c r="K333" s="59">
        <f t="shared" si="122"/>
        <v>5000</v>
      </c>
      <c r="L333" s="58">
        <f t="shared" si="122"/>
        <v>0</v>
      </c>
      <c r="M333" s="133">
        <f t="shared" si="122"/>
        <v>0</v>
      </c>
      <c r="N333" s="170">
        <f t="shared" si="122"/>
        <v>5000</v>
      </c>
      <c r="O333" s="170">
        <f>SUM(O335:O338)</f>
        <v>6256.6</v>
      </c>
      <c r="P333" s="153">
        <f>SUM(P335:P338)</f>
        <v>11256.6</v>
      </c>
    </row>
    <row r="334" spans="1:16" ht="9.75" customHeight="1">
      <c r="A334" s="74" t="s">
        <v>45</v>
      </c>
      <c r="B334" s="50"/>
      <c r="C334" s="6"/>
      <c r="D334" s="6"/>
      <c r="E334" s="51"/>
      <c r="F334" s="50"/>
      <c r="G334" s="6"/>
      <c r="H334" s="51"/>
      <c r="I334" s="50"/>
      <c r="J334" s="6"/>
      <c r="K334" s="51"/>
      <c r="L334" s="50"/>
      <c r="M334" s="12"/>
      <c r="N334" s="166"/>
      <c r="O334" s="166"/>
      <c r="P334" s="151"/>
    </row>
    <row r="335" spans="1:16" ht="12.75" hidden="1">
      <c r="A335" s="72" t="s">
        <v>155</v>
      </c>
      <c r="B335" s="50"/>
      <c r="C335" s="6"/>
      <c r="D335" s="6"/>
      <c r="E335" s="51">
        <f>B335+C335+D335</f>
        <v>0</v>
      </c>
      <c r="F335" s="50"/>
      <c r="G335" s="6"/>
      <c r="H335" s="51">
        <f>E335+F335+G335</f>
        <v>0</v>
      </c>
      <c r="I335" s="50"/>
      <c r="J335" s="6"/>
      <c r="K335" s="51">
        <f>H335+I335+J335</f>
        <v>0</v>
      </c>
      <c r="L335" s="50"/>
      <c r="M335" s="12"/>
      <c r="N335" s="166">
        <f>K335+L335+M335</f>
        <v>0</v>
      </c>
      <c r="O335" s="166"/>
      <c r="P335" s="151">
        <f>N335+O335</f>
        <v>0</v>
      </c>
    </row>
    <row r="336" spans="1:16" ht="12.75">
      <c r="A336" s="72" t="s">
        <v>277</v>
      </c>
      <c r="B336" s="50"/>
      <c r="C336" s="6"/>
      <c r="D336" s="6"/>
      <c r="E336" s="51"/>
      <c r="F336" s="50"/>
      <c r="G336" s="6"/>
      <c r="H336" s="51"/>
      <c r="I336" s="50"/>
      <c r="J336" s="6"/>
      <c r="K336" s="51"/>
      <c r="L336" s="50"/>
      <c r="M336" s="12"/>
      <c r="N336" s="166">
        <f>K336+L336+M336</f>
        <v>0</v>
      </c>
      <c r="O336" s="166">
        <f>1390.4+3341.3+1524.9</f>
        <v>6256.6</v>
      </c>
      <c r="P336" s="151">
        <f>N336+O336</f>
        <v>6256.6</v>
      </c>
    </row>
    <row r="337" spans="1:16" ht="12.75" hidden="1">
      <c r="A337" s="72" t="s">
        <v>82</v>
      </c>
      <c r="B337" s="50"/>
      <c r="C337" s="6"/>
      <c r="D337" s="6"/>
      <c r="E337" s="51">
        <f>B337+C337+D337</f>
        <v>0</v>
      </c>
      <c r="F337" s="50"/>
      <c r="G337" s="6"/>
      <c r="H337" s="51">
        <f>E337+F337+G337</f>
        <v>0</v>
      </c>
      <c r="I337" s="50"/>
      <c r="J337" s="6"/>
      <c r="K337" s="51">
        <f>H337+I337+J337</f>
        <v>0</v>
      </c>
      <c r="L337" s="50"/>
      <c r="M337" s="12"/>
      <c r="N337" s="166">
        <f>K337+L337+M337</f>
        <v>0</v>
      </c>
      <c r="O337" s="166"/>
      <c r="P337" s="151">
        <f>N337+O337</f>
        <v>0</v>
      </c>
    </row>
    <row r="338" spans="1:16" ht="12.75">
      <c r="A338" s="75" t="s">
        <v>255</v>
      </c>
      <c r="B338" s="54"/>
      <c r="C338" s="9">
        <v>5000</v>
      </c>
      <c r="D338" s="9"/>
      <c r="E338" s="55">
        <f>B338+C338+D338</f>
        <v>5000</v>
      </c>
      <c r="F338" s="54"/>
      <c r="G338" s="9"/>
      <c r="H338" s="55">
        <f>E338+F338+G338</f>
        <v>5000</v>
      </c>
      <c r="I338" s="54"/>
      <c r="J338" s="9"/>
      <c r="K338" s="55">
        <f>H338+I338+J338</f>
        <v>5000</v>
      </c>
      <c r="L338" s="54"/>
      <c r="M338" s="135"/>
      <c r="N338" s="172">
        <f>K338+L338+M338</f>
        <v>5000</v>
      </c>
      <c r="O338" s="172"/>
      <c r="P338" s="154">
        <f>N338+O338</f>
        <v>5000</v>
      </c>
    </row>
    <row r="339" spans="1:16" ht="12.75">
      <c r="A339" s="73" t="s">
        <v>168</v>
      </c>
      <c r="B339" s="48">
        <f aca="true" t="shared" si="123" ref="B339:P339">B340+B349</f>
        <v>10000</v>
      </c>
      <c r="C339" s="5" t="e">
        <f t="shared" si="123"/>
        <v>#REF!</v>
      </c>
      <c r="D339" s="5" t="e">
        <f t="shared" si="123"/>
        <v>#REF!</v>
      </c>
      <c r="E339" s="49" t="e">
        <f t="shared" si="123"/>
        <v>#REF!</v>
      </c>
      <c r="F339" s="48" t="e">
        <f t="shared" si="123"/>
        <v>#REF!</v>
      </c>
      <c r="G339" s="5" t="e">
        <f t="shared" si="123"/>
        <v>#REF!</v>
      </c>
      <c r="H339" s="49" t="e">
        <f t="shared" si="123"/>
        <v>#REF!</v>
      </c>
      <c r="I339" s="48" t="e">
        <f t="shared" si="123"/>
        <v>#REF!</v>
      </c>
      <c r="J339" s="5" t="e">
        <f t="shared" si="123"/>
        <v>#REF!</v>
      </c>
      <c r="K339" s="49" t="e">
        <f t="shared" si="123"/>
        <v>#REF!</v>
      </c>
      <c r="L339" s="48" t="e">
        <f t="shared" si="123"/>
        <v>#REF!</v>
      </c>
      <c r="M339" s="130" t="e">
        <f t="shared" si="123"/>
        <v>#REF!</v>
      </c>
      <c r="N339" s="165">
        <f t="shared" si="123"/>
        <v>117292.5</v>
      </c>
      <c r="O339" s="165">
        <f t="shared" si="123"/>
        <v>32654.9</v>
      </c>
      <c r="P339" s="150">
        <f t="shared" si="123"/>
        <v>149947.4</v>
      </c>
    </row>
    <row r="340" spans="1:16" ht="12.75">
      <c r="A340" s="78" t="s">
        <v>75</v>
      </c>
      <c r="B340" s="58">
        <f>SUM(B342:B348)</f>
        <v>8000</v>
      </c>
      <c r="C340" s="10" t="e">
        <f>SUM(C342:C348)-#REF!</f>
        <v>#REF!</v>
      </c>
      <c r="D340" s="10" t="e">
        <f>SUM(D342:D348)-#REF!</f>
        <v>#REF!</v>
      </c>
      <c r="E340" s="59" t="e">
        <f>SUM(E342:E348)-#REF!</f>
        <v>#REF!</v>
      </c>
      <c r="F340" s="58" t="e">
        <f>SUM(F342:F348)-#REF!</f>
        <v>#REF!</v>
      </c>
      <c r="G340" s="10" t="e">
        <f>SUM(G342:G348)-#REF!</f>
        <v>#REF!</v>
      </c>
      <c r="H340" s="59" t="e">
        <f>SUM(H342:H348)-#REF!</f>
        <v>#REF!</v>
      </c>
      <c r="I340" s="58" t="e">
        <f>SUM(I342:I348)-#REF!</f>
        <v>#REF!</v>
      </c>
      <c r="J340" s="10" t="e">
        <f>SUM(J342:J348)-#REF!</f>
        <v>#REF!</v>
      </c>
      <c r="K340" s="59" t="e">
        <f>SUM(K342:K348)-#REF!</f>
        <v>#REF!</v>
      </c>
      <c r="L340" s="58" t="e">
        <f>SUM(L342:L348)-#REF!</f>
        <v>#REF!</v>
      </c>
      <c r="M340" s="133" t="e">
        <f>SUM(M342:M348)-#REF!</f>
        <v>#REF!</v>
      </c>
      <c r="N340" s="170">
        <f>SUM(N342:N348)</f>
        <v>61926.3</v>
      </c>
      <c r="O340" s="170">
        <f>SUM(O342:O348)</f>
        <v>311.6</v>
      </c>
      <c r="P340" s="153">
        <f>SUM(P342:P348)</f>
        <v>62237.899999999994</v>
      </c>
    </row>
    <row r="341" spans="1:16" ht="9.75" customHeight="1">
      <c r="A341" s="74" t="s">
        <v>45</v>
      </c>
      <c r="B341" s="50"/>
      <c r="C341" s="6"/>
      <c r="D341" s="6"/>
      <c r="E341" s="49"/>
      <c r="F341" s="50"/>
      <c r="G341" s="6"/>
      <c r="H341" s="49"/>
      <c r="I341" s="50"/>
      <c r="J341" s="6"/>
      <c r="K341" s="49"/>
      <c r="L341" s="50"/>
      <c r="M341" s="12"/>
      <c r="N341" s="165"/>
      <c r="O341" s="166"/>
      <c r="P341" s="150"/>
    </row>
    <row r="342" spans="1:16" ht="12.75">
      <c r="A342" s="72" t="s">
        <v>78</v>
      </c>
      <c r="B342" s="50">
        <v>8000</v>
      </c>
      <c r="C342" s="6">
        <v>423</v>
      </c>
      <c r="D342" s="6"/>
      <c r="E342" s="51">
        <f aca="true" t="shared" si="124" ref="E342:E348">B342+C342+D342</f>
        <v>8423</v>
      </c>
      <c r="F342" s="50">
        <v>-2000</v>
      </c>
      <c r="G342" s="6">
        <f>250+2000</f>
        <v>2250</v>
      </c>
      <c r="H342" s="51">
        <f aca="true" t="shared" si="125" ref="H342:H348">E342+F342+G342</f>
        <v>8673</v>
      </c>
      <c r="I342" s="50">
        <f>50.4-1000</f>
        <v>-949.6</v>
      </c>
      <c r="J342" s="6">
        <f>300+2100-42.8</f>
        <v>2357.2</v>
      </c>
      <c r="K342" s="51">
        <f aca="true" t="shared" si="126" ref="K342:K348">H342+I342+J342</f>
        <v>10080.599999999999</v>
      </c>
      <c r="L342" s="50">
        <f>-630-220</f>
        <v>-850</v>
      </c>
      <c r="M342" s="12">
        <f>-336-200</f>
        <v>-536</v>
      </c>
      <c r="N342" s="166">
        <f aca="true" t="shared" si="127" ref="N342:N348">K342+L342+M342</f>
        <v>8694.599999999999</v>
      </c>
      <c r="O342" s="166"/>
      <c r="P342" s="151">
        <f>N342+O342</f>
        <v>8694.599999999999</v>
      </c>
    </row>
    <row r="343" spans="1:16" ht="12.75">
      <c r="A343" s="72" t="s">
        <v>112</v>
      </c>
      <c r="B343" s="50"/>
      <c r="C343" s="6"/>
      <c r="D343" s="6">
        <v>1200</v>
      </c>
      <c r="E343" s="51">
        <f t="shared" si="124"/>
        <v>1200</v>
      </c>
      <c r="F343" s="50"/>
      <c r="G343" s="6"/>
      <c r="H343" s="51">
        <f t="shared" si="125"/>
        <v>1200</v>
      </c>
      <c r="I343" s="50"/>
      <c r="J343" s="6"/>
      <c r="K343" s="51">
        <f t="shared" si="126"/>
        <v>1200</v>
      </c>
      <c r="L343" s="50">
        <f>450+220</f>
        <v>670</v>
      </c>
      <c r="M343" s="12">
        <v>630</v>
      </c>
      <c r="N343" s="166">
        <f t="shared" si="127"/>
        <v>2500</v>
      </c>
      <c r="O343" s="166"/>
      <c r="P343" s="151">
        <f aca="true" t="shared" si="128" ref="P343:P348">N343+O343</f>
        <v>2500</v>
      </c>
    </row>
    <row r="344" spans="1:16" ht="12.75">
      <c r="A344" s="72" t="s">
        <v>169</v>
      </c>
      <c r="B344" s="50"/>
      <c r="C344" s="6"/>
      <c r="D344" s="6"/>
      <c r="E344" s="51">
        <f t="shared" si="124"/>
        <v>0</v>
      </c>
      <c r="F344" s="50"/>
      <c r="G344" s="6"/>
      <c r="H344" s="51">
        <f t="shared" si="125"/>
        <v>0</v>
      </c>
      <c r="I344" s="50">
        <v>5</v>
      </c>
      <c r="J344" s="6"/>
      <c r="K344" s="51">
        <f t="shared" si="126"/>
        <v>5</v>
      </c>
      <c r="L344" s="50"/>
      <c r="M344" s="12"/>
      <c r="N344" s="166">
        <f t="shared" si="127"/>
        <v>5</v>
      </c>
      <c r="O344" s="166">
        <f>0.1-1.5</f>
        <v>-1.4</v>
      </c>
      <c r="P344" s="151">
        <f t="shared" si="128"/>
        <v>3.6</v>
      </c>
    </row>
    <row r="345" spans="1:16" ht="12.75">
      <c r="A345" s="72" t="s">
        <v>128</v>
      </c>
      <c r="B345" s="50"/>
      <c r="C345" s="6"/>
      <c r="D345" s="6">
        <v>25000</v>
      </c>
      <c r="E345" s="51">
        <f t="shared" si="124"/>
        <v>25000</v>
      </c>
      <c r="F345" s="50"/>
      <c r="G345" s="6">
        <v>2500</v>
      </c>
      <c r="H345" s="51">
        <f t="shared" si="125"/>
        <v>27500</v>
      </c>
      <c r="I345" s="50">
        <f>2200+2000</f>
        <v>4200</v>
      </c>
      <c r="J345" s="6">
        <v>-500</v>
      </c>
      <c r="K345" s="51">
        <f t="shared" si="126"/>
        <v>31200</v>
      </c>
      <c r="L345" s="50">
        <v>1341.9</v>
      </c>
      <c r="M345" s="12">
        <v>-200</v>
      </c>
      <c r="N345" s="166">
        <f t="shared" si="127"/>
        <v>32341.9</v>
      </c>
      <c r="O345" s="166">
        <v>59.5</v>
      </c>
      <c r="P345" s="151">
        <f t="shared" si="128"/>
        <v>32401.4</v>
      </c>
    </row>
    <row r="346" spans="1:16" ht="12.75">
      <c r="A346" s="72" t="s">
        <v>91</v>
      </c>
      <c r="B346" s="50"/>
      <c r="C346" s="6"/>
      <c r="D346" s="6"/>
      <c r="E346" s="51">
        <f t="shared" si="124"/>
        <v>0</v>
      </c>
      <c r="F346" s="50"/>
      <c r="G346" s="6">
        <v>80</v>
      </c>
      <c r="H346" s="51">
        <f t="shared" si="125"/>
        <v>80</v>
      </c>
      <c r="I346" s="67"/>
      <c r="J346" s="6"/>
      <c r="K346" s="51">
        <f t="shared" si="126"/>
        <v>80</v>
      </c>
      <c r="L346" s="50">
        <f>93.6</f>
        <v>93.6</v>
      </c>
      <c r="M346" s="12">
        <v>200</v>
      </c>
      <c r="N346" s="166">
        <f t="shared" si="127"/>
        <v>373.6</v>
      </c>
      <c r="O346" s="166"/>
      <c r="P346" s="151">
        <f t="shared" si="128"/>
        <v>373.6</v>
      </c>
    </row>
    <row r="347" spans="1:16" ht="12.75">
      <c r="A347" s="72" t="s">
        <v>170</v>
      </c>
      <c r="B347" s="50"/>
      <c r="C347" s="6"/>
      <c r="D347" s="6"/>
      <c r="E347" s="51">
        <f t="shared" si="124"/>
        <v>0</v>
      </c>
      <c r="F347" s="50">
        <v>8257</v>
      </c>
      <c r="G347" s="6"/>
      <c r="H347" s="51">
        <f t="shared" si="125"/>
        <v>8257</v>
      </c>
      <c r="I347" s="50"/>
      <c r="J347" s="6"/>
      <c r="K347" s="51">
        <f t="shared" si="126"/>
        <v>8257</v>
      </c>
      <c r="L347" s="50"/>
      <c r="M347" s="12"/>
      <c r="N347" s="166">
        <f t="shared" si="127"/>
        <v>8257</v>
      </c>
      <c r="O347" s="166"/>
      <c r="P347" s="151">
        <f t="shared" si="128"/>
        <v>8257</v>
      </c>
    </row>
    <row r="348" spans="1:16" ht="12.75">
      <c r="A348" s="72" t="s">
        <v>95</v>
      </c>
      <c r="B348" s="50"/>
      <c r="C348" s="6"/>
      <c r="D348" s="6">
        <v>13140</v>
      </c>
      <c r="E348" s="51">
        <f t="shared" si="124"/>
        <v>13140</v>
      </c>
      <c r="F348" s="50">
        <v>1400</v>
      </c>
      <c r="G348" s="6"/>
      <c r="H348" s="51">
        <f t="shared" si="125"/>
        <v>14540</v>
      </c>
      <c r="I348" s="50"/>
      <c r="J348" s="6">
        <f>-37-3189-1559.8</f>
        <v>-4785.8</v>
      </c>
      <c r="K348" s="51">
        <f t="shared" si="126"/>
        <v>9754.2</v>
      </c>
      <c r="L348" s="50"/>
      <c r="M348" s="12"/>
      <c r="N348" s="166">
        <f t="shared" si="127"/>
        <v>9754.2</v>
      </c>
      <c r="O348" s="166">
        <v>253.5</v>
      </c>
      <c r="P348" s="151">
        <f t="shared" si="128"/>
        <v>10007.7</v>
      </c>
    </row>
    <row r="349" spans="1:16" ht="12.75">
      <c r="A349" s="78" t="s">
        <v>81</v>
      </c>
      <c r="B349" s="58">
        <f>SUM(B351:B357)</f>
        <v>2000</v>
      </c>
      <c r="C349" s="10">
        <f aca="true" t="shared" si="129" ref="C349:N349">SUM(C351:C357)</f>
        <v>11756.5</v>
      </c>
      <c r="D349" s="10">
        <f t="shared" si="129"/>
        <v>20000</v>
      </c>
      <c r="E349" s="59">
        <f t="shared" si="129"/>
        <v>33756.5</v>
      </c>
      <c r="F349" s="58">
        <f t="shared" si="129"/>
        <v>2600</v>
      </c>
      <c r="G349" s="10">
        <f t="shared" si="129"/>
        <v>2500</v>
      </c>
      <c r="H349" s="59">
        <f t="shared" si="129"/>
        <v>38856.5</v>
      </c>
      <c r="I349" s="58">
        <f t="shared" si="129"/>
        <v>-3200</v>
      </c>
      <c r="J349" s="10">
        <f t="shared" si="129"/>
        <v>8378.6</v>
      </c>
      <c r="K349" s="59">
        <f t="shared" si="129"/>
        <v>44035.1</v>
      </c>
      <c r="L349" s="58">
        <f t="shared" si="129"/>
        <v>10795.1</v>
      </c>
      <c r="M349" s="133">
        <f t="shared" si="129"/>
        <v>536</v>
      </c>
      <c r="N349" s="170">
        <f t="shared" si="129"/>
        <v>55366.2</v>
      </c>
      <c r="O349" s="170">
        <f>SUM(O351:O357)</f>
        <v>32343.300000000003</v>
      </c>
      <c r="P349" s="153">
        <f>SUM(P351:P357)</f>
        <v>87709.5</v>
      </c>
    </row>
    <row r="350" spans="1:16" ht="9.75" customHeight="1">
      <c r="A350" s="74" t="s">
        <v>45</v>
      </c>
      <c r="B350" s="50"/>
      <c r="C350" s="6"/>
      <c r="D350" s="6"/>
      <c r="E350" s="51"/>
      <c r="F350" s="50"/>
      <c r="G350" s="6"/>
      <c r="H350" s="51"/>
      <c r="I350" s="50"/>
      <c r="J350" s="6"/>
      <c r="K350" s="51"/>
      <c r="L350" s="50"/>
      <c r="M350" s="12"/>
      <c r="N350" s="166"/>
      <c r="O350" s="166"/>
      <c r="P350" s="151"/>
    </row>
    <row r="351" spans="1:16" ht="12.75">
      <c r="A351" s="76" t="s">
        <v>98</v>
      </c>
      <c r="B351" s="50"/>
      <c r="C351" s="6"/>
      <c r="D351" s="6"/>
      <c r="E351" s="51">
        <f>B351+C351+D351</f>
        <v>0</v>
      </c>
      <c r="F351" s="50"/>
      <c r="G351" s="6"/>
      <c r="H351" s="51">
        <f>E351+F351+G351</f>
        <v>0</v>
      </c>
      <c r="I351" s="50"/>
      <c r="J351" s="6">
        <f>37+200+2000+1350+42.8</f>
        <v>3629.8</v>
      </c>
      <c r="K351" s="51">
        <f>H351+I351+J351</f>
        <v>3629.8</v>
      </c>
      <c r="L351" s="50">
        <f>-93.6+200</f>
        <v>106.4</v>
      </c>
      <c r="M351" s="12">
        <f>336+200</f>
        <v>536</v>
      </c>
      <c r="N351" s="166">
        <f>K351+L351+M351</f>
        <v>4272.200000000001</v>
      </c>
      <c r="O351" s="166"/>
      <c r="P351" s="151">
        <f aca="true" t="shared" si="130" ref="P351:P357">N351+O351</f>
        <v>4272.200000000001</v>
      </c>
    </row>
    <row r="352" spans="1:16" ht="12.75">
      <c r="A352" s="72" t="s">
        <v>128</v>
      </c>
      <c r="B352" s="50"/>
      <c r="C352" s="6"/>
      <c r="D352" s="6">
        <v>20000</v>
      </c>
      <c r="E352" s="51">
        <f aca="true" t="shared" si="131" ref="E352:E357">B352+C352+D352</f>
        <v>20000</v>
      </c>
      <c r="F352" s="50"/>
      <c r="G352" s="6">
        <v>2500</v>
      </c>
      <c r="H352" s="51">
        <f aca="true" t="shared" si="132" ref="H352:H357">E352+F352+G352</f>
        <v>22500</v>
      </c>
      <c r="I352" s="50">
        <f>-2200-2000</f>
        <v>-4200</v>
      </c>
      <c r="J352" s="6"/>
      <c r="K352" s="51">
        <f aca="true" t="shared" si="133" ref="K352:K357">H352+I352+J352</f>
        <v>18300</v>
      </c>
      <c r="L352" s="50">
        <v>-1341.9</v>
      </c>
      <c r="M352" s="12"/>
      <c r="N352" s="166">
        <f aca="true" t="shared" si="134" ref="N352:N357">K352+L352+M352</f>
        <v>16958.1</v>
      </c>
      <c r="O352" s="166">
        <v>-59.5</v>
      </c>
      <c r="P352" s="151">
        <f t="shared" si="130"/>
        <v>16898.6</v>
      </c>
    </row>
    <row r="353" spans="1:16" ht="12.75">
      <c r="A353" s="72" t="s">
        <v>82</v>
      </c>
      <c r="B353" s="50"/>
      <c r="C353" s="6"/>
      <c r="D353" s="6"/>
      <c r="E353" s="51">
        <f t="shared" si="131"/>
        <v>0</v>
      </c>
      <c r="F353" s="50"/>
      <c r="G353" s="6"/>
      <c r="H353" s="51">
        <f t="shared" si="132"/>
        <v>0</v>
      </c>
      <c r="I353" s="50"/>
      <c r="J353" s="6"/>
      <c r="K353" s="51">
        <f t="shared" si="133"/>
        <v>0</v>
      </c>
      <c r="L353" s="50">
        <v>819.5</v>
      </c>
      <c r="M353" s="12"/>
      <c r="N353" s="166">
        <f t="shared" si="134"/>
        <v>819.5</v>
      </c>
      <c r="O353" s="166"/>
      <c r="P353" s="151">
        <f t="shared" si="130"/>
        <v>819.5</v>
      </c>
    </row>
    <row r="354" spans="1:16" ht="12.75">
      <c r="A354" s="72" t="s">
        <v>95</v>
      </c>
      <c r="B354" s="68"/>
      <c r="C354" s="6"/>
      <c r="D354" s="6"/>
      <c r="E354" s="51">
        <f t="shared" si="131"/>
        <v>0</v>
      </c>
      <c r="F354" s="50">
        <v>600</v>
      </c>
      <c r="G354" s="6"/>
      <c r="H354" s="51">
        <f t="shared" si="132"/>
        <v>600</v>
      </c>
      <c r="I354" s="50"/>
      <c r="J354" s="6">
        <f>3189+1559.8</f>
        <v>4748.8</v>
      </c>
      <c r="K354" s="51">
        <f t="shared" si="133"/>
        <v>5348.8</v>
      </c>
      <c r="L354" s="50"/>
      <c r="M354" s="12"/>
      <c r="N354" s="166">
        <f t="shared" si="134"/>
        <v>5348.8</v>
      </c>
      <c r="O354" s="166">
        <v>-253.5</v>
      </c>
      <c r="P354" s="151">
        <f t="shared" si="130"/>
        <v>5095.3</v>
      </c>
    </row>
    <row r="355" spans="1:16" ht="12.75">
      <c r="A355" s="81" t="s">
        <v>268</v>
      </c>
      <c r="B355" s="68"/>
      <c r="C355" s="6"/>
      <c r="D355" s="6"/>
      <c r="E355" s="51"/>
      <c r="F355" s="50"/>
      <c r="G355" s="6"/>
      <c r="H355" s="51"/>
      <c r="I355" s="50"/>
      <c r="J355" s="6"/>
      <c r="K355" s="51">
        <f t="shared" si="133"/>
        <v>0</v>
      </c>
      <c r="L355" s="105">
        <v>11492.1</v>
      </c>
      <c r="M355" s="12"/>
      <c r="N355" s="166">
        <f t="shared" si="134"/>
        <v>11492.1</v>
      </c>
      <c r="O355" s="151">
        <f>5648.1+27008.2</f>
        <v>32656.300000000003</v>
      </c>
      <c r="P355" s="151">
        <f t="shared" si="130"/>
        <v>44148.4</v>
      </c>
    </row>
    <row r="356" spans="1:16" ht="12.75">
      <c r="A356" s="81" t="s">
        <v>265</v>
      </c>
      <c r="B356" s="50"/>
      <c r="C356" s="6">
        <v>381</v>
      </c>
      <c r="D356" s="6"/>
      <c r="E356" s="51">
        <f t="shared" si="131"/>
        <v>381</v>
      </c>
      <c r="F356" s="50">
        <v>2000</v>
      </c>
      <c r="G356" s="6"/>
      <c r="H356" s="51">
        <f t="shared" si="132"/>
        <v>2381</v>
      </c>
      <c r="I356" s="50">
        <f>1000+8375.5</f>
        <v>9375.5</v>
      </c>
      <c r="J356" s="6"/>
      <c r="K356" s="51">
        <f t="shared" si="133"/>
        <v>11756.5</v>
      </c>
      <c r="L356" s="6">
        <f>-281+5000-5000</f>
        <v>-281</v>
      </c>
      <c r="M356" s="12"/>
      <c r="N356" s="166">
        <f t="shared" si="134"/>
        <v>11475.5</v>
      </c>
      <c r="O356" s="51"/>
      <c r="P356" s="151">
        <f t="shared" si="130"/>
        <v>11475.5</v>
      </c>
    </row>
    <row r="357" spans="1:16" ht="12.75">
      <c r="A357" s="82" t="s">
        <v>256</v>
      </c>
      <c r="B357" s="54">
        <v>2000</v>
      </c>
      <c r="C357" s="9">
        <v>11375.5</v>
      </c>
      <c r="D357" s="9"/>
      <c r="E357" s="55">
        <f t="shared" si="131"/>
        <v>13375.5</v>
      </c>
      <c r="F357" s="54"/>
      <c r="G357" s="9"/>
      <c r="H357" s="55">
        <f t="shared" si="132"/>
        <v>13375.5</v>
      </c>
      <c r="I357" s="54">
        <v>-8375.5</v>
      </c>
      <c r="J357" s="9"/>
      <c r="K357" s="55">
        <f t="shared" si="133"/>
        <v>5000</v>
      </c>
      <c r="L357" s="9">
        <f>-5000+5000</f>
        <v>0</v>
      </c>
      <c r="M357" s="135"/>
      <c r="N357" s="172">
        <f t="shared" si="134"/>
        <v>5000</v>
      </c>
      <c r="O357" s="55"/>
      <c r="P357" s="154">
        <f t="shared" si="130"/>
        <v>5000</v>
      </c>
    </row>
    <row r="358" spans="1:16" ht="12.75">
      <c r="A358" s="69" t="s">
        <v>171</v>
      </c>
      <c r="B358" s="48">
        <f aca="true" t="shared" si="135" ref="B358:N358">B359+B363</f>
        <v>5705</v>
      </c>
      <c r="C358" s="5">
        <f t="shared" si="135"/>
        <v>0</v>
      </c>
      <c r="D358" s="5">
        <f t="shared" si="135"/>
        <v>0</v>
      </c>
      <c r="E358" s="49">
        <f t="shared" si="135"/>
        <v>5705</v>
      </c>
      <c r="F358" s="48">
        <f t="shared" si="135"/>
        <v>0</v>
      </c>
      <c r="G358" s="5">
        <f t="shared" si="135"/>
        <v>0</v>
      </c>
      <c r="H358" s="49">
        <f t="shared" si="135"/>
        <v>5705</v>
      </c>
      <c r="I358" s="48">
        <f t="shared" si="135"/>
        <v>0</v>
      </c>
      <c r="J358" s="5">
        <f t="shared" si="135"/>
        <v>-1350</v>
      </c>
      <c r="K358" s="49">
        <f t="shared" si="135"/>
        <v>4355</v>
      </c>
      <c r="L358" s="48">
        <f t="shared" si="135"/>
        <v>886.6</v>
      </c>
      <c r="M358" s="130">
        <f t="shared" si="135"/>
        <v>0</v>
      </c>
      <c r="N358" s="165">
        <f t="shared" si="135"/>
        <v>5241.6</v>
      </c>
      <c r="O358" s="165">
        <f>O359+O363</f>
        <v>0</v>
      </c>
      <c r="P358" s="150">
        <f>P359+P363</f>
        <v>5241.6</v>
      </c>
    </row>
    <row r="359" spans="1:16" ht="12.75">
      <c r="A359" s="78" t="s">
        <v>75</v>
      </c>
      <c r="B359" s="58">
        <f>SUM(B362:B362)</f>
        <v>4336.5</v>
      </c>
      <c r="C359" s="10">
        <f aca="true" t="shared" si="136" ref="C359:M359">SUM(C362:C362)</f>
        <v>0</v>
      </c>
      <c r="D359" s="10">
        <f t="shared" si="136"/>
        <v>0</v>
      </c>
      <c r="E359" s="59">
        <f t="shared" si="136"/>
        <v>4336.5</v>
      </c>
      <c r="F359" s="58">
        <f t="shared" si="136"/>
        <v>0</v>
      </c>
      <c r="G359" s="10">
        <f t="shared" si="136"/>
        <v>0</v>
      </c>
      <c r="H359" s="59">
        <f t="shared" si="136"/>
        <v>4336.5</v>
      </c>
      <c r="I359" s="58">
        <f t="shared" si="136"/>
        <v>0</v>
      </c>
      <c r="J359" s="10">
        <f t="shared" si="136"/>
        <v>-1350</v>
      </c>
      <c r="K359" s="59">
        <f>SUM(K361:K362)</f>
        <v>2986.5</v>
      </c>
      <c r="L359" s="58">
        <f>SUM(L361:L362)</f>
        <v>886.6</v>
      </c>
      <c r="M359" s="133">
        <f t="shared" si="136"/>
        <v>0</v>
      </c>
      <c r="N359" s="170">
        <f>SUM(N361:N362)</f>
        <v>3873.1</v>
      </c>
      <c r="O359" s="170">
        <f>SUM(O361:O362)</f>
        <v>0</v>
      </c>
      <c r="P359" s="153">
        <f>SUM(P361:P362)</f>
        <v>3873.1</v>
      </c>
    </row>
    <row r="360" spans="1:16" ht="9.75" customHeight="1">
      <c r="A360" s="74" t="s">
        <v>45</v>
      </c>
      <c r="B360" s="50"/>
      <c r="C360" s="6"/>
      <c r="D360" s="6"/>
      <c r="E360" s="49"/>
      <c r="F360" s="50"/>
      <c r="G360" s="6"/>
      <c r="H360" s="49"/>
      <c r="I360" s="50"/>
      <c r="J360" s="6"/>
      <c r="K360" s="49"/>
      <c r="L360" s="50"/>
      <c r="M360" s="12"/>
      <c r="N360" s="165"/>
      <c r="O360" s="166"/>
      <c r="P360" s="150"/>
    </row>
    <row r="361" spans="1:16" ht="12.75" customHeight="1">
      <c r="A361" s="76" t="s">
        <v>261</v>
      </c>
      <c r="B361" s="50"/>
      <c r="C361" s="6"/>
      <c r="D361" s="6"/>
      <c r="E361" s="49"/>
      <c r="F361" s="50"/>
      <c r="G361" s="6"/>
      <c r="H361" s="49"/>
      <c r="I361" s="50"/>
      <c r="J361" s="6"/>
      <c r="K361" s="51">
        <f>H361+I361+J361</f>
        <v>0</v>
      </c>
      <c r="L361" s="50">
        <v>886.6</v>
      </c>
      <c r="M361" s="12"/>
      <c r="N361" s="166">
        <f>K361+L361+M361</f>
        <v>886.6</v>
      </c>
      <c r="O361" s="166"/>
      <c r="P361" s="151">
        <f>N361+O361</f>
        <v>886.6</v>
      </c>
    </row>
    <row r="362" spans="1:16" ht="12.75">
      <c r="A362" s="81" t="s">
        <v>78</v>
      </c>
      <c r="B362" s="50">
        <v>4336.5</v>
      </c>
      <c r="C362" s="6"/>
      <c r="D362" s="6"/>
      <c r="E362" s="51">
        <f>B362+C362+D362</f>
        <v>4336.5</v>
      </c>
      <c r="F362" s="50"/>
      <c r="G362" s="6"/>
      <c r="H362" s="51">
        <f>E362+F362+G362</f>
        <v>4336.5</v>
      </c>
      <c r="I362" s="50"/>
      <c r="J362" s="6">
        <v>-1350</v>
      </c>
      <c r="K362" s="51">
        <f>H362+I362+J362</f>
        <v>2986.5</v>
      </c>
      <c r="L362" s="50"/>
      <c r="M362" s="12"/>
      <c r="N362" s="166">
        <f>K362+L362+M362</f>
        <v>2986.5</v>
      </c>
      <c r="O362" s="166"/>
      <c r="P362" s="151">
        <f>N362+O362</f>
        <v>2986.5</v>
      </c>
    </row>
    <row r="363" spans="1:16" ht="12.75">
      <c r="A363" s="78" t="s">
        <v>81</v>
      </c>
      <c r="B363" s="58">
        <f aca="true" t="shared" si="137" ref="B363:N363">SUM(B365:B365)</f>
        <v>1368.5</v>
      </c>
      <c r="C363" s="10">
        <f t="shared" si="137"/>
        <v>0</v>
      </c>
      <c r="D363" s="10">
        <f t="shared" si="137"/>
        <v>0</v>
      </c>
      <c r="E363" s="59">
        <f t="shared" si="137"/>
        <v>1368.5</v>
      </c>
      <c r="F363" s="58">
        <f t="shared" si="137"/>
        <v>0</v>
      </c>
      <c r="G363" s="10">
        <f t="shared" si="137"/>
        <v>0</v>
      </c>
      <c r="H363" s="59">
        <f t="shared" si="137"/>
        <v>1368.5</v>
      </c>
      <c r="I363" s="58">
        <f t="shared" si="137"/>
        <v>0</v>
      </c>
      <c r="J363" s="10">
        <f t="shared" si="137"/>
        <v>0</v>
      </c>
      <c r="K363" s="59">
        <f t="shared" si="137"/>
        <v>1368.5</v>
      </c>
      <c r="L363" s="58">
        <f t="shared" si="137"/>
        <v>0</v>
      </c>
      <c r="M363" s="133">
        <f t="shared" si="137"/>
        <v>0</v>
      </c>
      <c r="N363" s="170">
        <f t="shared" si="137"/>
        <v>1368.5</v>
      </c>
      <c r="O363" s="170">
        <f>SUM(O365:O365)</f>
        <v>0</v>
      </c>
      <c r="P363" s="153">
        <f>SUM(P365:P365)</f>
        <v>1368.5</v>
      </c>
    </row>
    <row r="364" spans="1:16" ht="9.75" customHeight="1">
      <c r="A364" s="74" t="s">
        <v>45</v>
      </c>
      <c r="B364" s="50"/>
      <c r="C364" s="6"/>
      <c r="D364" s="6"/>
      <c r="E364" s="51"/>
      <c r="F364" s="50"/>
      <c r="G364" s="6"/>
      <c r="H364" s="51"/>
      <c r="I364" s="50"/>
      <c r="J364" s="6"/>
      <c r="K364" s="51"/>
      <c r="L364" s="50"/>
      <c r="M364" s="12"/>
      <c r="N364" s="166"/>
      <c r="O364" s="166"/>
      <c r="P364" s="151"/>
    </row>
    <row r="365" spans="1:16" ht="12.75">
      <c r="A365" s="75" t="s">
        <v>82</v>
      </c>
      <c r="B365" s="54">
        <v>1368.5</v>
      </c>
      <c r="C365" s="9"/>
      <c r="D365" s="9"/>
      <c r="E365" s="55">
        <f>B365+C365+D365</f>
        <v>1368.5</v>
      </c>
      <c r="F365" s="54"/>
      <c r="G365" s="9"/>
      <c r="H365" s="55">
        <f>E365+F365+G365</f>
        <v>1368.5</v>
      </c>
      <c r="I365" s="54"/>
      <c r="J365" s="9"/>
      <c r="K365" s="55">
        <f>H365+I365+J365</f>
        <v>1368.5</v>
      </c>
      <c r="L365" s="54"/>
      <c r="M365" s="135"/>
      <c r="N365" s="172">
        <f>K365+L365+M365</f>
        <v>1368.5</v>
      </c>
      <c r="O365" s="172"/>
      <c r="P365" s="154">
        <f>N365+O365</f>
        <v>1368.5</v>
      </c>
    </row>
    <row r="366" spans="1:16" ht="12.75">
      <c r="A366" s="69" t="s">
        <v>172</v>
      </c>
      <c r="B366" s="48">
        <f aca="true" t="shared" si="138" ref="B366:P366">B367</f>
        <v>91952</v>
      </c>
      <c r="C366" s="5">
        <f t="shared" si="138"/>
        <v>70000</v>
      </c>
      <c r="D366" s="5">
        <f t="shared" si="138"/>
        <v>0</v>
      </c>
      <c r="E366" s="49">
        <f t="shared" si="138"/>
        <v>161952</v>
      </c>
      <c r="F366" s="48">
        <f t="shared" si="138"/>
        <v>18636.8</v>
      </c>
      <c r="G366" s="5">
        <f t="shared" si="138"/>
        <v>22364.199999999997</v>
      </c>
      <c r="H366" s="49">
        <f t="shared" si="138"/>
        <v>202953</v>
      </c>
      <c r="I366" s="48">
        <f t="shared" si="138"/>
        <v>-8675.2</v>
      </c>
      <c r="J366" s="5">
        <f t="shared" si="138"/>
        <v>-94100</v>
      </c>
      <c r="K366" s="49">
        <f t="shared" si="138"/>
        <v>100177.8</v>
      </c>
      <c r="L366" s="48">
        <f t="shared" si="138"/>
        <v>-655</v>
      </c>
      <c r="M366" s="130">
        <f t="shared" si="138"/>
        <v>46000</v>
      </c>
      <c r="N366" s="165">
        <f t="shared" si="138"/>
        <v>145522.80000000002</v>
      </c>
      <c r="O366" s="165">
        <f t="shared" si="138"/>
        <v>-1200</v>
      </c>
      <c r="P366" s="150">
        <f t="shared" si="138"/>
        <v>144322.80000000002</v>
      </c>
    </row>
    <row r="367" spans="1:16" ht="12.75">
      <c r="A367" s="78" t="s">
        <v>75</v>
      </c>
      <c r="B367" s="58">
        <f>SUM(B369:B372)</f>
        <v>91952</v>
      </c>
      <c r="C367" s="10">
        <f aca="true" t="shared" si="139" ref="C367:N367">SUM(C369:C372)</f>
        <v>70000</v>
      </c>
      <c r="D367" s="10">
        <f t="shared" si="139"/>
        <v>0</v>
      </c>
      <c r="E367" s="59">
        <f t="shared" si="139"/>
        <v>161952</v>
      </c>
      <c r="F367" s="58">
        <f t="shared" si="139"/>
        <v>18636.8</v>
      </c>
      <c r="G367" s="10">
        <f t="shared" si="139"/>
        <v>22364.199999999997</v>
      </c>
      <c r="H367" s="59">
        <f t="shared" si="139"/>
        <v>202953</v>
      </c>
      <c r="I367" s="58">
        <f t="shared" si="139"/>
        <v>-8675.2</v>
      </c>
      <c r="J367" s="10">
        <f t="shared" si="139"/>
        <v>-94100</v>
      </c>
      <c r="K367" s="59">
        <f t="shared" si="139"/>
        <v>100177.8</v>
      </c>
      <c r="L367" s="58">
        <f t="shared" si="139"/>
        <v>-655</v>
      </c>
      <c r="M367" s="133">
        <f t="shared" si="139"/>
        <v>46000</v>
      </c>
      <c r="N367" s="170">
        <f t="shared" si="139"/>
        <v>145522.80000000002</v>
      </c>
      <c r="O367" s="170">
        <f>SUM(O369:O372)</f>
        <v>-1200</v>
      </c>
      <c r="P367" s="153">
        <f>SUM(P369:P372)</f>
        <v>144322.80000000002</v>
      </c>
    </row>
    <row r="368" spans="1:16" ht="9.75" customHeight="1">
      <c r="A368" s="74" t="s">
        <v>45</v>
      </c>
      <c r="B368" s="48"/>
      <c r="C368" s="5"/>
      <c r="D368" s="5"/>
      <c r="E368" s="49"/>
      <c r="F368" s="48"/>
      <c r="G368" s="5"/>
      <c r="H368" s="49"/>
      <c r="I368" s="48"/>
      <c r="J368" s="5"/>
      <c r="K368" s="49"/>
      <c r="L368" s="48"/>
      <c r="M368" s="130"/>
      <c r="N368" s="165"/>
      <c r="O368" s="165"/>
      <c r="P368" s="150"/>
    </row>
    <row r="369" spans="1:16" ht="12.75">
      <c r="A369" s="81" t="s">
        <v>173</v>
      </c>
      <c r="B369" s="50">
        <f>50000+2724</f>
        <v>52724</v>
      </c>
      <c r="C369" s="6">
        <f>-50000+120000</f>
        <v>70000</v>
      </c>
      <c r="D369" s="6"/>
      <c r="E369" s="51">
        <f>B369+C369+D369</f>
        <v>122724</v>
      </c>
      <c r="F369" s="50"/>
      <c r="G369" s="6"/>
      <c r="H369" s="51">
        <f>E369+F369+G369</f>
        <v>122724</v>
      </c>
      <c r="I369" s="67">
        <f>-11874.7+5339.5-2140</f>
        <v>-8675.2</v>
      </c>
      <c r="J369" s="6">
        <f>-4100-90000</f>
        <v>-94100</v>
      </c>
      <c r="K369" s="51">
        <f>H369+I369+J369</f>
        <v>19948.800000000003</v>
      </c>
      <c r="L369" s="50">
        <f>-500-155</f>
        <v>-655</v>
      </c>
      <c r="M369" s="12">
        <f>46000</f>
        <v>46000</v>
      </c>
      <c r="N369" s="166">
        <f>K369+L369+M369</f>
        <v>65293.8</v>
      </c>
      <c r="O369" s="166">
        <v>-1200</v>
      </c>
      <c r="P369" s="151">
        <f>N369+O369</f>
        <v>64093.8</v>
      </c>
    </row>
    <row r="370" spans="1:16" ht="12.75">
      <c r="A370" s="81" t="s">
        <v>174</v>
      </c>
      <c r="B370" s="50"/>
      <c r="C370" s="6"/>
      <c r="D370" s="6"/>
      <c r="E370" s="51">
        <f>B370+C370+D370</f>
        <v>0</v>
      </c>
      <c r="F370" s="50">
        <v>18636.8</v>
      </c>
      <c r="G370" s="6"/>
      <c r="H370" s="51">
        <f>E370+F370+G370</f>
        <v>18636.8</v>
      </c>
      <c r="I370" s="50"/>
      <c r="J370" s="6"/>
      <c r="K370" s="51">
        <f>H370+I370+J370</f>
        <v>18636.8</v>
      </c>
      <c r="L370" s="50"/>
      <c r="M370" s="12"/>
      <c r="N370" s="166">
        <f>K370+L370+M370</f>
        <v>18636.8</v>
      </c>
      <c r="O370" s="166"/>
      <c r="P370" s="151">
        <f>N370+O370</f>
        <v>18636.8</v>
      </c>
    </row>
    <row r="371" spans="1:16" ht="12.75">
      <c r="A371" s="81" t="s">
        <v>175</v>
      </c>
      <c r="B371" s="50"/>
      <c r="C371" s="6"/>
      <c r="D371" s="6"/>
      <c r="E371" s="51">
        <f>B371+C371+D371</f>
        <v>0</v>
      </c>
      <c r="F371" s="50"/>
      <c r="G371" s="6">
        <v>2357.6</v>
      </c>
      <c r="H371" s="51">
        <f>E371+F371+G371</f>
        <v>2357.6</v>
      </c>
      <c r="I371" s="50"/>
      <c r="J371" s="6"/>
      <c r="K371" s="51">
        <f>H371+I371+J371</f>
        <v>2357.6</v>
      </c>
      <c r="L371" s="50"/>
      <c r="M371" s="12"/>
      <c r="N371" s="166">
        <f>K371+L371+M371</f>
        <v>2357.6</v>
      </c>
      <c r="O371" s="166"/>
      <c r="P371" s="151">
        <f>N371+O371</f>
        <v>2357.6</v>
      </c>
    </row>
    <row r="372" spans="1:16" ht="12.75">
      <c r="A372" s="75" t="s">
        <v>78</v>
      </c>
      <c r="B372" s="54">
        <v>39228</v>
      </c>
      <c r="C372" s="9"/>
      <c r="D372" s="9"/>
      <c r="E372" s="55">
        <f>B372+C372+D372</f>
        <v>39228</v>
      </c>
      <c r="F372" s="54"/>
      <c r="G372" s="9">
        <v>20006.6</v>
      </c>
      <c r="H372" s="55">
        <f>E372+F372+G372</f>
        <v>59234.6</v>
      </c>
      <c r="I372" s="54"/>
      <c r="J372" s="9"/>
      <c r="K372" s="55">
        <f>H372+I372+J372</f>
        <v>59234.6</v>
      </c>
      <c r="L372" s="54"/>
      <c r="M372" s="135"/>
      <c r="N372" s="172">
        <f>K372+L372+M372</f>
        <v>59234.6</v>
      </c>
      <c r="O372" s="172"/>
      <c r="P372" s="154">
        <f>N372+O372</f>
        <v>59234.6</v>
      </c>
    </row>
    <row r="373" spans="1:16" ht="12.75">
      <c r="A373" s="69" t="s">
        <v>176</v>
      </c>
      <c r="B373" s="48">
        <f>B375+B376</f>
        <v>490400</v>
      </c>
      <c r="C373" s="5">
        <f aca="true" t="shared" si="140" ref="C373:N373">C375+C376</f>
        <v>71286.7</v>
      </c>
      <c r="D373" s="5">
        <f t="shared" si="140"/>
        <v>66675</v>
      </c>
      <c r="E373" s="49">
        <f t="shared" si="140"/>
        <v>628361.7000000001</v>
      </c>
      <c r="F373" s="48">
        <f t="shared" si="140"/>
        <v>-3737.7999999999956</v>
      </c>
      <c r="G373" s="5">
        <f t="shared" si="140"/>
        <v>77092.2</v>
      </c>
      <c r="H373" s="49">
        <f t="shared" si="140"/>
        <v>701716.1000000001</v>
      </c>
      <c r="I373" s="48">
        <f t="shared" si="140"/>
        <v>10915.3</v>
      </c>
      <c r="J373" s="5">
        <f t="shared" si="140"/>
        <v>-32718.699999999997</v>
      </c>
      <c r="K373" s="49">
        <f t="shared" si="140"/>
        <v>679912.7000000001</v>
      </c>
      <c r="L373" s="48">
        <f t="shared" si="140"/>
        <v>-544.999999999997</v>
      </c>
      <c r="M373" s="130">
        <f t="shared" si="140"/>
        <v>1697.4999999999995</v>
      </c>
      <c r="N373" s="165">
        <f t="shared" si="140"/>
        <v>681065.2000000001</v>
      </c>
      <c r="O373" s="165">
        <f>O375+O376</f>
        <v>0</v>
      </c>
      <c r="P373" s="150">
        <f>P375+P376</f>
        <v>681065.2</v>
      </c>
    </row>
    <row r="374" spans="1:16" ht="12.75">
      <c r="A374" s="71" t="s">
        <v>45</v>
      </c>
      <c r="B374" s="48"/>
      <c r="C374" s="5"/>
      <c r="D374" s="5"/>
      <c r="E374" s="49"/>
      <c r="F374" s="48"/>
      <c r="G374" s="5"/>
      <c r="H374" s="49"/>
      <c r="I374" s="48"/>
      <c r="J374" s="5"/>
      <c r="K374" s="49"/>
      <c r="L374" s="48"/>
      <c r="M374" s="130"/>
      <c r="N374" s="165"/>
      <c r="O374" s="165"/>
      <c r="P374" s="150"/>
    </row>
    <row r="375" spans="1:16" ht="12.75">
      <c r="A375" s="69" t="s">
        <v>75</v>
      </c>
      <c r="B375" s="5">
        <f>B392+B408+B413+B404+B395+B401+B403</f>
        <v>13455</v>
      </c>
      <c r="C375" s="5">
        <f>C392+C408+C413+C404+C395+C403</f>
        <v>2767.8</v>
      </c>
      <c r="D375" s="5">
        <f>D392+D408+D413+D404+D395</f>
        <v>957</v>
      </c>
      <c r="E375" s="49">
        <f>E392+E408+E413+E404+E395+E401+E403</f>
        <v>17179.8</v>
      </c>
      <c r="F375" s="112">
        <f>F392+F408+F413+F404+F395+F401+F403</f>
        <v>13785.5</v>
      </c>
      <c r="G375" s="5">
        <f>G392+G408+G413+G404+G395+G401+G403</f>
        <v>13793.3</v>
      </c>
      <c r="H375" s="49">
        <f>H392+H408+H413+H404+H395+H401+H403</f>
        <v>44758.6</v>
      </c>
      <c r="I375" s="112">
        <f>I392+I408+I413+I404+I395+I403+I401</f>
        <v>-7900</v>
      </c>
      <c r="J375" s="5">
        <f aca="true" t="shared" si="141" ref="J375:P375">J392+J408+J413+J404+J395+J401+J403</f>
        <v>2705</v>
      </c>
      <c r="K375" s="49">
        <f t="shared" si="141"/>
        <v>39563.6</v>
      </c>
      <c r="L375" s="48">
        <f t="shared" si="141"/>
        <v>-135.4</v>
      </c>
      <c r="M375" s="130">
        <f t="shared" si="141"/>
        <v>472.1</v>
      </c>
      <c r="N375" s="165">
        <f t="shared" si="141"/>
        <v>39900.299999999996</v>
      </c>
      <c r="O375" s="165">
        <f t="shared" si="141"/>
        <v>242.9</v>
      </c>
      <c r="P375" s="150">
        <f t="shared" si="141"/>
        <v>40143.2</v>
      </c>
    </row>
    <row r="376" spans="1:16" ht="12.75">
      <c r="A376" s="69" t="s">
        <v>81</v>
      </c>
      <c r="B376" s="5">
        <f>B379+B380+B382+B383+B385+B386+B387+B388+B394+B396+B397+B399+B400+B402+B405+B407+B409+B410+B412+B414+B415+B416</f>
        <v>476945</v>
      </c>
      <c r="C376" s="5">
        <f aca="true" t="shared" si="142" ref="C376:N376">C379+C380+C382+C383+C385+C386+C387+C388+C394+C396+C397+C399+C400+C402+C405+C407+C409+C410+C412+C414+C415+C416</f>
        <v>68518.9</v>
      </c>
      <c r="D376" s="5">
        <f t="shared" si="142"/>
        <v>65718</v>
      </c>
      <c r="E376" s="49">
        <f>E379+E380+E382+E383+E385+E386+E387+E388+E394+E396+E397+E399+E400+E402+E405+E407+E409+E410+E412+E414+E415+E416</f>
        <v>611181.9</v>
      </c>
      <c r="F376" s="112">
        <f>F379+F380+F382+F383+F385+F386+F387+F388+F394+F396+F397+F399+F400+F402+F405+F407+F409+F410+F412+F414+F415+F416</f>
        <v>-17523.299999999996</v>
      </c>
      <c r="G376" s="5">
        <f>G379+G380+G382+G383+G385+G386+G387+G388+G394+G396+G397+G399+G400+G402+G405+G407+G409+G410+G412+G414+G415+G416</f>
        <v>63298.9</v>
      </c>
      <c r="H376" s="49">
        <f>H379+H380+H382+H383+H385+H386+H387+H388+H394+H396+H397+H399+H400+H402+H405+H407+H409+H410+H412+H414+H415+H416</f>
        <v>656957.5000000001</v>
      </c>
      <c r="I376" s="112">
        <f t="shared" si="142"/>
        <v>18815.3</v>
      </c>
      <c r="J376" s="5">
        <f t="shared" si="142"/>
        <v>-35423.7</v>
      </c>
      <c r="K376" s="49">
        <f t="shared" si="142"/>
        <v>640349.1000000001</v>
      </c>
      <c r="L376" s="48">
        <f t="shared" si="142"/>
        <v>-409.59999999999707</v>
      </c>
      <c r="M376" s="130">
        <f t="shared" si="142"/>
        <v>1225.3999999999996</v>
      </c>
      <c r="N376" s="165">
        <f t="shared" si="142"/>
        <v>641164.9</v>
      </c>
      <c r="O376" s="165">
        <f>O379+O380+O382+O383+O385+O386+O387+O388+O394+O396+O397+O399+O400+O402+O405+O407+O409+O410+O412+O414+O415+O416</f>
        <v>-242.90000000000003</v>
      </c>
      <c r="P376" s="150">
        <f>P379+P380+P382+P383+P385+P386+P387+P388+P394+P396+P397+P399+P400+P402+P405+P407+P409+P410+P412+P414+P415+P416</f>
        <v>640922</v>
      </c>
    </row>
    <row r="377" spans="1:16" ht="12.75">
      <c r="A377" s="70" t="s">
        <v>177</v>
      </c>
      <c r="B377" s="48"/>
      <c r="C377" s="5"/>
      <c r="D377" s="5"/>
      <c r="E377" s="49"/>
      <c r="F377" s="48"/>
      <c r="G377" s="5"/>
      <c r="H377" s="49"/>
      <c r="I377" s="48"/>
      <c r="J377" s="5"/>
      <c r="K377" s="49"/>
      <c r="L377" s="48"/>
      <c r="M377" s="130"/>
      <c r="N377" s="165"/>
      <c r="O377" s="165"/>
      <c r="P377" s="150"/>
    </row>
    <row r="378" spans="1:16" ht="12.75">
      <c r="A378" s="71" t="s">
        <v>178</v>
      </c>
      <c r="B378" s="50">
        <f>B379+B380</f>
        <v>2000</v>
      </c>
      <c r="C378" s="6">
        <f aca="true" t="shared" si="143" ref="C378:N378">C379+C380</f>
        <v>0</v>
      </c>
      <c r="D378" s="6">
        <f t="shared" si="143"/>
        <v>0</v>
      </c>
      <c r="E378" s="51">
        <f t="shared" si="143"/>
        <v>2000</v>
      </c>
      <c r="F378" s="50">
        <f t="shared" si="143"/>
        <v>0</v>
      </c>
      <c r="G378" s="6">
        <f t="shared" si="143"/>
        <v>233.5</v>
      </c>
      <c r="H378" s="51">
        <f t="shared" si="143"/>
        <v>2233.5</v>
      </c>
      <c r="I378" s="50">
        <f t="shared" si="143"/>
        <v>0</v>
      </c>
      <c r="J378" s="6">
        <f t="shared" si="143"/>
        <v>0</v>
      </c>
      <c r="K378" s="51">
        <f t="shared" si="143"/>
        <v>2233.5</v>
      </c>
      <c r="L378" s="50">
        <f t="shared" si="143"/>
        <v>0</v>
      </c>
      <c r="M378" s="12">
        <f t="shared" si="143"/>
        <v>0</v>
      </c>
      <c r="N378" s="166">
        <f t="shared" si="143"/>
        <v>2233.5</v>
      </c>
      <c r="O378" s="166">
        <f>O379+O380</f>
        <v>0</v>
      </c>
      <c r="P378" s="151">
        <f>P379+P380</f>
        <v>2233.5</v>
      </c>
    </row>
    <row r="379" spans="1:16" ht="12.75">
      <c r="A379" s="71" t="s">
        <v>179</v>
      </c>
      <c r="B379" s="50">
        <v>2000</v>
      </c>
      <c r="C379" s="6"/>
      <c r="D379" s="5"/>
      <c r="E379" s="51">
        <f aca="true" t="shared" si="144" ref="E379:E416">B379+C379+D379</f>
        <v>2000</v>
      </c>
      <c r="F379" s="50"/>
      <c r="G379" s="5"/>
      <c r="H379" s="51">
        <f>E379+F379+G379</f>
        <v>2000</v>
      </c>
      <c r="I379" s="50"/>
      <c r="J379" s="5"/>
      <c r="K379" s="51">
        <f>H379+I379+J379</f>
        <v>2000</v>
      </c>
      <c r="L379" s="50"/>
      <c r="M379" s="130"/>
      <c r="N379" s="166">
        <f>K379+L379+M379</f>
        <v>2000</v>
      </c>
      <c r="O379" s="166"/>
      <c r="P379" s="151">
        <f>N379+O379</f>
        <v>2000</v>
      </c>
    </row>
    <row r="380" spans="1:16" ht="12.75">
      <c r="A380" s="71" t="s">
        <v>180</v>
      </c>
      <c r="B380" s="50"/>
      <c r="C380" s="6"/>
      <c r="D380" s="6"/>
      <c r="E380" s="51">
        <f t="shared" si="144"/>
        <v>0</v>
      </c>
      <c r="F380" s="50"/>
      <c r="G380" s="6">
        <v>233.5</v>
      </c>
      <c r="H380" s="51">
        <f>E380+F380+G380</f>
        <v>233.5</v>
      </c>
      <c r="I380" s="50"/>
      <c r="J380" s="5"/>
      <c r="K380" s="51">
        <f>H380+I380+J380</f>
        <v>233.5</v>
      </c>
      <c r="L380" s="50"/>
      <c r="M380" s="130"/>
      <c r="N380" s="166">
        <f>K380+L380+M380</f>
        <v>233.5</v>
      </c>
      <c r="O380" s="166"/>
      <c r="P380" s="151">
        <f>N380+O380</f>
        <v>233.5</v>
      </c>
    </row>
    <row r="381" spans="1:16" ht="12.75">
      <c r="A381" s="71" t="s">
        <v>181</v>
      </c>
      <c r="B381" s="50">
        <f>B382+B383</f>
        <v>5100</v>
      </c>
      <c r="C381" s="6">
        <f aca="true" t="shared" si="145" ref="C381:N381">C382+C383</f>
        <v>11629.5</v>
      </c>
      <c r="D381" s="6">
        <f t="shared" si="145"/>
        <v>0</v>
      </c>
      <c r="E381" s="51">
        <f t="shared" si="145"/>
        <v>16729.5</v>
      </c>
      <c r="F381" s="50">
        <f t="shared" si="145"/>
        <v>0</v>
      </c>
      <c r="G381" s="6">
        <f t="shared" si="145"/>
        <v>0</v>
      </c>
      <c r="H381" s="51">
        <f t="shared" si="145"/>
        <v>16729.5</v>
      </c>
      <c r="I381" s="50">
        <f t="shared" si="145"/>
        <v>-10839.5</v>
      </c>
      <c r="J381" s="6">
        <f t="shared" si="145"/>
        <v>0</v>
      </c>
      <c r="K381" s="51">
        <f t="shared" si="145"/>
        <v>5890</v>
      </c>
      <c r="L381" s="50">
        <f t="shared" si="145"/>
        <v>0</v>
      </c>
      <c r="M381" s="12">
        <f t="shared" si="145"/>
        <v>0</v>
      </c>
      <c r="N381" s="166">
        <f t="shared" si="145"/>
        <v>5890</v>
      </c>
      <c r="O381" s="166">
        <f>O382+O383</f>
        <v>0</v>
      </c>
      <c r="P381" s="151">
        <f>P382+P383</f>
        <v>5890</v>
      </c>
    </row>
    <row r="382" spans="1:16" ht="12.75">
      <c r="A382" s="71" t="s">
        <v>179</v>
      </c>
      <c r="B382" s="50">
        <v>5100</v>
      </c>
      <c r="C382" s="6"/>
      <c r="D382" s="6"/>
      <c r="E382" s="51">
        <f t="shared" si="144"/>
        <v>5100</v>
      </c>
      <c r="F382" s="50">
        <v>50</v>
      </c>
      <c r="G382" s="5"/>
      <c r="H382" s="51">
        <f>E382+F382+G382</f>
        <v>5150</v>
      </c>
      <c r="I382" s="50">
        <v>740</v>
      </c>
      <c r="J382" s="5"/>
      <c r="K382" s="51">
        <f>H382+I382+J382</f>
        <v>5890</v>
      </c>
      <c r="L382" s="50"/>
      <c r="M382" s="130"/>
      <c r="N382" s="166">
        <f>K382+L382+M382</f>
        <v>5890</v>
      </c>
      <c r="O382" s="166"/>
      <c r="P382" s="151">
        <f>N382+O382</f>
        <v>5890</v>
      </c>
    </row>
    <row r="383" spans="1:16" ht="12.75" hidden="1">
      <c r="A383" s="71" t="s">
        <v>180</v>
      </c>
      <c r="B383" s="50"/>
      <c r="C383" s="6">
        <f>12529.5-900</f>
        <v>11629.5</v>
      </c>
      <c r="D383" s="6"/>
      <c r="E383" s="51">
        <f t="shared" si="144"/>
        <v>11629.5</v>
      </c>
      <c r="F383" s="50">
        <v>-50</v>
      </c>
      <c r="G383" s="5"/>
      <c r="H383" s="51">
        <f>E383+F383+G383</f>
        <v>11579.5</v>
      </c>
      <c r="I383" s="50">
        <f>-740-10839.5</f>
        <v>-11579.5</v>
      </c>
      <c r="J383" s="5"/>
      <c r="K383" s="51">
        <f>H383+I383+J383</f>
        <v>0</v>
      </c>
      <c r="L383" s="50"/>
      <c r="M383" s="130"/>
      <c r="N383" s="166">
        <f>K383+L383+M383</f>
        <v>0</v>
      </c>
      <c r="O383" s="166"/>
      <c r="P383" s="151">
        <f>N383+O383</f>
        <v>0</v>
      </c>
    </row>
    <row r="384" spans="1:16" ht="12.75">
      <c r="A384" s="71" t="s">
        <v>182</v>
      </c>
      <c r="B384" s="50">
        <f>SUM(B385:B387)</f>
        <v>115000</v>
      </c>
      <c r="C384" s="6">
        <f aca="true" t="shared" si="146" ref="C384:N384">SUM(C385:C387)</f>
        <v>-7324.4</v>
      </c>
      <c r="D384" s="6">
        <f t="shared" si="146"/>
        <v>60051.5</v>
      </c>
      <c r="E384" s="51">
        <f t="shared" si="146"/>
        <v>167727.1</v>
      </c>
      <c r="F384" s="50">
        <f t="shared" si="146"/>
        <v>296.2000000000007</v>
      </c>
      <c r="G384" s="6">
        <f t="shared" si="146"/>
        <v>25934</v>
      </c>
      <c r="H384" s="51">
        <f t="shared" si="146"/>
        <v>193957.30000000002</v>
      </c>
      <c r="I384" s="50">
        <f t="shared" si="146"/>
        <v>-16796.2</v>
      </c>
      <c r="J384" s="6">
        <f t="shared" si="146"/>
        <v>-33718.7</v>
      </c>
      <c r="K384" s="51">
        <f t="shared" si="146"/>
        <v>143442.4</v>
      </c>
      <c r="L384" s="50">
        <f t="shared" si="146"/>
        <v>0</v>
      </c>
      <c r="M384" s="12">
        <f t="shared" si="146"/>
        <v>0</v>
      </c>
      <c r="N384" s="166">
        <f t="shared" si="146"/>
        <v>143442.4</v>
      </c>
      <c r="O384" s="166">
        <f>SUM(O385:O387)</f>
        <v>0</v>
      </c>
      <c r="P384" s="151">
        <f>SUM(P385:P387)</f>
        <v>143442.4</v>
      </c>
    </row>
    <row r="385" spans="1:16" ht="12.75">
      <c r="A385" s="71" t="s">
        <v>183</v>
      </c>
      <c r="B385" s="50">
        <v>20000</v>
      </c>
      <c r="C385" s="6"/>
      <c r="D385" s="6">
        <v>6015.6</v>
      </c>
      <c r="E385" s="51">
        <f t="shared" si="144"/>
        <v>26015.6</v>
      </c>
      <c r="F385" s="50"/>
      <c r="G385" s="6"/>
      <c r="H385" s="51">
        <f>E385+F385+G385</f>
        <v>26015.6</v>
      </c>
      <c r="I385" s="50"/>
      <c r="J385" s="6"/>
      <c r="K385" s="51">
        <f aca="true" t="shared" si="147" ref="K385:K390">H385+I385+J385</f>
        <v>26015.6</v>
      </c>
      <c r="L385" s="50"/>
      <c r="M385" s="12"/>
      <c r="N385" s="166">
        <f aca="true" t="shared" si="148" ref="N385:N390">K385+L385+M385</f>
        <v>26015.6</v>
      </c>
      <c r="O385" s="166"/>
      <c r="P385" s="151">
        <f>N385+O385</f>
        <v>26015.6</v>
      </c>
    </row>
    <row r="386" spans="1:16" ht="12.75">
      <c r="A386" s="71" t="s">
        <v>184</v>
      </c>
      <c r="B386" s="50">
        <v>95000</v>
      </c>
      <c r="C386" s="8">
        <v>-7324.4</v>
      </c>
      <c r="D386" s="6">
        <v>54035.9</v>
      </c>
      <c r="E386" s="51">
        <f t="shared" si="144"/>
        <v>141711.5</v>
      </c>
      <c r="F386" s="50">
        <f>16796.2-4500-12000</f>
        <v>296.2000000000007</v>
      </c>
      <c r="G386" s="6">
        <f>-1666+27600</f>
        <v>25934</v>
      </c>
      <c r="H386" s="51">
        <f>E386+F386+G386</f>
        <v>167941.7</v>
      </c>
      <c r="I386" s="50">
        <v>-16796.2</v>
      </c>
      <c r="J386" s="6">
        <f>-6896.7-26822</f>
        <v>-33718.7</v>
      </c>
      <c r="K386" s="51">
        <f t="shared" si="147"/>
        <v>117426.8</v>
      </c>
      <c r="L386" s="50"/>
      <c r="M386" s="12"/>
      <c r="N386" s="166">
        <f t="shared" si="148"/>
        <v>117426.8</v>
      </c>
      <c r="O386" s="166"/>
      <c r="P386" s="151">
        <f>N386+O386</f>
        <v>117426.8</v>
      </c>
    </row>
    <row r="387" spans="1:16" ht="12.75" hidden="1">
      <c r="A387" s="71" t="s">
        <v>180</v>
      </c>
      <c r="B387" s="50"/>
      <c r="C387" s="6"/>
      <c r="D387" s="6"/>
      <c r="E387" s="51">
        <f t="shared" si="144"/>
        <v>0</v>
      </c>
      <c r="F387" s="50"/>
      <c r="G387" s="6"/>
      <c r="H387" s="51">
        <f>E387+F387+G387</f>
        <v>0</v>
      </c>
      <c r="I387" s="50"/>
      <c r="J387" s="6"/>
      <c r="K387" s="51">
        <f t="shared" si="147"/>
        <v>0</v>
      </c>
      <c r="L387" s="50"/>
      <c r="M387" s="12"/>
      <c r="N387" s="166">
        <f t="shared" si="148"/>
        <v>0</v>
      </c>
      <c r="O387" s="166"/>
      <c r="P387" s="151">
        <f>N387+O387</f>
        <v>0</v>
      </c>
    </row>
    <row r="388" spans="1:16" ht="12.75">
      <c r="A388" s="71" t="s">
        <v>215</v>
      </c>
      <c r="B388" s="50">
        <f>B389+B390</f>
        <v>300</v>
      </c>
      <c r="C388" s="50">
        <f aca="true" t="shared" si="149" ref="C388:P388">C389+C390</f>
        <v>-300</v>
      </c>
      <c r="D388" s="50">
        <f t="shared" si="149"/>
        <v>0</v>
      </c>
      <c r="E388" s="50">
        <f t="shared" si="149"/>
        <v>0</v>
      </c>
      <c r="F388" s="50">
        <f t="shared" si="149"/>
        <v>0</v>
      </c>
      <c r="G388" s="50">
        <f t="shared" si="149"/>
        <v>0</v>
      </c>
      <c r="H388" s="50">
        <f t="shared" si="149"/>
        <v>0</v>
      </c>
      <c r="I388" s="50">
        <f t="shared" si="149"/>
        <v>0</v>
      </c>
      <c r="J388" s="50">
        <f t="shared" si="149"/>
        <v>0</v>
      </c>
      <c r="K388" s="50">
        <f t="shared" si="149"/>
        <v>0</v>
      </c>
      <c r="L388" s="50">
        <f t="shared" si="149"/>
        <v>0</v>
      </c>
      <c r="M388" s="62">
        <f t="shared" si="149"/>
        <v>0</v>
      </c>
      <c r="N388" s="166">
        <f t="shared" si="149"/>
        <v>0</v>
      </c>
      <c r="O388" s="166">
        <f t="shared" si="149"/>
        <v>0</v>
      </c>
      <c r="P388" s="151">
        <f t="shared" si="149"/>
        <v>0</v>
      </c>
    </row>
    <row r="389" spans="1:16" ht="12.75">
      <c r="A389" s="72" t="s">
        <v>179</v>
      </c>
      <c r="B389" s="50">
        <v>300</v>
      </c>
      <c r="C389" s="6">
        <v>-300</v>
      </c>
      <c r="D389" s="6"/>
      <c r="E389" s="51">
        <f t="shared" si="144"/>
        <v>0</v>
      </c>
      <c r="F389" s="50"/>
      <c r="G389" s="6"/>
      <c r="H389" s="51">
        <f>SUM(E389:G389)</f>
        <v>0</v>
      </c>
      <c r="I389" s="50"/>
      <c r="J389" s="6"/>
      <c r="K389" s="51">
        <f t="shared" si="147"/>
        <v>0</v>
      </c>
      <c r="L389" s="50"/>
      <c r="M389" s="12"/>
      <c r="N389" s="166">
        <f t="shared" si="148"/>
        <v>0</v>
      </c>
      <c r="O389" s="166"/>
      <c r="P389" s="151">
        <f>N389+O389</f>
        <v>0</v>
      </c>
    </row>
    <row r="390" spans="1:16" ht="12.75" hidden="1">
      <c r="A390" s="72" t="s">
        <v>216</v>
      </c>
      <c r="B390" s="50"/>
      <c r="C390" s="6"/>
      <c r="D390" s="6"/>
      <c r="E390" s="51">
        <f t="shared" si="144"/>
        <v>0</v>
      </c>
      <c r="F390" s="50"/>
      <c r="G390" s="6"/>
      <c r="H390" s="51">
        <f>SUM(E390:G390)</f>
        <v>0</v>
      </c>
      <c r="I390" s="50"/>
      <c r="J390" s="6"/>
      <c r="K390" s="51">
        <f t="shared" si="147"/>
        <v>0</v>
      </c>
      <c r="L390" s="50"/>
      <c r="M390" s="12"/>
      <c r="N390" s="166">
        <f t="shared" si="148"/>
        <v>0</v>
      </c>
      <c r="O390" s="166"/>
      <c r="P390" s="151">
        <f>N390+O390</f>
        <v>0</v>
      </c>
    </row>
    <row r="391" spans="1:16" ht="12.75">
      <c r="A391" s="71" t="s">
        <v>185</v>
      </c>
      <c r="B391" s="50">
        <f>B392</f>
        <v>0</v>
      </c>
      <c r="C391" s="6">
        <f aca="true" t="shared" si="150" ref="C391:P391">C392</f>
        <v>400</v>
      </c>
      <c r="D391" s="6">
        <f t="shared" si="150"/>
        <v>0</v>
      </c>
      <c r="E391" s="51">
        <f t="shared" si="150"/>
        <v>400</v>
      </c>
      <c r="F391" s="50">
        <f t="shared" si="150"/>
        <v>0</v>
      </c>
      <c r="G391" s="6">
        <f t="shared" si="150"/>
        <v>293.8</v>
      </c>
      <c r="H391" s="51">
        <f t="shared" si="150"/>
        <v>693.8</v>
      </c>
      <c r="I391" s="50">
        <f t="shared" si="150"/>
        <v>0</v>
      </c>
      <c r="J391" s="6">
        <f t="shared" si="150"/>
        <v>0</v>
      </c>
      <c r="K391" s="51">
        <f t="shared" si="150"/>
        <v>693.8</v>
      </c>
      <c r="L391" s="50">
        <f t="shared" si="150"/>
        <v>0</v>
      </c>
      <c r="M391" s="12">
        <f t="shared" si="150"/>
        <v>0</v>
      </c>
      <c r="N391" s="166">
        <f t="shared" si="150"/>
        <v>693.8</v>
      </c>
      <c r="O391" s="166">
        <f t="shared" si="150"/>
        <v>0</v>
      </c>
      <c r="P391" s="151">
        <f t="shared" si="150"/>
        <v>693.8</v>
      </c>
    </row>
    <row r="392" spans="1:16" ht="12.75">
      <c r="A392" s="72" t="s">
        <v>186</v>
      </c>
      <c r="B392" s="50"/>
      <c r="C392" s="6">
        <v>400</v>
      </c>
      <c r="D392" s="6"/>
      <c r="E392" s="51">
        <f t="shared" si="144"/>
        <v>400</v>
      </c>
      <c r="F392" s="50"/>
      <c r="G392" s="6">
        <v>293.8</v>
      </c>
      <c r="H392" s="51">
        <f>E392+F392+G392</f>
        <v>693.8</v>
      </c>
      <c r="I392" s="50"/>
      <c r="J392" s="6"/>
      <c r="K392" s="51">
        <f>H392+I392+J392</f>
        <v>693.8</v>
      </c>
      <c r="L392" s="50"/>
      <c r="M392" s="12"/>
      <c r="N392" s="166">
        <f>K392+L392+M392</f>
        <v>693.8</v>
      </c>
      <c r="O392" s="166"/>
      <c r="P392" s="151">
        <f>N392+O392</f>
        <v>693.8</v>
      </c>
    </row>
    <row r="393" spans="1:16" ht="12.75">
      <c r="A393" s="71" t="s">
        <v>187</v>
      </c>
      <c r="B393" s="50">
        <f>SUM(B394:B397)</f>
        <v>63000</v>
      </c>
      <c r="C393" s="6">
        <f aca="true" t="shared" si="151" ref="C393:N393">SUM(C394:C397)</f>
        <v>37000</v>
      </c>
      <c r="D393" s="6">
        <f t="shared" si="151"/>
        <v>6572.5</v>
      </c>
      <c r="E393" s="51">
        <f t="shared" si="151"/>
        <v>106572.5</v>
      </c>
      <c r="F393" s="50">
        <f t="shared" si="151"/>
        <v>0</v>
      </c>
      <c r="G393" s="6">
        <f t="shared" si="151"/>
        <v>33872.5</v>
      </c>
      <c r="H393" s="51">
        <f t="shared" si="151"/>
        <v>140445</v>
      </c>
      <c r="I393" s="50">
        <f t="shared" si="151"/>
        <v>0</v>
      </c>
      <c r="J393" s="6">
        <f t="shared" si="151"/>
        <v>1000</v>
      </c>
      <c r="K393" s="51">
        <f t="shared" si="151"/>
        <v>141445</v>
      </c>
      <c r="L393" s="50">
        <f t="shared" si="151"/>
        <v>899</v>
      </c>
      <c r="M393" s="12">
        <f t="shared" si="151"/>
        <v>1697.5</v>
      </c>
      <c r="N393" s="166">
        <f t="shared" si="151"/>
        <v>144041.5</v>
      </c>
      <c r="O393" s="166">
        <f>SUM(O394:O397)</f>
        <v>0</v>
      </c>
      <c r="P393" s="151">
        <f>SUM(P394:P397)</f>
        <v>144041.5</v>
      </c>
    </row>
    <row r="394" spans="1:16" ht="12.75">
      <c r="A394" s="71" t="s">
        <v>188</v>
      </c>
      <c r="B394" s="50">
        <v>59725</v>
      </c>
      <c r="C394" s="6"/>
      <c r="D394" s="6">
        <v>9873.5</v>
      </c>
      <c r="E394" s="51">
        <f t="shared" si="144"/>
        <v>69598.5</v>
      </c>
      <c r="F394" s="50">
        <v>16470</v>
      </c>
      <c r="G394" s="6">
        <f>-728+6500</f>
        <v>5772</v>
      </c>
      <c r="H394" s="51">
        <f>E394+F394+G394</f>
        <v>91840.5</v>
      </c>
      <c r="I394" s="50">
        <v>195</v>
      </c>
      <c r="J394" s="6">
        <f>-490-1000</f>
        <v>-1490</v>
      </c>
      <c r="K394" s="51">
        <f>H394+I394+J394</f>
        <v>90545.5</v>
      </c>
      <c r="L394" s="50">
        <f>744+53.4+180</f>
        <v>977.4</v>
      </c>
      <c r="M394" s="12">
        <v>1697.5</v>
      </c>
      <c r="N394" s="166">
        <f>K394+L394+M394</f>
        <v>93220.4</v>
      </c>
      <c r="O394" s="166"/>
      <c r="P394" s="151">
        <f>N394+O394</f>
        <v>93220.4</v>
      </c>
    </row>
    <row r="395" spans="1:16" ht="12.75">
      <c r="A395" s="71" t="s">
        <v>189</v>
      </c>
      <c r="B395" s="50"/>
      <c r="C395" s="6"/>
      <c r="D395" s="6">
        <v>957</v>
      </c>
      <c r="E395" s="51">
        <f t="shared" si="144"/>
        <v>957</v>
      </c>
      <c r="F395" s="50">
        <v>14120</v>
      </c>
      <c r="G395" s="6">
        <v>2880</v>
      </c>
      <c r="H395" s="51">
        <f>E395+F395+G395</f>
        <v>17957</v>
      </c>
      <c r="I395" s="50">
        <v>460</v>
      </c>
      <c r="J395" s="6">
        <f>1705+1000</f>
        <v>2705</v>
      </c>
      <c r="K395" s="51">
        <f>H395+I395+J395</f>
        <v>21122</v>
      </c>
      <c r="L395" s="50">
        <f>-53.4+155-237</f>
        <v>-135.4</v>
      </c>
      <c r="M395" s="12"/>
      <c r="N395" s="166">
        <f>K395+L395+M395</f>
        <v>20986.6</v>
      </c>
      <c r="O395" s="166"/>
      <c r="P395" s="151">
        <f>N395+O395</f>
        <v>20986.6</v>
      </c>
    </row>
    <row r="396" spans="1:16" ht="13.5" customHeight="1">
      <c r="A396" s="71" t="s">
        <v>190</v>
      </c>
      <c r="B396" s="50">
        <v>3275</v>
      </c>
      <c r="C396" s="6"/>
      <c r="D396" s="6"/>
      <c r="E396" s="51">
        <f t="shared" si="144"/>
        <v>3275</v>
      </c>
      <c r="F396" s="50"/>
      <c r="G396" s="6">
        <v>26500</v>
      </c>
      <c r="H396" s="51">
        <f>E396+F396+G396</f>
        <v>29775</v>
      </c>
      <c r="I396" s="50"/>
      <c r="J396" s="6"/>
      <c r="K396" s="51">
        <f>H396+I396+J396</f>
        <v>29775</v>
      </c>
      <c r="L396" s="50"/>
      <c r="M396" s="12"/>
      <c r="N396" s="166">
        <f>K396+L396+M396</f>
        <v>29775</v>
      </c>
      <c r="O396" s="166"/>
      <c r="P396" s="151">
        <f>N396+O396</f>
        <v>29775</v>
      </c>
    </row>
    <row r="397" spans="1:16" ht="12.75">
      <c r="A397" s="71" t="s">
        <v>191</v>
      </c>
      <c r="B397" s="50"/>
      <c r="C397" s="6">
        <v>37000</v>
      </c>
      <c r="D397" s="6">
        <v>-4258</v>
      </c>
      <c r="E397" s="51">
        <f t="shared" si="144"/>
        <v>32742</v>
      </c>
      <c r="F397" s="50">
        <v>-30590</v>
      </c>
      <c r="G397" s="8">
        <f>-2152-1500+1000+1372.5</f>
        <v>-1279.5</v>
      </c>
      <c r="H397" s="110">
        <f>E397+F397+G397</f>
        <v>872.5</v>
      </c>
      <c r="I397" s="50">
        <v>-655</v>
      </c>
      <c r="J397" s="6">
        <v>-215</v>
      </c>
      <c r="K397" s="51">
        <f>H397+I397+J397</f>
        <v>2.5</v>
      </c>
      <c r="L397" s="50">
        <v>57</v>
      </c>
      <c r="M397" s="12"/>
      <c r="N397" s="166">
        <f>K397+L397+M397</f>
        <v>59.5</v>
      </c>
      <c r="O397" s="166"/>
      <c r="P397" s="151">
        <f>N397+O397</f>
        <v>59.5</v>
      </c>
    </row>
    <row r="398" spans="1:16" ht="12.75">
      <c r="A398" s="71" t="s">
        <v>192</v>
      </c>
      <c r="B398" s="50">
        <f>SUM(B399:B405)</f>
        <v>200000</v>
      </c>
      <c r="C398" s="6">
        <f aca="true" t="shared" si="152" ref="C398:N398">SUM(C399:C405)</f>
        <v>10000</v>
      </c>
      <c r="D398" s="6">
        <f t="shared" si="152"/>
        <v>0</v>
      </c>
      <c r="E398" s="51">
        <f t="shared" si="152"/>
        <v>210000</v>
      </c>
      <c r="F398" s="50">
        <f t="shared" si="152"/>
        <v>-4000.0000000000055</v>
      </c>
      <c r="G398" s="6">
        <f t="shared" si="152"/>
        <v>8882</v>
      </c>
      <c r="H398" s="51">
        <f t="shared" si="152"/>
        <v>214882</v>
      </c>
      <c r="I398" s="62">
        <f t="shared" si="152"/>
        <v>36500</v>
      </c>
      <c r="J398" s="6">
        <f t="shared" si="152"/>
        <v>-9.059419880941277E-14</v>
      </c>
      <c r="K398" s="51">
        <f t="shared" si="152"/>
        <v>251382</v>
      </c>
      <c r="L398" s="50">
        <f t="shared" si="152"/>
        <v>800</v>
      </c>
      <c r="M398" s="12">
        <f t="shared" si="152"/>
        <v>-2.2737367544323206E-13</v>
      </c>
      <c r="N398" s="166">
        <f t="shared" si="152"/>
        <v>252182.00000000003</v>
      </c>
      <c r="O398" s="166">
        <f>SUM(O399:O405)</f>
        <v>0</v>
      </c>
      <c r="P398" s="151">
        <f>SUM(P399:P405)</f>
        <v>252182.00000000003</v>
      </c>
    </row>
    <row r="399" spans="1:16" ht="12.75">
      <c r="A399" s="71" t="s">
        <v>193</v>
      </c>
      <c r="B399" s="50">
        <v>177030</v>
      </c>
      <c r="C399" s="6"/>
      <c r="D399" s="6"/>
      <c r="E399" s="51">
        <f t="shared" si="144"/>
        <v>177030</v>
      </c>
      <c r="F399" s="50">
        <v>-142932.5</v>
      </c>
      <c r="G399" s="6">
        <f>16710+5599.7</f>
        <v>22309.7</v>
      </c>
      <c r="H399" s="51">
        <f aca="true" t="shared" si="153" ref="H399:H405">E399+F399+G399</f>
        <v>56407.2</v>
      </c>
      <c r="I399" s="50">
        <v>175</v>
      </c>
      <c r="J399" s="6">
        <v>-2870.5</v>
      </c>
      <c r="K399" s="51">
        <f aca="true" t="shared" si="154" ref="K399:K405">H399+I399+J399</f>
        <v>53711.7</v>
      </c>
      <c r="L399" s="50"/>
      <c r="M399" s="12">
        <v>1099.2</v>
      </c>
      <c r="N399" s="166">
        <f aca="true" t="shared" si="155" ref="N399:N405">K399+L399+M399</f>
        <v>54810.899999999994</v>
      </c>
      <c r="O399" s="166">
        <v>2.1</v>
      </c>
      <c r="P399" s="151">
        <f>N399+O399</f>
        <v>54812.99999999999</v>
      </c>
    </row>
    <row r="400" spans="1:16" ht="12.75">
      <c r="A400" s="71" t="s">
        <v>194</v>
      </c>
      <c r="B400" s="50">
        <v>0</v>
      </c>
      <c r="C400" s="6">
        <v>10000</v>
      </c>
      <c r="D400" s="6"/>
      <c r="E400" s="51">
        <f t="shared" si="144"/>
        <v>10000</v>
      </c>
      <c r="F400" s="50">
        <v>143020.9</v>
      </c>
      <c r="G400" s="6">
        <f>-16110-7799.7</f>
        <v>-23909.7</v>
      </c>
      <c r="H400" s="51">
        <f t="shared" si="153"/>
        <v>129111.2</v>
      </c>
      <c r="I400" s="50">
        <v>45000</v>
      </c>
      <c r="J400" s="6">
        <v>2885.1</v>
      </c>
      <c r="K400" s="51">
        <f t="shared" si="154"/>
        <v>176996.30000000002</v>
      </c>
      <c r="L400" s="50">
        <v>800</v>
      </c>
      <c r="M400" s="12">
        <v>-2799.8</v>
      </c>
      <c r="N400" s="166">
        <f t="shared" si="155"/>
        <v>174996.50000000003</v>
      </c>
      <c r="O400" s="166">
        <v>83.8</v>
      </c>
      <c r="P400" s="151">
        <f aca="true" t="shared" si="156" ref="P400:P405">N400+O400</f>
        <v>175080.30000000002</v>
      </c>
    </row>
    <row r="401" spans="1:16" ht="12.75">
      <c r="A401" s="71" t="s">
        <v>195</v>
      </c>
      <c r="B401" s="50"/>
      <c r="C401" s="6"/>
      <c r="D401" s="6"/>
      <c r="E401" s="51">
        <f t="shared" si="144"/>
        <v>0</v>
      </c>
      <c r="F401" s="50"/>
      <c r="G401" s="6">
        <v>1978.5</v>
      </c>
      <c r="H401" s="51">
        <f t="shared" si="153"/>
        <v>1978.5</v>
      </c>
      <c r="I401" s="50"/>
      <c r="J401" s="6"/>
      <c r="K401" s="51">
        <f t="shared" si="154"/>
        <v>1978.5</v>
      </c>
      <c r="L401" s="50"/>
      <c r="M401" s="12">
        <v>1425.1</v>
      </c>
      <c r="N401" s="166">
        <f t="shared" si="155"/>
        <v>3403.6</v>
      </c>
      <c r="O401" s="166"/>
      <c r="P401" s="151">
        <f t="shared" si="156"/>
        <v>3403.6</v>
      </c>
    </row>
    <row r="402" spans="1:16" ht="12.75">
      <c r="A402" s="71" t="s">
        <v>196</v>
      </c>
      <c r="B402" s="50"/>
      <c r="C402" s="6"/>
      <c r="D402" s="6"/>
      <c r="E402" s="51">
        <f t="shared" si="144"/>
        <v>0</v>
      </c>
      <c r="F402" s="50">
        <v>13183</v>
      </c>
      <c r="G402" s="6">
        <v>270</v>
      </c>
      <c r="H402" s="51">
        <f t="shared" si="153"/>
        <v>13453</v>
      </c>
      <c r="I402" s="50"/>
      <c r="J402" s="6"/>
      <c r="K402" s="51">
        <f t="shared" si="154"/>
        <v>13453</v>
      </c>
      <c r="L402" s="50"/>
      <c r="M402" s="12"/>
      <c r="N402" s="166">
        <f t="shared" si="155"/>
        <v>13453</v>
      </c>
      <c r="O402" s="166"/>
      <c r="P402" s="151">
        <f t="shared" si="156"/>
        <v>13453</v>
      </c>
    </row>
    <row r="403" spans="1:16" ht="12.75">
      <c r="A403" s="71" t="s">
        <v>197</v>
      </c>
      <c r="B403" s="50"/>
      <c r="C403" s="6"/>
      <c r="D403" s="6"/>
      <c r="E403" s="51">
        <f t="shared" si="144"/>
        <v>0</v>
      </c>
      <c r="F403" s="50">
        <f>3278</f>
        <v>3278</v>
      </c>
      <c r="G403" s="6">
        <v>8500</v>
      </c>
      <c r="H403" s="51">
        <f t="shared" si="153"/>
        <v>11778</v>
      </c>
      <c r="I403" s="67">
        <v>-8500</v>
      </c>
      <c r="J403" s="6"/>
      <c r="K403" s="51">
        <f t="shared" si="154"/>
        <v>3278</v>
      </c>
      <c r="L403" s="50"/>
      <c r="M403" s="12"/>
      <c r="N403" s="166">
        <f t="shared" si="155"/>
        <v>3278</v>
      </c>
      <c r="O403" s="166"/>
      <c r="P403" s="151">
        <f t="shared" si="156"/>
        <v>3278</v>
      </c>
    </row>
    <row r="404" spans="1:16" ht="12.75">
      <c r="A404" s="71" t="s">
        <v>198</v>
      </c>
      <c r="B404" s="50">
        <v>3970</v>
      </c>
      <c r="C404" s="6"/>
      <c r="D404" s="6"/>
      <c r="E404" s="51">
        <f t="shared" si="144"/>
        <v>3970</v>
      </c>
      <c r="F404" s="50">
        <v>-2532.4</v>
      </c>
      <c r="G404" s="6"/>
      <c r="H404" s="51">
        <f t="shared" si="153"/>
        <v>1437.6</v>
      </c>
      <c r="I404" s="50"/>
      <c r="J404" s="6"/>
      <c r="K404" s="51">
        <f t="shared" si="154"/>
        <v>1437.6</v>
      </c>
      <c r="L404" s="50"/>
      <c r="M404" s="12">
        <v>142.6</v>
      </c>
      <c r="N404" s="166">
        <f t="shared" si="155"/>
        <v>1580.1999999999998</v>
      </c>
      <c r="O404" s="166">
        <v>242.9</v>
      </c>
      <c r="P404" s="151">
        <f t="shared" si="156"/>
        <v>1823.1</v>
      </c>
    </row>
    <row r="405" spans="1:16" ht="12.75">
      <c r="A405" s="71" t="s">
        <v>191</v>
      </c>
      <c r="B405" s="50">
        <v>19000</v>
      </c>
      <c r="C405" s="6"/>
      <c r="D405" s="6"/>
      <c r="E405" s="51">
        <f t="shared" si="144"/>
        <v>19000</v>
      </c>
      <c r="F405" s="50">
        <f>-14017-4000</f>
        <v>-18017</v>
      </c>
      <c r="G405" s="6">
        <f>-600-48.5+382</f>
        <v>-266.5</v>
      </c>
      <c r="H405" s="51">
        <f t="shared" si="153"/>
        <v>716.5</v>
      </c>
      <c r="I405" s="50">
        <v>-175</v>
      </c>
      <c r="J405" s="6">
        <v>-14.6</v>
      </c>
      <c r="K405" s="51">
        <f t="shared" si="154"/>
        <v>526.9</v>
      </c>
      <c r="L405" s="50"/>
      <c r="M405" s="12">
        <v>132.9</v>
      </c>
      <c r="N405" s="166">
        <f t="shared" si="155"/>
        <v>659.8</v>
      </c>
      <c r="O405" s="166">
        <v>-328.8</v>
      </c>
      <c r="P405" s="151">
        <f t="shared" si="156"/>
        <v>330.99999999999994</v>
      </c>
    </row>
    <row r="406" spans="1:16" ht="12.75">
      <c r="A406" s="71" t="s">
        <v>199</v>
      </c>
      <c r="B406" s="50">
        <f>SUM(B407:B410)</f>
        <v>7000</v>
      </c>
      <c r="C406" s="6">
        <f aca="true" t="shared" si="157" ref="C406:N406">SUM(C407:C410)</f>
        <v>0</v>
      </c>
      <c r="D406" s="6">
        <f t="shared" si="157"/>
        <v>51</v>
      </c>
      <c r="E406" s="51">
        <f t="shared" si="157"/>
        <v>7051</v>
      </c>
      <c r="F406" s="50">
        <f t="shared" si="157"/>
        <v>-34</v>
      </c>
      <c r="G406" s="6">
        <f t="shared" si="157"/>
        <v>6649.6</v>
      </c>
      <c r="H406" s="51">
        <f t="shared" si="157"/>
        <v>13666.6</v>
      </c>
      <c r="I406" s="50">
        <f t="shared" si="157"/>
        <v>2051</v>
      </c>
      <c r="J406" s="6">
        <f t="shared" si="157"/>
        <v>0</v>
      </c>
      <c r="K406" s="51">
        <f t="shared" si="157"/>
        <v>15717.6</v>
      </c>
      <c r="L406" s="50">
        <f t="shared" si="157"/>
        <v>-1500</v>
      </c>
      <c r="M406" s="12">
        <f t="shared" si="157"/>
        <v>0</v>
      </c>
      <c r="N406" s="166">
        <f t="shared" si="157"/>
        <v>14217.6</v>
      </c>
      <c r="O406" s="166">
        <f>SUM(O407:O410)</f>
        <v>0</v>
      </c>
      <c r="P406" s="151">
        <f>SUM(P407:P410)</f>
        <v>14217.6</v>
      </c>
    </row>
    <row r="407" spans="1:16" ht="12.75">
      <c r="A407" s="71" t="s">
        <v>188</v>
      </c>
      <c r="B407" s="50">
        <v>4500</v>
      </c>
      <c r="C407" s="6">
        <v>500</v>
      </c>
      <c r="D407" s="6"/>
      <c r="E407" s="51">
        <f t="shared" si="144"/>
        <v>5000</v>
      </c>
      <c r="F407" s="50"/>
      <c r="G407" s="6">
        <f>3503+2690</f>
        <v>6193</v>
      </c>
      <c r="H407" s="51">
        <f>E407+F407+G407</f>
        <v>11193</v>
      </c>
      <c r="I407" s="50">
        <v>2051</v>
      </c>
      <c r="J407" s="6"/>
      <c r="K407" s="51">
        <f>H407+I407+J407</f>
        <v>13244</v>
      </c>
      <c r="L407" s="50">
        <f>-1500-512</f>
        <v>-2012</v>
      </c>
      <c r="M407" s="12"/>
      <c r="N407" s="166">
        <f>K407+L407+M407</f>
        <v>11232</v>
      </c>
      <c r="O407" s="166">
        <v>-36</v>
      </c>
      <c r="P407" s="151">
        <f>N407+O407</f>
        <v>11196</v>
      </c>
    </row>
    <row r="408" spans="1:16" ht="12.75">
      <c r="A408" s="71" t="s">
        <v>189</v>
      </c>
      <c r="B408" s="50">
        <v>500</v>
      </c>
      <c r="C408" s="6">
        <v>-500</v>
      </c>
      <c r="D408" s="6"/>
      <c r="E408" s="51">
        <f t="shared" si="144"/>
        <v>0</v>
      </c>
      <c r="F408" s="50"/>
      <c r="G408" s="6">
        <f>641-500</f>
        <v>141</v>
      </c>
      <c r="H408" s="51">
        <f>E408+F408+G408</f>
        <v>141</v>
      </c>
      <c r="I408" s="50"/>
      <c r="J408" s="6"/>
      <c r="K408" s="51">
        <f>H408+I408+J408</f>
        <v>141</v>
      </c>
      <c r="L408" s="50"/>
      <c r="M408" s="12"/>
      <c r="N408" s="166">
        <f>K408+L408+M408</f>
        <v>141</v>
      </c>
      <c r="O408" s="166"/>
      <c r="P408" s="151">
        <f>N408+O408</f>
        <v>141</v>
      </c>
    </row>
    <row r="409" spans="1:16" ht="12.75">
      <c r="A409" s="71" t="s">
        <v>190</v>
      </c>
      <c r="B409" s="50">
        <v>2000</v>
      </c>
      <c r="C409" s="6"/>
      <c r="D409" s="6">
        <v>51</v>
      </c>
      <c r="E409" s="51">
        <f t="shared" si="144"/>
        <v>2051</v>
      </c>
      <c r="F409" s="50">
        <v>-34</v>
      </c>
      <c r="G409" s="6">
        <v>34</v>
      </c>
      <c r="H409" s="51">
        <f>E409+F409+G409</f>
        <v>2051</v>
      </c>
      <c r="I409" s="50"/>
      <c r="J409" s="6"/>
      <c r="K409" s="51">
        <f>H409+I409+J409</f>
        <v>2051</v>
      </c>
      <c r="L409" s="50">
        <v>512</v>
      </c>
      <c r="M409" s="12"/>
      <c r="N409" s="166">
        <f>K409+L409+M409</f>
        <v>2563</v>
      </c>
      <c r="O409" s="166">
        <v>36</v>
      </c>
      <c r="P409" s="151">
        <f>N409+O409</f>
        <v>2599</v>
      </c>
    </row>
    <row r="410" spans="1:16" ht="12.75">
      <c r="A410" s="71" t="s">
        <v>191</v>
      </c>
      <c r="B410" s="50"/>
      <c r="C410" s="6"/>
      <c r="D410" s="6"/>
      <c r="E410" s="51">
        <f t="shared" si="144"/>
        <v>0</v>
      </c>
      <c r="F410" s="50"/>
      <c r="G410" s="6">
        <f>1085-803.4</f>
        <v>281.6</v>
      </c>
      <c r="H410" s="51">
        <f>E410+F410+G410</f>
        <v>281.6</v>
      </c>
      <c r="I410" s="50"/>
      <c r="J410" s="6"/>
      <c r="K410" s="51">
        <f>H410+I410+J410</f>
        <v>281.6</v>
      </c>
      <c r="L410" s="50"/>
      <c r="M410" s="12"/>
      <c r="N410" s="166">
        <f>K410+L410+M410</f>
        <v>281.6</v>
      </c>
      <c r="O410" s="166"/>
      <c r="P410" s="151">
        <f>N410+O410</f>
        <v>281.6</v>
      </c>
    </row>
    <row r="411" spans="1:16" ht="12.75">
      <c r="A411" s="71" t="s">
        <v>200</v>
      </c>
      <c r="B411" s="50">
        <f>SUM(B412:B415)</f>
        <v>98000</v>
      </c>
      <c r="C411" s="6">
        <f aca="true" t="shared" si="158" ref="C411:N411">SUM(C412:C415)</f>
        <v>19881.6</v>
      </c>
      <c r="D411" s="6">
        <f t="shared" si="158"/>
        <v>0</v>
      </c>
      <c r="E411" s="51">
        <f t="shared" si="158"/>
        <v>117881.6</v>
      </c>
      <c r="F411" s="50">
        <f t="shared" si="158"/>
        <v>8.526512829121202E-14</v>
      </c>
      <c r="G411" s="6">
        <f t="shared" si="158"/>
        <v>82.8</v>
      </c>
      <c r="H411" s="51">
        <f t="shared" si="158"/>
        <v>117964.4</v>
      </c>
      <c r="I411" s="50">
        <f t="shared" si="158"/>
        <v>400</v>
      </c>
      <c r="J411" s="6">
        <f t="shared" si="158"/>
        <v>0</v>
      </c>
      <c r="K411" s="51">
        <f t="shared" si="158"/>
        <v>118364.4</v>
      </c>
      <c r="L411" s="50">
        <f t="shared" si="158"/>
        <v>1.4779288903810084E-12</v>
      </c>
      <c r="M411" s="12">
        <f t="shared" si="158"/>
        <v>0</v>
      </c>
      <c r="N411" s="166">
        <f t="shared" si="158"/>
        <v>118364.40000000002</v>
      </c>
      <c r="O411" s="166">
        <f>SUM(O412:O415)</f>
        <v>0</v>
      </c>
      <c r="P411" s="151">
        <f>SUM(P412:P415)</f>
        <v>118364.40000000002</v>
      </c>
    </row>
    <row r="412" spans="1:16" ht="12.75">
      <c r="A412" s="71" t="s">
        <v>188</v>
      </c>
      <c r="B412" s="50">
        <v>88003</v>
      </c>
      <c r="C412" s="6">
        <f>-3520+20233.8</f>
        <v>16713.8</v>
      </c>
      <c r="D412" s="6"/>
      <c r="E412" s="51">
        <f t="shared" si="144"/>
        <v>104716.8</v>
      </c>
      <c r="F412" s="50">
        <f>850+200</f>
        <v>1050</v>
      </c>
      <c r="G412" s="6"/>
      <c r="H412" s="51">
        <f>E412+F412+G412</f>
        <v>105766.8</v>
      </c>
      <c r="I412" s="50">
        <f>198+400</f>
        <v>598</v>
      </c>
      <c r="J412" s="6"/>
      <c r="K412" s="51">
        <f>H412+I412+J412</f>
        <v>106364.8</v>
      </c>
      <c r="L412" s="50">
        <f>786.9-19280</f>
        <v>-18493.1</v>
      </c>
      <c r="M412" s="12">
        <v>1095.6</v>
      </c>
      <c r="N412" s="166">
        <f>K412+L412+M412</f>
        <v>88967.30000000002</v>
      </c>
      <c r="O412" s="166"/>
      <c r="P412" s="151">
        <f>N412+O412</f>
        <v>88967.30000000002</v>
      </c>
    </row>
    <row r="413" spans="1:16" ht="12.75">
      <c r="A413" s="71" t="s">
        <v>189</v>
      </c>
      <c r="B413" s="50">
        <v>8985</v>
      </c>
      <c r="C413" s="6">
        <v>2867.8</v>
      </c>
      <c r="D413" s="6"/>
      <c r="E413" s="51">
        <f t="shared" si="144"/>
        <v>11852.8</v>
      </c>
      <c r="F413" s="50">
        <v>-1080.1</v>
      </c>
      <c r="G413" s="6"/>
      <c r="H413" s="51">
        <f>E413+F413+G413</f>
        <v>10772.699999999999</v>
      </c>
      <c r="I413" s="50">
        <v>140</v>
      </c>
      <c r="J413" s="6"/>
      <c r="K413" s="51">
        <f>H413+I413+J413</f>
        <v>10912.699999999999</v>
      </c>
      <c r="L413" s="50"/>
      <c r="M413" s="12">
        <v>-1095.6</v>
      </c>
      <c r="N413" s="166">
        <f>K413+L413+M413</f>
        <v>9817.099999999999</v>
      </c>
      <c r="O413" s="166"/>
      <c r="P413" s="151">
        <f>N413+O413</f>
        <v>9817.099999999999</v>
      </c>
    </row>
    <row r="414" spans="1:16" ht="12.75">
      <c r="A414" s="71" t="s">
        <v>201</v>
      </c>
      <c r="B414" s="50"/>
      <c r="C414" s="6">
        <v>300</v>
      </c>
      <c r="D414" s="6"/>
      <c r="E414" s="51">
        <f t="shared" si="144"/>
        <v>300</v>
      </c>
      <c r="F414" s="50"/>
      <c r="G414" s="6"/>
      <c r="H414" s="51">
        <f>E414+F414+G414</f>
        <v>300</v>
      </c>
      <c r="I414" s="50"/>
      <c r="J414" s="6"/>
      <c r="K414" s="51">
        <f>H414+I414+J414</f>
        <v>300</v>
      </c>
      <c r="L414" s="50">
        <v>19280</v>
      </c>
      <c r="M414" s="12"/>
      <c r="N414" s="166">
        <f>K414+L414+M414</f>
        <v>19580</v>
      </c>
      <c r="O414" s="166"/>
      <c r="P414" s="151">
        <f>N414+O414</f>
        <v>19580</v>
      </c>
    </row>
    <row r="415" spans="1:16" ht="12.75">
      <c r="A415" s="71" t="s">
        <v>191</v>
      </c>
      <c r="B415" s="50">
        <v>1012</v>
      </c>
      <c r="C415" s="6"/>
      <c r="D415" s="6"/>
      <c r="E415" s="51">
        <f t="shared" si="144"/>
        <v>1012</v>
      </c>
      <c r="F415" s="50">
        <f>230.1-200</f>
        <v>30.099999999999994</v>
      </c>
      <c r="G415" s="6">
        <v>82.8</v>
      </c>
      <c r="H415" s="51">
        <f>E415+F415+G415</f>
        <v>1124.8999999999999</v>
      </c>
      <c r="I415" s="50">
        <v>-338</v>
      </c>
      <c r="J415" s="6"/>
      <c r="K415" s="51">
        <f>H415+I415+J415</f>
        <v>786.8999999999999</v>
      </c>
      <c r="L415" s="50">
        <v>-786.9</v>
      </c>
      <c r="M415" s="12"/>
      <c r="N415" s="166">
        <f>K415+L415+M415</f>
        <v>-1.1368683772161603E-13</v>
      </c>
      <c r="O415" s="166"/>
      <c r="P415" s="151">
        <f>N415+O415</f>
        <v>-1.1368683772161603E-13</v>
      </c>
    </row>
    <row r="416" spans="1:16" ht="12.75">
      <c r="A416" s="80" t="s">
        <v>202</v>
      </c>
      <c r="B416" s="54"/>
      <c r="C416" s="9"/>
      <c r="D416" s="9"/>
      <c r="E416" s="55">
        <f t="shared" si="144"/>
        <v>0</v>
      </c>
      <c r="F416" s="54"/>
      <c r="G416" s="9">
        <v>1144</v>
      </c>
      <c r="H416" s="55">
        <f>SUM(E416:G416)</f>
        <v>1144</v>
      </c>
      <c r="I416" s="54">
        <v>-400</v>
      </c>
      <c r="J416" s="9"/>
      <c r="K416" s="55">
        <f>H416+I416+J416</f>
        <v>744</v>
      </c>
      <c r="L416" s="54">
        <v>-744</v>
      </c>
      <c r="M416" s="135"/>
      <c r="N416" s="172">
        <f>K416+L416+M416</f>
        <v>0</v>
      </c>
      <c r="O416" s="172"/>
      <c r="P416" s="154">
        <f>N416+O416</f>
        <v>0</v>
      </c>
    </row>
    <row r="417" spans="1:16" ht="13.5" thickBot="1">
      <c r="A417" s="86" t="s">
        <v>203</v>
      </c>
      <c r="B417" s="114">
        <v>4900</v>
      </c>
      <c r="C417" s="115">
        <v>30</v>
      </c>
      <c r="D417" s="115"/>
      <c r="E417" s="116">
        <f>SUM(B417:D417)</f>
        <v>4930</v>
      </c>
      <c r="F417" s="114">
        <v>62.8</v>
      </c>
      <c r="G417" s="115">
        <v>6.4</v>
      </c>
      <c r="H417" s="116">
        <f>SUM(E417:G417)</f>
        <v>4999.2</v>
      </c>
      <c r="I417" s="114"/>
      <c r="J417" s="115"/>
      <c r="K417" s="116">
        <f>SUM(H417:J417)</f>
        <v>4999.2</v>
      </c>
      <c r="L417" s="52"/>
      <c r="M417" s="131"/>
      <c r="N417" s="167">
        <f>SUM(K417:M417)</f>
        <v>4999.2</v>
      </c>
      <c r="O417" s="167"/>
      <c r="P417" s="65">
        <f>SUM(N417:O417)</f>
        <v>4999.2</v>
      </c>
    </row>
    <row r="418" spans="1:16" ht="15.75" thickBot="1">
      <c r="A418" s="87" t="s">
        <v>204</v>
      </c>
      <c r="B418" s="40">
        <f aca="true" t="shared" si="159" ref="B418:P418">B85+B100+B116+B135+B145+B167+B176+B186+B245+B283+B302+B317+B339+B358+B366+B373+B417</f>
        <v>3232902</v>
      </c>
      <c r="C418" s="16" t="e">
        <f t="shared" si="159"/>
        <v>#REF!</v>
      </c>
      <c r="D418" s="16" t="e">
        <f t="shared" si="159"/>
        <v>#REF!</v>
      </c>
      <c r="E418" s="17" t="e">
        <f t="shared" si="159"/>
        <v>#REF!</v>
      </c>
      <c r="F418" s="17" t="e">
        <f t="shared" si="159"/>
        <v>#REF!</v>
      </c>
      <c r="G418" s="17" t="e">
        <f t="shared" si="159"/>
        <v>#REF!</v>
      </c>
      <c r="H418" s="17" t="e">
        <f t="shared" si="159"/>
        <v>#REF!</v>
      </c>
      <c r="I418" s="17" t="e">
        <f t="shared" si="159"/>
        <v>#REF!</v>
      </c>
      <c r="J418" s="17" t="e">
        <f t="shared" si="159"/>
        <v>#REF!</v>
      </c>
      <c r="K418" s="17" t="e">
        <f t="shared" si="159"/>
        <v>#REF!</v>
      </c>
      <c r="L418" s="40" t="e">
        <f t="shared" si="159"/>
        <v>#REF!</v>
      </c>
      <c r="M418" s="124" t="e">
        <f t="shared" si="159"/>
        <v>#REF!</v>
      </c>
      <c r="N418" s="178">
        <f t="shared" si="159"/>
        <v>9978308.799999999</v>
      </c>
      <c r="O418" s="178">
        <f t="shared" si="159"/>
        <v>208355.19999999998</v>
      </c>
      <c r="P418" s="157">
        <f t="shared" si="159"/>
        <v>10186663.999999998</v>
      </c>
    </row>
    <row r="419" spans="1:16" ht="13.5" thickBot="1">
      <c r="A419" s="88" t="s">
        <v>205</v>
      </c>
      <c r="B419" s="41">
        <v>-4900</v>
      </c>
      <c r="C419" s="18">
        <v>-30</v>
      </c>
      <c r="D419" s="18"/>
      <c r="E419" s="19">
        <f>SUM(B419:D419)</f>
        <v>-4930</v>
      </c>
      <c r="F419" s="41">
        <v>-62.8</v>
      </c>
      <c r="G419" s="18"/>
      <c r="H419" s="19">
        <f>SUM(E419:G419)</f>
        <v>-4992.8</v>
      </c>
      <c r="I419" s="41"/>
      <c r="J419" s="18"/>
      <c r="K419" s="19">
        <f>SUM(H419:J419)</f>
        <v>-4992.8</v>
      </c>
      <c r="L419" s="41"/>
      <c r="M419" s="125"/>
      <c r="N419" s="179">
        <f>SUM(K419:M419)</f>
        <v>-4992.8</v>
      </c>
      <c r="O419" s="179"/>
      <c r="P419" s="158">
        <f>SUM(N419:O419)</f>
        <v>-4992.8</v>
      </c>
    </row>
    <row r="420" spans="1:16" ht="16.5" thickBot="1">
      <c r="A420" s="89" t="s">
        <v>206</v>
      </c>
      <c r="B420" s="42">
        <f aca="true" t="shared" si="160" ref="B420:N420">B418+B419</f>
        <v>3228002</v>
      </c>
      <c r="C420" s="20" t="e">
        <f t="shared" si="160"/>
        <v>#REF!</v>
      </c>
      <c r="D420" s="20" t="e">
        <f t="shared" si="160"/>
        <v>#REF!</v>
      </c>
      <c r="E420" s="21" t="e">
        <f t="shared" si="160"/>
        <v>#REF!</v>
      </c>
      <c r="F420" s="21" t="e">
        <f t="shared" si="160"/>
        <v>#REF!</v>
      </c>
      <c r="G420" s="21" t="e">
        <f t="shared" si="160"/>
        <v>#REF!</v>
      </c>
      <c r="H420" s="21" t="e">
        <f t="shared" si="160"/>
        <v>#REF!</v>
      </c>
      <c r="I420" s="21" t="e">
        <f t="shared" si="160"/>
        <v>#REF!</v>
      </c>
      <c r="J420" s="21" t="e">
        <f t="shared" si="160"/>
        <v>#REF!</v>
      </c>
      <c r="K420" s="21" t="e">
        <f t="shared" si="160"/>
        <v>#REF!</v>
      </c>
      <c r="L420" s="42" t="e">
        <f t="shared" si="160"/>
        <v>#REF!</v>
      </c>
      <c r="M420" s="126" t="e">
        <f t="shared" si="160"/>
        <v>#REF!</v>
      </c>
      <c r="N420" s="180">
        <f t="shared" si="160"/>
        <v>9973315.999999998</v>
      </c>
      <c r="O420" s="180">
        <f>O418+O419</f>
        <v>208355.19999999998</v>
      </c>
      <c r="P420" s="159">
        <f>P418+P419</f>
        <v>10181671.199999997</v>
      </c>
    </row>
    <row r="421" spans="1:16" ht="15.75">
      <c r="A421" s="90" t="s">
        <v>45</v>
      </c>
      <c r="B421" s="24"/>
      <c r="C421" s="22"/>
      <c r="D421" s="22"/>
      <c r="E421" s="23"/>
      <c r="F421" s="24"/>
      <c r="G421" s="22"/>
      <c r="H421" s="23"/>
      <c r="I421" s="24"/>
      <c r="J421" s="22"/>
      <c r="K421" s="23"/>
      <c r="L421" s="24"/>
      <c r="M421" s="140"/>
      <c r="N421" s="181"/>
      <c r="O421" s="181"/>
      <c r="P421" s="160"/>
    </row>
    <row r="422" spans="1:16" ht="15.75">
      <c r="A422" s="91" t="s">
        <v>75</v>
      </c>
      <c r="B422" s="27">
        <f aca="true" t="shared" si="161" ref="B422:P422">B86+B101+B117+B136+B146+B168+B177+B187+B246+B284+B303+B318+B340+B359+B367+B375+B417+B419</f>
        <v>2596588.5</v>
      </c>
      <c r="C422" s="25" t="e">
        <f t="shared" si="161"/>
        <v>#REF!</v>
      </c>
      <c r="D422" s="25" t="e">
        <f t="shared" si="161"/>
        <v>#REF!</v>
      </c>
      <c r="E422" s="26" t="e">
        <f t="shared" si="161"/>
        <v>#REF!</v>
      </c>
      <c r="F422" s="27" t="e">
        <f t="shared" si="161"/>
        <v>#REF!</v>
      </c>
      <c r="G422" s="25" t="e">
        <f t="shared" si="161"/>
        <v>#REF!</v>
      </c>
      <c r="H422" s="26" t="e">
        <f t="shared" si="161"/>
        <v>#REF!</v>
      </c>
      <c r="I422" s="27" t="e">
        <f t="shared" si="161"/>
        <v>#REF!</v>
      </c>
      <c r="J422" s="25" t="e">
        <f t="shared" si="161"/>
        <v>#REF!</v>
      </c>
      <c r="K422" s="104" t="e">
        <f t="shared" si="161"/>
        <v>#REF!</v>
      </c>
      <c r="L422" s="27" t="e">
        <f t="shared" si="161"/>
        <v>#REF!</v>
      </c>
      <c r="M422" s="141" t="e">
        <f t="shared" si="161"/>
        <v>#REF!</v>
      </c>
      <c r="N422" s="182">
        <f t="shared" si="161"/>
        <v>8228423.299999998</v>
      </c>
      <c r="O422" s="182">
        <f t="shared" si="161"/>
        <v>95471.1</v>
      </c>
      <c r="P422" s="104">
        <f t="shared" si="161"/>
        <v>8323894.399999999</v>
      </c>
    </row>
    <row r="423" spans="1:16" ht="16.5" thickBot="1">
      <c r="A423" s="77" t="s">
        <v>81</v>
      </c>
      <c r="B423" s="30">
        <f aca="true" t="shared" si="162" ref="B423:P423">B95+B113+B128+B142+B159+B173+B183+B229+B275+B294+B313+B333+B349+B363+B376</f>
        <v>631413.5</v>
      </c>
      <c r="C423" s="28" t="e">
        <f t="shared" si="162"/>
        <v>#REF!</v>
      </c>
      <c r="D423" s="28" t="e">
        <f t="shared" si="162"/>
        <v>#REF!</v>
      </c>
      <c r="E423" s="29" t="e">
        <f t="shared" si="162"/>
        <v>#REF!</v>
      </c>
      <c r="F423" s="30" t="e">
        <f t="shared" si="162"/>
        <v>#REF!</v>
      </c>
      <c r="G423" s="102" t="e">
        <f t="shared" si="162"/>
        <v>#REF!</v>
      </c>
      <c r="H423" s="29">
        <f t="shared" si="162"/>
        <v>1252961.1</v>
      </c>
      <c r="I423" s="30">
        <f t="shared" si="162"/>
        <v>198272.5</v>
      </c>
      <c r="J423" s="28">
        <f t="shared" si="162"/>
        <v>-23550.6</v>
      </c>
      <c r="K423" s="29">
        <f t="shared" si="162"/>
        <v>1427683</v>
      </c>
      <c r="L423" s="30">
        <f t="shared" si="162"/>
        <v>251775.1</v>
      </c>
      <c r="M423" s="142">
        <f t="shared" si="162"/>
        <v>65434.6</v>
      </c>
      <c r="N423" s="183">
        <f t="shared" si="162"/>
        <v>1744892.7000000002</v>
      </c>
      <c r="O423" s="183">
        <f t="shared" si="162"/>
        <v>112884.1</v>
      </c>
      <c r="P423" s="161">
        <f t="shared" si="162"/>
        <v>1857776.8000000003</v>
      </c>
    </row>
    <row r="424" spans="1:16" ht="15.75">
      <c r="A424" s="90" t="s">
        <v>207</v>
      </c>
      <c r="B424" s="33">
        <f aca="true" t="shared" si="163" ref="B424:N424">SUM(B426:B429)</f>
        <v>0</v>
      </c>
      <c r="C424" s="31">
        <f t="shared" si="163"/>
        <v>597209.6</v>
      </c>
      <c r="D424" s="31">
        <f t="shared" si="163"/>
        <v>105047.3</v>
      </c>
      <c r="E424" s="32">
        <f t="shared" si="163"/>
        <v>702256.9</v>
      </c>
      <c r="F424" s="33">
        <f t="shared" si="163"/>
        <v>-148456.39999999997</v>
      </c>
      <c r="G424" s="31">
        <f t="shared" si="163"/>
        <v>262719.1</v>
      </c>
      <c r="H424" s="32">
        <f t="shared" si="163"/>
        <v>816519.6</v>
      </c>
      <c r="I424" s="33">
        <f t="shared" si="163"/>
        <v>79941</v>
      </c>
      <c r="J424" s="31">
        <f t="shared" si="163"/>
        <v>0</v>
      </c>
      <c r="K424" s="32">
        <f t="shared" si="163"/>
        <v>896460.6</v>
      </c>
      <c r="L424" s="33">
        <f t="shared" si="163"/>
        <v>-33699.600000000006</v>
      </c>
      <c r="M424" s="143">
        <f t="shared" si="163"/>
        <v>0</v>
      </c>
      <c r="N424" s="184">
        <f t="shared" si="163"/>
        <v>862761</v>
      </c>
      <c r="O424" s="184">
        <f>SUM(O426:O429)</f>
        <v>-26068.4</v>
      </c>
      <c r="P424" s="34">
        <f>SUM(P426:P429)</f>
        <v>836692.5999999999</v>
      </c>
    </row>
    <row r="425" spans="1:16" ht="12.75" customHeight="1">
      <c r="A425" s="92" t="s">
        <v>45</v>
      </c>
      <c r="B425" s="43"/>
      <c r="C425" s="35"/>
      <c r="D425" s="35"/>
      <c r="E425" s="36"/>
      <c r="F425" s="43"/>
      <c r="G425" s="35"/>
      <c r="H425" s="36"/>
      <c r="I425" s="43"/>
      <c r="J425" s="35"/>
      <c r="K425" s="36"/>
      <c r="L425" s="43"/>
      <c r="M425" s="144"/>
      <c r="N425" s="185"/>
      <c r="O425" s="186"/>
      <c r="P425" s="36"/>
    </row>
    <row r="426" spans="1:16" ht="14.25">
      <c r="A426" s="92" t="s">
        <v>208</v>
      </c>
      <c r="B426" s="44"/>
      <c r="C426" s="37">
        <v>154789.4</v>
      </c>
      <c r="D426" s="37"/>
      <c r="E426" s="36">
        <f>SUM(B426:D426)</f>
        <v>154789.4</v>
      </c>
      <c r="F426" s="44"/>
      <c r="G426" s="37">
        <v>174965</v>
      </c>
      <c r="H426" s="36">
        <f>SUM(E426:G426)</f>
        <v>329754.4</v>
      </c>
      <c r="I426" s="44"/>
      <c r="J426" s="37"/>
      <c r="K426" s="36">
        <f>SUM(H426:J426)</f>
        <v>329754.4</v>
      </c>
      <c r="L426" s="44"/>
      <c r="M426" s="145"/>
      <c r="N426" s="185">
        <f>SUM(K426:M426)</f>
        <v>329754.4</v>
      </c>
      <c r="O426" s="185"/>
      <c r="P426" s="36">
        <f>SUM(N426:O426)</f>
        <v>329754.4</v>
      </c>
    </row>
    <row r="427" spans="1:16" ht="14.25">
      <c r="A427" s="93" t="s">
        <v>209</v>
      </c>
      <c r="B427" s="44"/>
      <c r="C427" s="95"/>
      <c r="D427" s="37"/>
      <c r="E427" s="36"/>
      <c r="F427" s="44"/>
      <c r="G427" s="37"/>
      <c r="H427" s="36"/>
      <c r="I427" s="44">
        <f>4917.8+33897.5+28389.6+29944.5</f>
        <v>97149.4</v>
      </c>
      <c r="J427" s="37"/>
      <c r="K427" s="36">
        <f>SUM(H427:J427)</f>
        <v>97149.4</v>
      </c>
      <c r="L427" s="37">
        <f>10110.3+20062.1</f>
        <v>30172.399999999998</v>
      </c>
      <c r="M427" s="145"/>
      <c r="N427" s="185">
        <f>SUM(K427:M427)</f>
        <v>127321.79999999999</v>
      </c>
      <c r="O427" s="187">
        <f>7312.1+8073.4</f>
        <v>15385.5</v>
      </c>
      <c r="P427" s="36">
        <f>SUM(N427:O427)</f>
        <v>142707.3</v>
      </c>
    </row>
    <row r="428" spans="1:16" ht="14.25">
      <c r="A428" s="92" t="s">
        <v>210</v>
      </c>
      <c r="B428" s="44"/>
      <c r="C428" s="37"/>
      <c r="D428" s="37"/>
      <c r="E428" s="36"/>
      <c r="F428" s="44">
        <f>-159255.3-29585.3</f>
        <v>-188840.59999999998</v>
      </c>
      <c r="G428" s="37"/>
      <c r="H428" s="36">
        <f>SUM(E428:G428)</f>
        <v>-188840.59999999998</v>
      </c>
      <c r="I428" s="44">
        <v>-17208.4</v>
      </c>
      <c r="J428" s="37"/>
      <c r="K428" s="36">
        <f>SUM(H428:J428)</f>
        <v>-206048.99999999997</v>
      </c>
      <c r="L428" s="37">
        <f>-4906.9-10107.5-33974.2-14883.4</f>
        <v>-63872</v>
      </c>
      <c r="M428" s="145"/>
      <c r="N428" s="185">
        <f>SUM(K428:M428)</f>
        <v>-269921</v>
      </c>
      <c r="O428" s="187">
        <f>-28649-10180.4-2624.5</f>
        <v>-41453.9</v>
      </c>
      <c r="P428" s="36">
        <f>SUM(N428:O428)</f>
        <v>-311374.9</v>
      </c>
    </row>
    <row r="429" spans="1:16" ht="16.5" thickBot="1">
      <c r="A429" s="94" t="s">
        <v>211</v>
      </c>
      <c r="B429" s="56"/>
      <c r="C429" s="38">
        <f>138562.7+1328+12529.5+170000+120000</f>
        <v>442420.2</v>
      </c>
      <c r="D429" s="38">
        <v>105047.3</v>
      </c>
      <c r="E429" s="39">
        <f>SUM(B429:D429)</f>
        <v>547467.5</v>
      </c>
      <c r="F429" s="101">
        <f>3000+1986.7+6500+25907.5+1270+1720</f>
        <v>40384.2</v>
      </c>
      <c r="G429" s="38">
        <v>87754.1</v>
      </c>
      <c r="H429" s="39">
        <f>SUM(E429:G429)</f>
        <v>675605.7999999999</v>
      </c>
      <c r="I429" s="101">
        <v>0</v>
      </c>
      <c r="J429" s="38">
        <v>0</v>
      </c>
      <c r="K429" s="39">
        <f>SUM(H429:J429)</f>
        <v>675605.7999999999</v>
      </c>
      <c r="L429" s="101"/>
      <c r="M429" s="146"/>
      <c r="N429" s="188">
        <f>SUM(K429:M429)</f>
        <v>675605.7999999999</v>
      </c>
      <c r="O429" s="188"/>
      <c r="P429" s="39">
        <f>SUM(N429:O429)</f>
        <v>675605.7999999999</v>
      </c>
    </row>
    <row r="432" spans="8:9" ht="12.75">
      <c r="H432" s="2"/>
      <c r="I432" s="109"/>
    </row>
    <row r="433" spans="8:9" ht="12.75">
      <c r="H433" s="2"/>
      <c r="I433" s="109"/>
    </row>
    <row r="434" spans="8:9" ht="12.75">
      <c r="H434" s="2"/>
      <c r="I434" s="109"/>
    </row>
  </sheetData>
  <sheetProtection/>
  <mergeCells count="5">
    <mergeCell ref="A8:A9"/>
    <mergeCell ref="A3:P3"/>
    <mergeCell ref="A4:P4"/>
    <mergeCell ref="A5:P5"/>
    <mergeCell ref="A6:P6"/>
  </mergeCells>
  <printOptions horizontalCentered="1"/>
  <pageMargins left="0.3937007874015748" right="0.1968503937007874" top="0.7874015748031497" bottom="0.5905511811023623" header="0.7086614173228347" footer="0.31496062992125984"/>
  <pageSetup horizontalDpi="600" verticalDpi="600" orientation="portrait" paperSize="9" scale="86" r:id="rId1"/>
  <headerFooter alignWithMargins="0">
    <oddFooter>&amp;CStránka &amp;P</oddFooter>
  </headerFooter>
  <rowBreaks count="5" manualBreakCount="5">
    <brk id="83" max="15" man="1"/>
    <brk id="154" max="15" man="1"/>
    <brk id="228" max="15" man="1"/>
    <brk id="301" max="15" man="1"/>
    <brk id="3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2010-01-25T13:21:33Z</cp:lastPrinted>
  <dcterms:created xsi:type="dcterms:W3CDTF">2009-01-05T12:05:07Z</dcterms:created>
  <dcterms:modified xsi:type="dcterms:W3CDTF">2010-01-25T13:49:15Z</dcterms:modified>
  <cp:category/>
  <cp:version/>
  <cp:contentType/>
  <cp:contentStatus/>
</cp:coreProperties>
</file>