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4.ZR " sheetId="1" r:id="rId1"/>
  </sheets>
  <definedNames>
    <definedName name="_xlnm.Print_Titles" localSheetId="0">'4.ZR '!$8:$9</definedName>
    <definedName name="_xlnm.Print_Area" localSheetId="0">'4.ZR '!$A$1:$O$539</definedName>
    <definedName name="Z_39FD50E0_9911_4D32_8842_5A58F13D310F_.wvu.Cols" localSheetId="0" hidden="1">'4.ZR '!$C:$J,'4.ZR '!$M:$M,'4.ZR '!#REF!</definedName>
    <definedName name="Z_39FD50E0_9911_4D32_8842_5A58F13D310F_.wvu.PrintTitles" localSheetId="0" hidden="1">'4.ZR '!$8:$9</definedName>
    <definedName name="Z_39FD50E0_9911_4D32_8842_5A58F13D310F_.wvu.Rows" localSheetId="0" hidden="1">'4.ZR '!$369:$369</definedName>
  </definedNames>
  <calcPr fullCalcOnLoad="1"/>
</workbook>
</file>

<file path=xl/sharedStrings.xml><?xml version="1.0" encoding="utf-8"?>
<sst xmlns="http://schemas.openxmlformats.org/spreadsheetml/2006/main" count="567" uniqueCount="353">
  <si>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</si>
  <si>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</si>
  <si>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</si>
  <si>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</si>
  <si>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</si>
  <si>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</si>
  <si>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</si>
  <si>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</si>
  <si>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</si>
  <si>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</si>
  <si>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</si>
  <si>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</si>
  <si>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</si>
  <si>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</si>
  <si>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</si>
  <si>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</si>
  <si>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</si>
  <si>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</si>
  <si>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</si>
  <si>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</si>
  <si>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</si>
  <si>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</si>
  <si>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</si>
  <si>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</si>
  <si>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</si>
  <si>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</si>
  <si>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</si>
  <si>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</si>
  <si>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</si>
  <si>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</si>
  <si>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</si>
  <si>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</si>
  <si>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</si>
  <si>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</si>
  <si>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>kapitálové příjmy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</si>
  <si>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</si>
  <si>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</si>
  <si>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</si>
  <si>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</si>
  <si>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</si>
  <si>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</si>
  <si>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</si>
  <si>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</si>
  <si>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</si>
  <si>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</si>
  <si>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</si>
  <si>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</si>
  <si>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</si>
  <si>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</si>
  <si>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</si>
  <si>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</si>
  <si>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</si>
  <si>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</si>
  <si>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</si>
  <si>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</si>
  <si>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</si>
  <si>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</si>
  <si>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</si>
  <si>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</si>
  <si>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</si>
  <si>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</si>
  <si>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</si>
  <si>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</si>
  <si>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</si>
  <si>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</si>
  <si>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</si>
  <si>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</si>
  <si>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</si>
  <si>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</si>
  <si>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</si>
  <si>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</si>
  <si>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</si>
  <si>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</si>
  <si>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</si>
  <si>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</si>
  <si>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</si>
  <si>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</si>
  <si>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</si>
  <si>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</si>
  <si>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</si>
  <si>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</si>
  <si>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inspekce posk.soc.služeb - SR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</si>
  <si>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</si>
  <si>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</si>
  <si>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</si>
  <si>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</si>
  <si>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</si>
  <si>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</si>
  <si>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</si>
  <si>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</si>
  <si>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>grantové a dílčí programy a samostat.projekty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</si>
  <si>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</si>
  <si>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</si>
  <si>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</si>
  <si>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</si>
  <si>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</si>
  <si>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</si>
  <si>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</si>
  <si>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</si>
  <si>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</si>
  <si>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</si>
  <si>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</si>
  <si>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</si>
  <si>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</si>
  <si>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</si>
  <si>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</si>
  <si>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obnova silničního majetku - z půjčky SFDI</t>
  </si>
  <si>
    <t>ROP silnice a mosty - dotace z RRRS SV</t>
  </si>
  <si>
    <t>komunikace v rámci průmyslové zóny - SR</t>
  </si>
  <si>
    <t xml:space="preserve">kap. 11 - cestovní ruch </t>
  </si>
  <si>
    <t>kap. 12 - správa majetku kraje</t>
  </si>
  <si>
    <t>soustředěné pojištění majetku kraje</t>
  </si>
  <si>
    <t>kap. 13 - evropská integrace</t>
  </si>
  <si>
    <t>neinv.transfer Regionální radě regionu soudržnosti SV</t>
  </si>
  <si>
    <t>GS 3.2-Integr.obtíž.zaměst.skupin obyv.-SR</t>
  </si>
  <si>
    <t>GS 4.1.2-Medializace turistické nabídky - SR</t>
  </si>
  <si>
    <t>GS 4.2.2-Moder.a rozš.ubytovacích kapacit KHK-SR</t>
  </si>
  <si>
    <t>program obnovy venkova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</si>
  <si>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</si>
  <si>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</si>
  <si>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</si>
  <si>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</si>
  <si>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</si>
  <si>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regionální rozvoj</t>
  </si>
  <si>
    <t>inv.transfer Regionální radě regionu soudržnosti SV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</si>
  <si>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</si>
  <si>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</si>
  <si>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</si>
  <si>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</si>
  <si>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</si>
  <si>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</si>
  <si>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zpřístupnění DVPP ZŠ 1.st. - SR</t>
  </si>
  <si>
    <t>podp.výuky méně vyuč.cizích jazyků - SR</t>
  </si>
  <si>
    <t>podpora čtenářství v zákl.školách - SR</t>
  </si>
  <si>
    <t>fin.asistentů pedagoga - SR</t>
  </si>
  <si>
    <t>zvýšení nenárokových složek platů pedagogů - SR</t>
  </si>
  <si>
    <t>kompenzační pomůcky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</si>
  <si>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</si>
  <si>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</si>
  <si>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</si>
  <si>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</si>
  <si>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</si>
  <si>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</si>
  <si>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</si>
  <si>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</si>
  <si>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</si>
  <si>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</si>
  <si>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</si>
  <si>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</si>
  <si>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koncepce prev.kriminality na r.2009-2011 v KHK-SR</t>
  </si>
  <si>
    <t>zařízení pro děti vyžadující okamžitou pomoc - SR</t>
  </si>
  <si>
    <t>kap. 39 - regionální rozvoj</t>
  </si>
  <si>
    <t>vyhledávání budov se zvýš.výskytem radonu - SR</t>
  </si>
  <si>
    <t>protiradonová opatření - SR</t>
  </si>
  <si>
    <t>výdaje jednotek sborů dobrovolných hasičů obcí-SR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</si>
  <si>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</si>
  <si>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</si>
  <si>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</si>
  <si>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</si>
  <si>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</si>
  <si>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</si>
  <si>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</si>
  <si>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</si>
  <si>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</si>
  <si>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</si>
  <si>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</si>
  <si>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</si>
  <si>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</si>
  <si>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</si>
  <si>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</si>
  <si>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</si>
  <si>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</si>
  <si>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</si>
  <si>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</si>
  <si>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</si>
  <si>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</si>
  <si>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</si>
  <si>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</si>
  <si>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</si>
  <si>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</si>
  <si>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</si>
  <si>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</si>
  <si>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</si>
  <si>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</si>
  <si>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</si>
  <si>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</si>
  <si>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</si>
  <si>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</si>
  <si>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</si>
  <si>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</si>
  <si>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</si>
  <si>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</si>
  <si>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</si>
  <si>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</si>
  <si>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</si>
  <si>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</si>
  <si>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</si>
  <si>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</si>
  <si>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posílení úrovně odměňování nepedagog.prac. - 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</si>
  <si>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</si>
  <si>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</si>
  <si>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</si>
  <si>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</si>
  <si>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 xml:space="preserve">  z toho: Centrum EP, PO</t>
  </si>
  <si>
    <t xml:space="preserve">  v tom pro odvětví: životní prostředí a zemědělství</t>
  </si>
  <si>
    <t>OPVK-rozvoj kompet.říd.prac.škol v KHK - SR</t>
  </si>
  <si>
    <t>OP RLZ 3.3,5.1,5.2 - Zab.předfin.koneč.uživ. - SR</t>
  </si>
  <si>
    <t>GG VK 3.2 - Podpora nabídky dalšího vzdělávání - SR</t>
  </si>
  <si>
    <t>Projekt technické pomoci OPPS ČR-PR 2007-2013 - SR</t>
  </si>
  <si>
    <t>podpora výuky cizích jazyků - SR</t>
  </si>
  <si>
    <t>příspěvek PO na provoz - Centrum EP</t>
  </si>
  <si>
    <t>projekt Regionální inst.ambul.psychos.sl.- RRRS SV</t>
  </si>
  <si>
    <t xml:space="preserve">  z MDO</t>
  </si>
  <si>
    <t>úhrada ztráty ve veřejné železniční os.dopravě - SR</t>
  </si>
  <si>
    <t xml:space="preserve">OP LZZ Služby soc.prevence v KHK - SR </t>
  </si>
  <si>
    <t>investiční transfery PO - Centrum EP</t>
  </si>
  <si>
    <t>příjmy z pronájmu majetku - odv.zdravotnictví</t>
  </si>
  <si>
    <t>kap. 49 - Regionální inovační fond KHK</t>
  </si>
  <si>
    <t>posílení plat.úrovně pedag.prac.s VŠ vzděl. - SR</t>
  </si>
  <si>
    <t>OPVK 1.4 - zlepšení podm.pro vzděl.na ZŠ - SR</t>
  </si>
  <si>
    <t xml:space="preserve">GG1.3.OPVK-Další vzděl.prac.škol a zař. - SR </t>
  </si>
  <si>
    <t xml:space="preserve">GG 1.1.OPVK-Zvyšování kvality ve vzděl.- SR </t>
  </si>
  <si>
    <t>GP - rovné příležitosti žen a mužů na KÚ KHK - SR</t>
  </si>
  <si>
    <t>OP LZZ - vzdělávání v eGON centrech krajů - SR</t>
  </si>
  <si>
    <t>OPVK - cizí jazyky v podm.Společ.evrop.refer.rámce-SR</t>
  </si>
  <si>
    <t>nedaňové příjmy odvětví zdravotnictví</t>
  </si>
  <si>
    <t>GG OPVK-TP-Vzd.pro konkurenceschopnost-SR r.2010</t>
  </si>
  <si>
    <t xml:space="preserve">OPLZZ Vzd.poskyt.a zadavat. soc.sl.KHK IV.- SR </t>
  </si>
  <si>
    <t xml:space="preserve">OP LZZ Rozvoj dostup.a kvality soc.sl.v KHK II - SR </t>
  </si>
  <si>
    <t>OP LZZ Podpora soc.integr.obyv.vylouč.lok.v KHK II - SR</t>
  </si>
  <si>
    <t>OP LZZ Podpora soc.integr.obyv.vylouč.lok.v KHK - SR r.2010</t>
  </si>
  <si>
    <t>ROP silnice a mosty - dotace z RRRS SV 2010</t>
  </si>
  <si>
    <t>výdaje na sčítání lidu, domů a bytů</t>
  </si>
  <si>
    <t>OPVK-spolupr.VOŠ,VŠ a zaměst.při modern.vzděl.progr.-SR</t>
  </si>
  <si>
    <t xml:space="preserve">GG 1.2.OPVK-Rovné příl.dětí a ž.se sp.potř. - SR </t>
  </si>
  <si>
    <t xml:space="preserve">OP VK 5.1. - Technické zajištění, hodnotitelé,mzdy - SR 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</si>
  <si>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</si>
  <si>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</si>
  <si>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</si>
  <si>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>OP - přeshraniční spolupráce - SR</t>
  </si>
  <si>
    <t xml:space="preserve">OP VK 5. 2. - Publicita a informovanost - SR </t>
  </si>
  <si>
    <t xml:space="preserve">OP VK 5.3. - Podpora tvorby a přípravy projektů - SR </t>
  </si>
  <si>
    <t>prům.zóna Solnice-Kvasiny - SR</t>
  </si>
  <si>
    <t>projekty RRRS SV</t>
  </si>
  <si>
    <t xml:space="preserve">neinvestiční půjčené prostředky 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</si>
  <si>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</si>
  <si>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</si>
  <si>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</si>
  <si>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cestovní ruch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</si>
  <si>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</si>
  <si>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</si>
  <si>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</si>
  <si>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</si>
  <si>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</si>
  <si>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</si>
  <si>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</si>
  <si>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 xml:space="preserve">OP VK 5.1. - Technická pomoc - hodnocení projektů 2-SR </t>
  </si>
  <si>
    <t>grant. a dílčí progr.a samost.projekty - odv.život.prostř.a zem.</t>
  </si>
  <si>
    <t>zapojení zůstatku sociálního fondu z min.let</t>
  </si>
  <si>
    <t>zajiš.podm.zákl.vzděl.nezlet.azyl.na území ČR - SR</t>
  </si>
  <si>
    <t>část.kompenz.výdajů vzniklých při real.společ.maturit-SR</t>
  </si>
  <si>
    <t>kontaktní centrum a terénní služby na malém městě-SR</t>
  </si>
  <si>
    <t xml:space="preserve">  z MŽP</t>
  </si>
  <si>
    <t xml:space="preserve">  z SFŽP</t>
  </si>
  <si>
    <t>podpora činnosti informačních center - SR</t>
  </si>
  <si>
    <t>LABEL - transfery ze zahraničí</t>
  </si>
  <si>
    <t>OP LZZ - zvýš.kvality řízení v úřadech úz.veř.spr.-SR</t>
  </si>
  <si>
    <t xml:space="preserve">ROP silnice a mosty - vratka dotace RRRS SV </t>
  </si>
  <si>
    <t>dotace prostřednictvím čerpacích účtů - SR</t>
  </si>
  <si>
    <t>Dobrovolnictví na Náchodsku - SR</t>
  </si>
  <si>
    <t xml:space="preserve">OPVK-zvyš.kval.vzděl.zlepš.říd.procesů ve školách-SR </t>
  </si>
  <si>
    <t>česko - polský inovační portál - SR</t>
  </si>
  <si>
    <t>neinvestiční dotace Krajskému ředitelství policie KHK</t>
  </si>
  <si>
    <t>neinvestiční dar Krajskému ředitelství policie KHK</t>
  </si>
  <si>
    <t>investiční dotace Krajskému ředitelství policie KHK</t>
  </si>
  <si>
    <t>nedaňové příjmy FRR - odvětví školství</t>
  </si>
  <si>
    <t>grant. a dílčí progr.a samost.projekty - odv.cestovní ruch</t>
  </si>
  <si>
    <t>inkluz.vzděl.a vzděl.žáků se sociokult.znevýhodněním - SR</t>
  </si>
  <si>
    <t>ukončování střed.vzděl.mat.zk.v podzimním zkuš.obd. - SR</t>
  </si>
  <si>
    <t>pokusné ověř. inter.a inkluz.modelu škol pro spec.ped.a psych.-SR</t>
  </si>
  <si>
    <t>program Zelená úsporám - 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</si>
  <si>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</si>
  <si>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</si>
  <si>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</si>
  <si>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</si>
  <si>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</si>
  <si>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NA ROK 2012</t>
  </si>
  <si>
    <t>komunikace v rámci průmyslové zóny - ost. kapit. výdaje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</si>
  <si>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</si>
  <si>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</si>
  <si>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</si>
  <si>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</si>
  <si>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OPVK-rozvoj kompet.říd.prac.škol v KHK - SR 2011</t>
  </si>
  <si>
    <t>OPVK-zvyš.kval.vzděl.zlepš.říd.procesů ve školách-SR 2011</t>
  </si>
  <si>
    <t>česko - polský inovační portál - SR 2011</t>
  </si>
  <si>
    <t>GG VK 3.2 - Podpora nabídky dalšího vzdělávání - SR 2011</t>
  </si>
  <si>
    <t>Projekt technické pomoci OPPS ČR-PR 2007-2013 - SR 2011</t>
  </si>
  <si>
    <t>OP VK 5.1. - Technická pomoc - hodnocení projektů 2-SR 2011</t>
  </si>
  <si>
    <t>OP VK 5.1. - Technické zajištění, hodnotitelé,mzdy - SR 2011</t>
  </si>
  <si>
    <t>OP VK 5. 2. - Publicita a informovanost - SR 2011</t>
  </si>
  <si>
    <t>OP VK 5.3. - Podpora tvorby a přípravy projektů - SR 2011</t>
  </si>
  <si>
    <t>GG 1.1.OPVK-Zvyšování kvality ve vzděl.- SR  2011</t>
  </si>
  <si>
    <t>GG 1.2.OPVK-Rovné příl.dětí a ž.se sp.potř.-SR 2011</t>
  </si>
  <si>
    <t>GG1.3.OPVK-Další vzděl.prac.škol a zař. - SR 2011</t>
  </si>
  <si>
    <t>GG 1.1.OPVK-Zvyšování kvality ve vzdělávání - SR r.2011</t>
  </si>
  <si>
    <t>GG1.3.OPVK-Další vzděl.prac.škol a zař. - SR r.2011</t>
  </si>
  <si>
    <t>2GG 1.1.OPVK-Zvyšování kvality ve vzděl.II. - SR 2011</t>
  </si>
  <si>
    <t>2GG 1.2.OPVK-Rovné příl.dětí a ž.se sp.potř. II. - SR 2011</t>
  </si>
  <si>
    <t>2GG1.3.OPVK-Další vzděl.prac.škol a zař.  II. - SR 2011</t>
  </si>
  <si>
    <t>GG 1.2.OPVK-Rovné přílež.dětí a ž.se sp.potř.- SR r.2011</t>
  </si>
  <si>
    <t>OPLZZ Vzd.poskyt.a zadavat. soc.sl.KHK IV.- SR r.2011</t>
  </si>
  <si>
    <t>OP LZZ Rozvoj dostup.a kvality soc.sl.v KHK II - SR r.2011</t>
  </si>
  <si>
    <t>OP LZZ Služby soc.prevence v KHK - SR r. 2011</t>
  </si>
  <si>
    <t>OP LZZ Podpora soc.integr.obyv.vylouč.lok.v KHK II - SR r.2011</t>
  </si>
  <si>
    <t>GP - rovné příležitosti žen a mužů na KÚ KHK - SR 2011</t>
  </si>
  <si>
    <t>OP LZZ - vzdělávání v eGON centrech krajů - SR 2011</t>
  </si>
  <si>
    <t>OP LZZ - zvýš.kvality řízení v úřadech úz.veř.spr.-SR 2011</t>
  </si>
  <si>
    <t>majetková účast v a.s.</t>
  </si>
  <si>
    <t>investiční transfery a.s.</t>
  </si>
  <si>
    <t>OPVK 1.5 - zlepšení podm.pro vzděl.na SŠ - SR</t>
  </si>
  <si>
    <t>excelence středních škol - SR</t>
  </si>
  <si>
    <t>krajské dotační programy</t>
  </si>
  <si>
    <t>krajské dotační programy - odvětví regionální rozvoj</t>
  </si>
  <si>
    <t>projekt Digitální planetárium v HK - SR</t>
  </si>
  <si>
    <t xml:space="preserve">  z MZdr.</t>
  </si>
  <si>
    <t>národní program zdraví - SR</t>
  </si>
  <si>
    <t>problematika HIV v rámci kontaktního centra - SR</t>
  </si>
  <si>
    <t>prům. zóna Vrchlabí - ostatní kapitálové výdaje</t>
  </si>
  <si>
    <t>prům. zóna Solnice-Kvasiny - ostatní kapitálové výdaje</t>
  </si>
  <si>
    <t>krajské dotační programy - odvětví životní prostředí a zem.</t>
  </si>
  <si>
    <t>investiční účelový transfer obci Synkov-Slemeno</t>
  </si>
  <si>
    <t xml:space="preserve">neinvestiční transfery obcím </t>
  </si>
  <si>
    <t>podpora soc.znevýh.romských žáků SŠ a studentů VOŠ - SR</t>
  </si>
  <si>
    <t>zavedení povinnosti PAP do centr.systému účet.inform.-SR</t>
  </si>
  <si>
    <t>výdaje na přípravnou fázi volby prezidenta ČR - SR</t>
  </si>
  <si>
    <t>bezpl.příprava k začlenění do zákl.vzděl.osob mimo EU - SR</t>
  </si>
  <si>
    <t>bezpl.výuka přizpůsobená žákům cizinců 3. zemí - SR</t>
  </si>
  <si>
    <t>OPVK - E-lerning a kreditní systém do VOŠ - SR</t>
  </si>
  <si>
    <t>OP LZZ - rozvoj lektorského týmu KÚ KHK - SR</t>
  </si>
  <si>
    <t xml:space="preserve">2GG 1.1.OPVK-Zvyšování kvality ve vzděl.II. - SR </t>
  </si>
  <si>
    <t xml:space="preserve">2GG 1.2.OPVK-Rovné příl.dětí a ž.se sp.potř. II. - SR </t>
  </si>
  <si>
    <t xml:space="preserve">2GG1.3.OPVK-Další vzděl.prac.škol a zař.  II. - SR </t>
  </si>
  <si>
    <t>2TP OP VK 5.1. - Administrace GG OPVK II. - SR</t>
  </si>
  <si>
    <t>2TP OP VK 5.2. - Publicita a informovanost II. - SR</t>
  </si>
  <si>
    <t>2TP OP VK 5.3. - Podpora tvorby a přípravy projektů II. - SR</t>
  </si>
  <si>
    <t>investiční transfer s.r.o. OREDO</t>
  </si>
  <si>
    <t>nedaňové příjmy odvětví regionální rozvoj</t>
  </si>
  <si>
    <t>rezerva</t>
  </si>
  <si>
    <t>investiční transfery obcím - Sobotka</t>
  </si>
  <si>
    <t>podpora Národní sítě EVVO - SR</t>
  </si>
  <si>
    <t>odst.hav.stavu pláště a zatepl.DO Svatý Petr, Šp.Mlýn - SR</t>
  </si>
  <si>
    <t>podpora význ.a mimoř.kulturních akcí - SR</t>
  </si>
  <si>
    <t xml:space="preserve">  pd DSO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</si>
</sst>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thin"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9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0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7" fillId="0" borderId="10" xfId="38" applyNumberFormat="1" applyFont="1" applyBorder="1" applyAlignment="1">
      <alignment/>
    </xf>
    <xf numFmtId="166" fontId="3" fillId="0" borderId="14" xfId="38" applyNumberFormat="1" applyFont="1" applyBorder="1" applyAlignment="1">
      <alignment vertical="center"/>
    </xf>
    <xf numFmtId="166" fontId="3" fillId="0" borderId="15" xfId="38" applyNumberFormat="1" applyFont="1" applyBorder="1" applyAlignment="1">
      <alignment vertical="center"/>
    </xf>
    <xf numFmtId="166" fontId="4" fillId="0" borderId="14" xfId="38" applyNumberFormat="1" applyFont="1" applyBorder="1" applyAlignment="1">
      <alignment vertical="center"/>
    </xf>
    <xf numFmtId="166" fontId="4" fillId="0" borderId="15" xfId="38" applyNumberFormat="1" applyFont="1" applyBorder="1" applyAlignment="1">
      <alignment vertical="center"/>
    </xf>
    <xf numFmtId="166" fontId="2" fillId="0" borderId="14" xfId="38" applyNumberFormat="1" applyFont="1" applyBorder="1" applyAlignment="1">
      <alignment vertical="center"/>
    </xf>
    <xf numFmtId="166" fontId="2" fillId="0" borderId="15" xfId="38" applyNumberFormat="1" applyFont="1" applyBorder="1" applyAlignment="1">
      <alignment vertical="center"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0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4" fillId="0" borderId="24" xfId="38" applyNumberFormat="1" applyFont="1" applyBorder="1" applyAlignment="1">
      <alignment vertical="center"/>
    </xf>
    <xf numFmtId="166" fontId="2" fillId="0" borderId="24" xfId="38" applyNumberFormat="1" applyFont="1" applyBorder="1" applyAlignment="1">
      <alignment vertical="center"/>
    </xf>
    <xf numFmtId="166" fontId="2" fillId="0" borderId="20" xfId="38" applyNumberFormat="1" applyFont="1" applyBorder="1" applyAlignment="1">
      <alignment vertical="center"/>
    </xf>
    <xf numFmtId="165" fontId="4" fillId="0" borderId="18" xfId="38" applyNumberFormat="1" applyFont="1" applyBorder="1" applyAlignment="1">
      <alignment horizontal="center"/>
    </xf>
    <xf numFmtId="165" fontId="4" fillId="0" borderId="16" xfId="38" applyNumberFormat="1" applyFont="1" applyBorder="1" applyAlignment="1">
      <alignment horizontal="center"/>
    </xf>
    <xf numFmtId="165" fontId="4" fillId="0" borderId="17" xfId="38" applyNumberFormat="1" applyFont="1" applyBorder="1" applyAlignment="1">
      <alignment horizontal="center"/>
    </xf>
    <xf numFmtId="166" fontId="4" fillId="0" borderId="20" xfId="38" applyNumberFormat="1" applyFont="1" applyBorder="1" applyAlignment="1">
      <alignment/>
    </xf>
    <xf numFmtId="166" fontId="4" fillId="0" borderId="19" xfId="38" applyNumberFormat="1" applyFont="1" applyBorder="1" applyAlignment="1">
      <alignment/>
    </xf>
    <xf numFmtId="166" fontId="0" fillId="0" borderId="20" xfId="38" applyNumberFormat="1" applyFont="1" applyBorder="1" applyAlignment="1">
      <alignment/>
    </xf>
    <xf numFmtId="166" fontId="0" fillId="0" borderId="19" xfId="38" applyNumberFormat="1" applyFont="1" applyBorder="1" applyAlignment="1">
      <alignment/>
    </xf>
    <xf numFmtId="166" fontId="4" fillId="0" borderId="20" xfId="38" applyNumberFormat="1" applyFont="1" applyBorder="1" applyAlignment="1">
      <alignment/>
    </xf>
    <xf numFmtId="166" fontId="4" fillId="0" borderId="19" xfId="38" applyNumberFormat="1" applyFont="1" applyBorder="1" applyAlignment="1">
      <alignment/>
    </xf>
    <xf numFmtId="166" fontId="0" fillId="0" borderId="25" xfId="38" applyNumberFormat="1" applyFont="1" applyBorder="1" applyAlignment="1">
      <alignment/>
    </xf>
    <xf numFmtId="166" fontId="0" fillId="0" borderId="26" xfId="38" applyNumberFormat="1" applyFont="1" applyBorder="1" applyAlignment="1">
      <alignment/>
    </xf>
    <xf numFmtId="166" fontId="2" fillId="0" borderId="22" xfId="38" applyNumberFormat="1" applyFont="1" applyBorder="1" applyAlignment="1">
      <alignment vertical="center"/>
    </xf>
    <xf numFmtId="166" fontId="2" fillId="0" borderId="21" xfId="38" applyNumberFormat="1" applyFont="1" applyBorder="1" applyAlignment="1">
      <alignment vertical="center"/>
    </xf>
    <xf numFmtId="166" fontId="6" fillId="0" borderId="20" xfId="38" applyNumberFormat="1" applyFont="1" applyBorder="1" applyAlignment="1">
      <alignment/>
    </xf>
    <xf numFmtId="166" fontId="6" fillId="0" borderId="19" xfId="38" applyNumberFormat="1" applyFont="1" applyBorder="1" applyAlignment="1">
      <alignment/>
    </xf>
    <xf numFmtId="166" fontId="6" fillId="0" borderId="20" xfId="38" applyNumberFormat="1" applyFont="1" applyBorder="1" applyAlignment="1">
      <alignment/>
    </xf>
    <xf numFmtId="166" fontId="6" fillId="0" borderId="19" xfId="38" applyNumberFormat="1" applyFont="1" applyBorder="1" applyAlignment="1">
      <alignment/>
    </xf>
    <xf numFmtId="166" fontId="0" fillId="0" borderId="27" xfId="38" applyNumberFormat="1" applyFont="1" applyBorder="1" applyAlignment="1">
      <alignment/>
    </xf>
    <xf numFmtId="166" fontId="7" fillId="0" borderId="19" xfId="38" applyNumberFormat="1" applyFont="1" applyBorder="1" applyAlignment="1">
      <alignment/>
    </xf>
    <xf numFmtId="166" fontId="4" fillId="0" borderId="28" xfId="38" applyNumberFormat="1" applyFont="1" applyBorder="1" applyAlignment="1">
      <alignment/>
    </xf>
    <xf numFmtId="165" fontId="4" fillId="0" borderId="20" xfId="38" applyNumberFormat="1" applyFont="1" applyBorder="1" applyAlignment="1">
      <alignment horizontal="center"/>
    </xf>
    <xf numFmtId="166" fontId="0" fillId="0" borderId="20" xfId="38" applyNumberFormat="1" applyFont="1" applyFill="1" applyBorder="1" applyAlignment="1">
      <alignment/>
    </xf>
    <xf numFmtId="3" fontId="4" fillId="0" borderId="29" xfId="0" applyFont="1" applyBorder="1" applyAlignment="1">
      <alignment/>
    </xf>
    <xf numFmtId="3" fontId="5" fillId="0" borderId="29" xfId="0" applyFont="1" applyBorder="1" applyAlignment="1">
      <alignment/>
    </xf>
    <xf numFmtId="3" fontId="0" fillId="0" borderId="29" xfId="0" applyFont="1" applyBorder="1" applyAlignment="1">
      <alignment/>
    </xf>
    <xf numFmtId="3" fontId="0" fillId="0" borderId="29" xfId="0" applyBorder="1" applyAlignment="1">
      <alignment/>
    </xf>
    <xf numFmtId="3" fontId="4" fillId="0" borderId="29" xfId="0" applyFont="1" applyBorder="1" applyAlignment="1">
      <alignment/>
    </xf>
    <xf numFmtId="3" fontId="5" fillId="0" borderId="29" xfId="0" applyFont="1" applyBorder="1" applyAlignment="1">
      <alignment/>
    </xf>
    <xf numFmtId="3" fontId="0" fillId="0" borderId="30" xfId="0" applyBorder="1" applyAlignment="1">
      <alignment/>
    </xf>
    <xf numFmtId="3" fontId="0" fillId="0" borderId="29" xfId="0" applyFont="1" applyBorder="1" applyAlignment="1">
      <alignment/>
    </xf>
    <xf numFmtId="3" fontId="2" fillId="0" borderId="31" xfId="0" applyFont="1" applyBorder="1" applyAlignment="1">
      <alignment vertical="center"/>
    </xf>
    <xf numFmtId="3" fontId="6" fillId="0" borderId="29" xfId="0" applyFont="1" applyBorder="1" applyAlignment="1">
      <alignment/>
    </xf>
    <xf numFmtId="3" fontId="6" fillId="0" borderId="29" xfId="0" applyFont="1" applyBorder="1" applyAlignment="1">
      <alignment/>
    </xf>
    <xf numFmtId="3" fontId="0" fillId="0" borderId="30" xfId="0" applyFont="1" applyBorder="1" applyAlignment="1">
      <alignment/>
    </xf>
    <xf numFmtId="3" fontId="7" fillId="0" borderId="29" xfId="0" applyFont="1" applyBorder="1" applyAlignment="1">
      <alignment/>
    </xf>
    <xf numFmtId="3" fontId="7" fillId="0" borderId="30" xfId="0" applyFont="1" applyBorder="1" applyAlignment="1">
      <alignment/>
    </xf>
    <xf numFmtId="3" fontId="0" fillId="0" borderId="30" xfId="0" applyFont="1" applyBorder="1" applyAlignment="1">
      <alignment/>
    </xf>
    <xf numFmtId="3" fontId="4" fillId="0" borderId="29" xfId="0" applyFont="1" applyFill="1" applyBorder="1" applyAlignment="1">
      <alignment/>
    </xf>
    <xf numFmtId="3" fontId="0" fillId="0" borderId="29" xfId="0" applyFill="1" applyBorder="1" applyAlignment="1">
      <alignment/>
    </xf>
    <xf numFmtId="3" fontId="4" fillId="0" borderId="31" xfId="0" applyFont="1" applyBorder="1" applyAlignment="1">
      <alignment/>
    </xf>
    <xf numFmtId="3" fontId="3" fillId="0" borderId="32" xfId="0" applyFont="1" applyBorder="1" applyAlignment="1">
      <alignment vertical="center"/>
    </xf>
    <xf numFmtId="3" fontId="4" fillId="0" borderId="32" xfId="0" applyFont="1" applyBorder="1" applyAlignment="1">
      <alignment vertical="center"/>
    </xf>
    <xf numFmtId="3" fontId="2" fillId="0" borderId="32" xfId="0" applyFont="1" applyBorder="1" applyAlignment="1">
      <alignment vertical="center"/>
    </xf>
    <xf numFmtId="3" fontId="2" fillId="0" borderId="33" xfId="0" applyFont="1" applyBorder="1" applyAlignment="1">
      <alignment vertical="center"/>
    </xf>
    <xf numFmtId="3" fontId="2" fillId="0" borderId="29" xfId="0" applyFont="1" applyBorder="1" applyAlignment="1">
      <alignment vertical="center"/>
    </xf>
    <xf numFmtId="3" fontId="0" fillId="0" borderId="29" xfId="0" applyFont="1" applyBorder="1" applyAlignment="1">
      <alignment vertical="center"/>
    </xf>
    <xf numFmtId="3" fontId="0" fillId="0" borderId="29" xfId="0" applyBorder="1" applyAlignment="1">
      <alignment vertical="center"/>
    </xf>
    <xf numFmtId="3" fontId="7" fillId="0" borderId="29" xfId="0" applyFont="1" applyBorder="1" applyAlignment="1">
      <alignment/>
    </xf>
    <xf numFmtId="3" fontId="4" fillId="0" borderId="29" xfId="0" applyFont="1" applyBorder="1" applyAlignment="1">
      <alignment horizontal="left" vertical="center"/>
    </xf>
    <xf numFmtId="165" fontId="4" fillId="0" borderId="19" xfId="38" applyNumberFormat="1" applyFont="1" applyBorder="1" applyAlignment="1">
      <alignment horizontal="center"/>
    </xf>
    <xf numFmtId="165" fontId="4" fillId="0" borderId="22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1" xfId="38" applyNumberFormat="1" applyFont="1" applyBorder="1" applyAlignment="1">
      <alignment horizontal="center"/>
    </xf>
    <xf numFmtId="166" fontId="4" fillId="0" borderId="34" xfId="38" applyNumberFormat="1" applyFont="1" applyBorder="1" applyAlignment="1">
      <alignment vertical="center"/>
    </xf>
    <xf numFmtId="166" fontId="3" fillId="0" borderId="35" xfId="38" applyNumberFormat="1" applyFont="1" applyBorder="1" applyAlignment="1">
      <alignment vertical="center"/>
    </xf>
    <xf numFmtId="166" fontId="8" fillId="0" borderId="19" xfId="38" applyNumberFormat="1" applyFont="1" applyBorder="1" applyAlignment="1">
      <alignment vertical="center"/>
    </xf>
    <xf numFmtId="3" fontId="44" fillId="0" borderId="0" xfId="0" applyFont="1" applyAlignment="1">
      <alignment/>
    </xf>
    <xf numFmtId="166" fontId="4" fillId="0" borderId="27" xfId="38" applyNumberFormat="1" applyFont="1" applyBorder="1" applyAlignment="1">
      <alignment/>
    </xf>
    <xf numFmtId="166" fontId="4" fillId="0" borderId="36" xfId="38" applyNumberFormat="1" applyFont="1" applyBorder="1" applyAlignment="1">
      <alignment/>
    </xf>
    <xf numFmtId="166" fontId="4" fillId="0" borderId="37" xfId="38" applyNumberFormat="1" applyFont="1" applyBorder="1" applyAlignment="1">
      <alignment/>
    </xf>
    <xf numFmtId="167" fontId="0" fillId="0" borderId="0" xfId="0" applyNumberFormat="1" applyAlignment="1">
      <alignment/>
    </xf>
    <xf numFmtId="166" fontId="4" fillId="0" borderId="13" xfId="38" applyNumberFormat="1" applyFont="1" applyBorder="1" applyAlignment="1">
      <alignment/>
    </xf>
    <xf numFmtId="166" fontId="6" fillId="0" borderId="13" xfId="38" applyNumberFormat="1" applyFont="1" applyBorder="1" applyAlignment="1">
      <alignment/>
    </xf>
    <xf numFmtId="166" fontId="3" fillId="0" borderId="38" xfId="38" applyNumberFormat="1" applyFont="1" applyBorder="1" applyAlignment="1">
      <alignment vertical="center"/>
    </xf>
    <xf numFmtId="166" fontId="2" fillId="0" borderId="38" xfId="38" applyNumberFormat="1" applyFont="1" applyBorder="1" applyAlignment="1">
      <alignment vertical="center"/>
    </xf>
    <xf numFmtId="166" fontId="3" fillId="0" borderId="13" xfId="38" applyNumberFormat="1" applyFont="1" applyBorder="1" applyAlignment="1">
      <alignment vertical="center"/>
    </xf>
    <xf numFmtId="166" fontId="3" fillId="0" borderId="39" xfId="38" applyNumberFormat="1" applyFont="1" applyBorder="1" applyAlignment="1">
      <alignment vertical="center"/>
    </xf>
    <xf numFmtId="166" fontId="2" fillId="0" borderId="40" xfId="38" applyNumberFormat="1" applyFont="1" applyBorder="1" applyAlignment="1">
      <alignment vertical="center"/>
    </xf>
    <xf numFmtId="3" fontId="0" fillId="0" borderId="31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166" fontId="4" fillId="0" borderId="28" xfId="38" applyNumberFormat="1" applyFont="1" applyBorder="1" applyAlignment="1">
      <alignment/>
    </xf>
    <xf numFmtId="166" fontId="6" fillId="0" borderId="28" xfId="38" applyNumberFormat="1" applyFont="1" applyBorder="1" applyAlignment="1">
      <alignment/>
    </xf>
    <xf numFmtId="166" fontId="3" fillId="0" borderId="41" xfId="38" applyNumberFormat="1" applyFont="1" applyBorder="1" applyAlignment="1">
      <alignment vertical="center"/>
    </xf>
    <xf numFmtId="166" fontId="2" fillId="0" borderId="41" xfId="38" applyNumberFormat="1" applyFont="1" applyBorder="1" applyAlignment="1">
      <alignment vertical="center"/>
    </xf>
    <xf numFmtId="166" fontId="3" fillId="0" borderId="28" xfId="38" applyNumberFormat="1" applyFont="1" applyBorder="1" applyAlignment="1">
      <alignment vertical="center"/>
    </xf>
    <xf numFmtId="166" fontId="3" fillId="0" borderId="42" xfId="38" applyNumberFormat="1" applyFont="1" applyBorder="1" applyAlignment="1">
      <alignment vertical="center"/>
    </xf>
    <xf numFmtId="3" fontId="45" fillId="0" borderId="0" xfId="0" applyFont="1" applyAlignment="1">
      <alignment/>
    </xf>
    <xf numFmtId="3" fontId="7" fillId="0" borderId="27" xfId="0" applyFont="1" applyBorder="1" applyAlignment="1">
      <alignment/>
    </xf>
    <xf numFmtId="166" fontId="0" fillId="0" borderId="28" xfId="38" applyNumberFormat="1" applyFont="1" applyBorder="1" applyAlignment="1">
      <alignment/>
    </xf>
    <xf numFmtId="165" fontId="4" fillId="0" borderId="23" xfId="38" applyNumberFormat="1" applyFont="1" applyBorder="1" applyAlignment="1">
      <alignment horizontal="center"/>
    </xf>
    <xf numFmtId="165" fontId="4" fillId="0" borderId="42" xfId="38" applyNumberFormat="1" applyFont="1" applyBorder="1" applyAlignment="1">
      <alignment horizontal="center"/>
    </xf>
    <xf numFmtId="166" fontId="2" fillId="0" borderId="42" xfId="38" applyNumberFormat="1" applyFont="1" applyBorder="1" applyAlignment="1">
      <alignment vertical="center"/>
    </xf>
    <xf numFmtId="166" fontId="6" fillId="0" borderId="28" xfId="38" applyNumberFormat="1" applyFont="1" applyBorder="1" applyAlignment="1">
      <alignment/>
    </xf>
    <xf numFmtId="3" fontId="0" fillId="0" borderId="20" xfId="0" applyBorder="1" applyAlignment="1">
      <alignment/>
    </xf>
    <xf numFmtId="3" fontId="0" fillId="0" borderId="28" xfId="0" applyBorder="1" applyAlignment="1">
      <alignment/>
    </xf>
    <xf numFmtId="167" fontId="4" fillId="0" borderId="28" xfId="0" applyNumberFormat="1" applyFont="1" applyBorder="1" applyAlignment="1">
      <alignment/>
    </xf>
    <xf numFmtId="167" fontId="0" fillId="0" borderId="28" xfId="0" applyNumberFormat="1" applyBorder="1" applyAlignment="1">
      <alignment/>
    </xf>
    <xf numFmtId="167" fontId="0" fillId="0" borderId="42" xfId="0" applyNumberFormat="1" applyBorder="1" applyAlignment="1">
      <alignment/>
    </xf>
    <xf numFmtId="167" fontId="0" fillId="0" borderId="20" xfId="0" applyNumberFormat="1" applyBorder="1" applyAlignment="1">
      <alignment/>
    </xf>
    <xf numFmtId="167" fontId="4" fillId="0" borderId="20" xfId="38" applyNumberFormat="1" applyFont="1" applyBorder="1" applyAlignment="1">
      <alignment/>
    </xf>
    <xf numFmtId="167" fontId="0" fillId="0" borderId="20" xfId="38" applyNumberFormat="1" applyFont="1" applyBorder="1" applyAlignment="1">
      <alignment/>
    </xf>
    <xf numFmtId="167" fontId="4" fillId="0" borderId="20" xfId="38" applyNumberFormat="1" applyFont="1" applyBorder="1" applyAlignment="1">
      <alignment/>
    </xf>
    <xf numFmtId="167" fontId="2" fillId="0" borderId="22" xfId="38" applyNumberFormat="1" applyFont="1" applyBorder="1" applyAlignment="1">
      <alignment vertical="center"/>
    </xf>
    <xf numFmtId="167" fontId="6" fillId="0" borderId="20" xfId="38" applyNumberFormat="1" applyFont="1" applyBorder="1" applyAlignment="1">
      <alignment/>
    </xf>
    <xf numFmtId="167" fontId="6" fillId="0" borderId="20" xfId="38" applyNumberFormat="1" applyFont="1" applyBorder="1" applyAlignment="1">
      <alignment/>
    </xf>
    <xf numFmtId="167" fontId="3" fillId="0" borderId="24" xfId="38" applyNumberFormat="1" applyFont="1" applyBorder="1" applyAlignment="1">
      <alignment vertical="center"/>
    </xf>
    <xf numFmtId="167" fontId="2" fillId="0" borderId="24" xfId="38" applyNumberFormat="1" applyFont="1" applyBorder="1" applyAlignment="1">
      <alignment vertical="center"/>
    </xf>
    <xf numFmtId="167" fontId="3" fillId="0" borderId="20" xfId="38" applyNumberFormat="1" applyFont="1" applyBorder="1" applyAlignment="1">
      <alignment vertical="center"/>
    </xf>
    <xf numFmtId="167" fontId="3" fillId="0" borderId="22" xfId="38" applyNumberFormat="1" applyFont="1" applyBorder="1" applyAlignment="1">
      <alignment vertical="center"/>
    </xf>
    <xf numFmtId="167" fontId="2" fillId="0" borderId="18" xfId="38" applyNumberFormat="1" applyFont="1" applyBorder="1" applyAlignment="1">
      <alignment vertical="center"/>
    </xf>
    <xf numFmtId="167" fontId="0" fillId="0" borderId="22" xfId="0" applyNumberFormat="1" applyBorder="1" applyAlignment="1">
      <alignment/>
    </xf>
    <xf numFmtId="167" fontId="0" fillId="0" borderId="25" xfId="0" applyNumberFormat="1" applyBorder="1" applyAlignment="1">
      <alignment/>
    </xf>
    <xf numFmtId="167" fontId="0" fillId="0" borderId="43" xfId="0" applyNumberFormat="1" applyBorder="1" applyAlignment="1">
      <alignment/>
    </xf>
    <xf numFmtId="167" fontId="0" fillId="33" borderId="20" xfId="0" applyNumberFormat="1" applyFill="1" applyBorder="1" applyAlignment="1">
      <alignment/>
    </xf>
    <xf numFmtId="166" fontId="0" fillId="0" borderId="25" xfId="38" applyNumberFormat="1" applyFont="1" applyBorder="1" applyAlignment="1">
      <alignment/>
    </xf>
    <xf numFmtId="165" fontId="4" fillId="0" borderId="35" xfId="38" applyNumberFormat="1" applyFont="1" applyBorder="1" applyAlignment="1">
      <alignment horizontal="center"/>
    </xf>
    <xf numFmtId="165" fontId="4" fillId="0" borderId="44" xfId="38" applyNumberFormat="1" applyFont="1" applyBorder="1" applyAlignment="1">
      <alignment horizontal="center"/>
    </xf>
    <xf numFmtId="165" fontId="4" fillId="0" borderId="27" xfId="38" applyNumberFormat="1" applyFont="1" applyBorder="1" applyAlignment="1">
      <alignment horizontal="center"/>
    </xf>
    <xf numFmtId="166" fontId="4" fillId="0" borderId="13" xfId="38" applyNumberFormat="1" applyFont="1" applyBorder="1" applyAlignment="1">
      <alignment/>
    </xf>
    <xf numFmtId="166" fontId="4" fillId="0" borderId="27" xfId="38" applyNumberFormat="1" applyFont="1" applyBorder="1" applyAlignment="1">
      <alignment/>
    </xf>
    <xf numFmtId="166" fontId="2" fillId="0" borderId="39" xfId="38" applyNumberFormat="1" applyFont="1" applyBorder="1" applyAlignment="1">
      <alignment vertical="center"/>
    </xf>
    <xf numFmtId="166" fontId="6" fillId="0" borderId="13" xfId="38" applyNumberFormat="1" applyFont="1" applyBorder="1" applyAlignment="1">
      <alignment/>
    </xf>
    <xf numFmtId="166" fontId="0" fillId="0" borderId="45" xfId="38" applyNumberFormat="1" applyFont="1" applyBorder="1" applyAlignment="1">
      <alignment/>
    </xf>
    <xf numFmtId="166" fontId="6" fillId="0" borderId="27" xfId="38" applyNumberFormat="1" applyFont="1" applyBorder="1" applyAlignment="1">
      <alignment/>
    </xf>
    <xf numFmtId="166" fontId="7" fillId="0" borderId="27" xfId="38" applyNumberFormat="1" applyFont="1" applyBorder="1" applyAlignment="1">
      <alignment/>
    </xf>
    <xf numFmtId="166" fontId="6" fillId="0" borderId="27" xfId="38" applyNumberFormat="1" applyFont="1" applyBorder="1" applyAlignment="1">
      <alignment/>
    </xf>
    <xf numFmtId="166" fontId="4" fillId="0" borderId="46" xfId="38" applyNumberFormat="1" applyFont="1" applyBorder="1" applyAlignment="1">
      <alignment/>
    </xf>
    <xf numFmtId="166" fontId="2" fillId="0" borderId="27" xfId="38" applyNumberFormat="1" applyFont="1" applyBorder="1" applyAlignment="1">
      <alignment vertical="center"/>
    </xf>
    <xf numFmtId="166" fontId="0" fillId="0" borderId="27" xfId="38" applyNumberFormat="1" applyFont="1" applyFill="1" applyBorder="1" applyAlignment="1">
      <alignment/>
    </xf>
    <xf numFmtId="3" fontId="0" fillId="0" borderId="30" xfId="0" applyFont="1" applyBorder="1" applyAlignment="1">
      <alignment/>
    </xf>
    <xf numFmtId="166" fontId="0" fillId="0" borderId="0" xfId="38" applyNumberFormat="1" applyFont="1" applyBorder="1" applyAlignment="1">
      <alignment/>
    </xf>
    <xf numFmtId="166" fontId="3" fillId="0" borderId="34" xfId="38" applyNumberFormat="1" applyFont="1" applyBorder="1" applyAlignment="1">
      <alignment vertical="center"/>
    </xf>
    <xf numFmtId="166" fontId="2" fillId="0" borderId="34" xfId="38" applyNumberFormat="1" applyFont="1" applyBorder="1" applyAlignment="1">
      <alignment vertical="center"/>
    </xf>
    <xf numFmtId="166" fontId="3" fillId="0" borderId="27" xfId="38" applyNumberFormat="1" applyFont="1" applyBorder="1" applyAlignment="1">
      <alignment vertical="center"/>
    </xf>
    <xf numFmtId="166" fontId="3" fillId="0" borderId="44" xfId="38" applyNumberFormat="1" applyFont="1" applyBorder="1" applyAlignment="1">
      <alignment vertical="center"/>
    </xf>
    <xf numFmtId="166" fontId="2" fillId="0" borderId="35" xfId="38" applyNumberFormat="1" applyFont="1" applyBorder="1" applyAlignment="1">
      <alignment vertical="center"/>
    </xf>
    <xf numFmtId="166" fontId="4" fillId="0" borderId="37" xfId="38" applyNumberFormat="1" applyFont="1" applyBorder="1" applyAlignment="1">
      <alignment/>
    </xf>
    <xf numFmtId="166" fontId="0" fillId="0" borderId="27" xfId="38" applyNumberFormat="1" applyFont="1" applyBorder="1" applyAlignment="1">
      <alignment/>
    </xf>
    <xf numFmtId="166" fontId="0" fillId="0" borderId="45" xfId="38" applyNumberFormat="1" applyFont="1" applyFill="1" applyBorder="1" applyAlignment="1">
      <alignment/>
    </xf>
    <xf numFmtId="166" fontId="2" fillId="0" borderId="44" xfId="38" applyNumberFormat="1" applyFont="1" applyBorder="1" applyAlignment="1">
      <alignment vertical="center"/>
    </xf>
    <xf numFmtId="166" fontId="0" fillId="0" borderId="20" xfId="38" applyNumberFormat="1" applyFont="1" applyBorder="1" applyAlignment="1">
      <alignment vertical="center"/>
    </xf>
    <xf numFmtId="166" fontId="0" fillId="0" borderId="10" xfId="38" applyNumberFormat="1" applyFont="1" applyBorder="1" applyAlignment="1">
      <alignment vertical="center"/>
    </xf>
    <xf numFmtId="166" fontId="0" fillId="0" borderId="19" xfId="38" applyNumberFormat="1" applyFont="1" applyBorder="1" applyAlignment="1">
      <alignment vertical="center"/>
    </xf>
    <xf numFmtId="166" fontId="0" fillId="0" borderId="27" xfId="38" applyNumberFormat="1" applyFont="1" applyBorder="1" applyAlignment="1">
      <alignment vertical="center"/>
    </xf>
    <xf numFmtId="166" fontId="0" fillId="0" borderId="10" xfId="38" applyNumberFormat="1" applyFont="1" applyFill="1" applyBorder="1" applyAlignment="1">
      <alignment vertical="center"/>
    </xf>
    <xf numFmtId="167" fontId="0" fillId="0" borderId="20" xfId="0" applyNumberFormat="1" applyFont="1" applyBorder="1" applyAlignment="1">
      <alignment/>
    </xf>
    <xf numFmtId="166" fontId="4" fillId="0" borderId="22" xfId="38" applyNumberFormat="1" applyFont="1" applyBorder="1" applyAlignment="1">
      <alignment vertical="center"/>
    </xf>
    <xf numFmtId="166" fontId="0" fillId="0" borderId="12" xfId="38" applyNumberFormat="1" applyFont="1" applyBorder="1" applyAlignment="1">
      <alignment vertical="center"/>
    </xf>
    <xf numFmtId="166" fontId="0" fillId="0" borderId="21" xfId="38" applyNumberFormat="1" applyFont="1" applyBorder="1" applyAlignment="1">
      <alignment vertical="center"/>
    </xf>
    <xf numFmtId="166" fontId="0" fillId="0" borderId="44" xfId="38" applyNumberFormat="1" applyFont="1" applyBorder="1" applyAlignment="1">
      <alignment vertic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33" xfId="0" applyFont="1" applyBorder="1" applyAlignment="1">
      <alignment horizontal="center" vertical="center"/>
    </xf>
    <xf numFmtId="3" fontId="0" fillId="0" borderId="31" xfId="0" applyBorder="1" applyAlignment="1">
      <alignment horizontal="center" vertical="center"/>
    </xf>
    <xf numFmtId="3" fontId="0" fillId="0" borderId="31" xfId="0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12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0" fillId="0" borderId="44" xfId="38" applyNumberFormat="1" applyFont="1" applyBorder="1" applyAlignment="1">
      <alignment/>
    </xf>
    <xf numFmtId="166" fontId="0" fillId="0" borderId="12" xfId="38" applyNumberFormat="1" applyFont="1" applyFill="1" applyBorder="1" applyAlignment="1">
      <alignment/>
    </xf>
    <xf numFmtId="3" fontId="7" fillId="0" borderId="31" xfId="0" applyFont="1" applyBorder="1" applyAlignment="1">
      <alignment/>
    </xf>
    <xf numFmtId="3" fontId="0" fillId="0" borderId="31" xfId="0" applyFont="1" applyBorder="1" applyAlignment="1">
      <alignment/>
    </xf>
    <xf numFmtId="166" fontId="0" fillId="0" borderId="44" xfId="38" applyNumberFormat="1" applyFont="1" applyFill="1" applyBorder="1" applyAlignment="1">
      <alignment/>
    </xf>
    <xf numFmtId="3" fontId="0" fillId="0" borderId="31" xfId="0" applyFont="1" applyBorder="1" applyAlignment="1">
      <alignment/>
    </xf>
    <xf numFmtId="3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2"/>
  <sheetViews>
    <sheetView tabSelected="1" zoomScalePageLayoutView="0" workbookViewId="0" topLeftCell="A97">
      <selection activeCell="S40" sqref="S40"/>
    </sheetView>
  </sheetViews>
  <sheetFormatPr defaultColWidth="9.00390625" defaultRowHeight="12.75"/>
  <cols>
    <col min="1" max="1" width="49.875" style="0" customWidth="1"/>
    <col min="2" max="2" width="14.00390625" style="0" customWidth="1"/>
    <col min="3" max="3" width="15.125" style="0" hidden="1" customWidth="1"/>
    <col min="4" max="4" width="12.875" style="0" hidden="1" customWidth="1"/>
    <col min="5" max="5" width="14.625" style="0" hidden="1" customWidth="1"/>
    <col min="6" max="6" width="12.625" style="0" hidden="1" customWidth="1"/>
    <col min="7" max="7" width="12.75390625" style="0" hidden="1" customWidth="1"/>
    <col min="8" max="8" width="14.125" style="0" hidden="1" customWidth="1"/>
    <col min="9" max="10" width="13.75390625" style="0" hidden="1" customWidth="1"/>
    <col min="11" max="11" width="14.25390625" style="0" customWidth="1"/>
    <col min="12" max="12" width="11.875" style="0" customWidth="1"/>
    <col min="13" max="13" width="13.375" style="0" hidden="1" customWidth="1"/>
    <col min="14" max="14" width="15.00390625" style="0" customWidth="1"/>
    <col min="15" max="15" width="13.25390625" style="0" hidden="1" customWidth="1"/>
    <col min="16" max="16" width="15.125" style="0" hidden="1" customWidth="1"/>
  </cols>
  <sheetData>
    <row r="1" spans="2:16" ht="12.75">
      <c r="B1" s="1"/>
      <c r="C1" s="1"/>
      <c r="D1" s="1"/>
      <c r="E1" s="2"/>
      <c r="H1" s="2"/>
      <c r="K1" s="2"/>
      <c r="N1" s="2" t="s">
        <v>199</v>
      </c>
      <c r="P1" s="2" t="s">
        <v>199</v>
      </c>
    </row>
    <row r="2" spans="2:5" ht="9.75" customHeight="1">
      <c r="B2" s="1"/>
      <c r="C2" s="1"/>
      <c r="D2" s="1"/>
      <c r="E2" s="2"/>
    </row>
    <row r="3" spans="1:16" ht="15.75">
      <c r="A3" s="180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15.75">
      <c r="A4" s="182" t="s">
        <v>286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15">
      <c r="A5" s="183" t="s">
        <v>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1:16" ht="12.75">
      <c r="A6" s="184" t="s">
        <v>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2" ht="18" customHeight="1" thickBot="1">
      <c r="A7" s="3"/>
      <c r="B7" s="4"/>
      <c r="C7" s="4"/>
      <c r="D7" s="4"/>
      <c r="E7" s="4"/>
      <c r="F7" s="116"/>
      <c r="I7" s="116"/>
      <c r="L7" s="96"/>
    </row>
    <row r="8" spans="1:16" ht="12.75">
      <c r="A8" s="185" t="s">
        <v>3</v>
      </c>
      <c r="B8" s="40" t="s">
        <v>4</v>
      </c>
      <c r="C8" s="41" t="s">
        <v>5</v>
      </c>
      <c r="D8" s="41" t="s">
        <v>6</v>
      </c>
      <c r="E8" s="42" t="s">
        <v>7</v>
      </c>
      <c r="F8" s="145" t="s">
        <v>8</v>
      </c>
      <c r="G8" s="41" t="s">
        <v>6</v>
      </c>
      <c r="H8" s="42" t="s">
        <v>7</v>
      </c>
      <c r="I8" s="145" t="s">
        <v>9</v>
      </c>
      <c r="J8" s="41" t="s">
        <v>6</v>
      </c>
      <c r="K8" s="42" t="s">
        <v>7</v>
      </c>
      <c r="L8" s="145" t="s">
        <v>10</v>
      </c>
      <c r="M8" s="41" t="s">
        <v>6</v>
      </c>
      <c r="N8" s="42" t="s">
        <v>7</v>
      </c>
      <c r="O8" s="40" t="s">
        <v>283</v>
      </c>
      <c r="P8" s="119" t="s">
        <v>7</v>
      </c>
    </row>
    <row r="9" spans="1:16" ht="13.5" thickBot="1">
      <c r="A9" s="186"/>
      <c r="B9" s="90" t="s">
        <v>11</v>
      </c>
      <c r="C9" s="91" t="s">
        <v>12</v>
      </c>
      <c r="D9" s="91" t="s">
        <v>13</v>
      </c>
      <c r="E9" s="92" t="s">
        <v>14</v>
      </c>
      <c r="F9" s="146" t="s">
        <v>12</v>
      </c>
      <c r="G9" s="91" t="s">
        <v>13</v>
      </c>
      <c r="H9" s="92" t="s">
        <v>15</v>
      </c>
      <c r="I9" s="146" t="s">
        <v>12</v>
      </c>
      <c r="J9" s="91" t="s">
        <v>13</v>
      </c>
      <c r="K9" s="92" t="s">
        <v>16</v>
      </c>
      <c r="L9" s="146" t="s">
        <v>12</v>
      </c>
      <c r="M9" s="91" t="s">
        <v>13</v>
      </c>
      <c r="N9" s="92" t="s">
        <v>17</v>
      </c>
      <c r="O9" s="90" t="s">
        <v>12</v>
      </c>
      <c r="P9" s="120" t="s">
        <v>284</v>
      </c>
    </row>
    <row r="10" spans="1:16" ht="15.75" customHeight="1">
      <c r="A10" s="88" t="s">
        <v>18</v>
      </c>
      <c r="B10" s="60"/>
      <c r="C10" s="5"/>
      <c r="D10" s="5"/>
      <c r="E10" s="89"/>
      <c r="F10" s="147"/>
      <c r="G10" s="5"/>
      <c r="H10" s="89"/>
      <c r="I10" s="147"/>
      <c r="J10" s="5"/>
      <c r="K10" s="89"/>
      <c r="L10" s="147"/>
      <c r="M10" s="5"/>
      <c r="N10" s="89"/>
      <c r="O10" s="123"/>
      <c r="P10" s="124"/>
    </row>
    <row r="11" spans="1:16" ht="12.75">
      <c r="A11" s="62" t="s">
        <v>19</v>
      </c>
      <c r="B11" s="43">
        <v>2990000</v>
      </c>
      <c r="C11" s="6">
        <v>20396.3</v>
      </c>
      <c r="D11" s="6"/>
      <c r="E11" s="44">
        <f>B11+C11+D11</f>
        <v>3010396.3</v>
      </c>
      <c r="F11" s="97"/>
      <c r="G11" s="6"/>
      <c r="H11" s="44">
        <f>E11+F11+G11</f>
        <v>3010396.3</v>
      </c>
      <c r="I11" s="97">
        <v>42300</v>
      </c>
      <c r="J11" s="6"/>
      <c r="K11" s="44">
        <f>H11+I11+J11</f>
        <v>3052696.3</v>
      </c>
      <c r="L11" s="97"/>
      <c r="M11" s="6"/>
      <c r="N11" s="44">
        <f>K11+L11+M11</f>
        <v>3052696.3</v>
      </c>
      <c r="O11" s="128"/>
      <c r="P11" s="125">
        <f>N11+O11</f>
        <v>3052696.3</v>
      </c>
    </row>
    <row r="12" spans="1:16" ht="12.75">
      <c r="A12" s="63" t="s">
        <v>20</v>
      </c>
      <c r="B12" s="43"/>
      <c r="C12" s="6"/>
      <c r="D12" s="6"/>
      <c r="E12" s="44"/>
      <c r="F12" s="97"/>
      <c r="G12" s="6"/>
      <c r="H12" s="44"/>
      <c r="I12" s="97"/>
      <c r="J12" s="6"/>
      <c r="K12" s="44"/>
      <c r="L12" s="97"/>
      <c r="M12" s="6"/>
      <c r="N12" s="44"/>
      <c r="O12" s="128"/>
      <c r="P12" s="126"/>
    </row>
    <row r="13" spans="1:16" ht="12.75">
      <c r="A13" s="64" t="s">
        <v>21</v>
      </c>
      <c r="B13" s="43"/>
      <c r="C13" s="7">
        <v>20396.3</v>
      </c>
      <c r="D13" s="7"/>
      <c r="E13" s="46">
        <f>B13+C13+D13</f>
        <v>20396.3</v>
      </c>
      <c r="F13" s="57"/>
      <c r="G13" s="6"/>
      <c r="H13" s="46">
        <f>E13+F13+G13</f>
        <v>20396.3</v>
      </c>
      <c r="I13" s="57"/>
      <c r="J13" s="6"/>
      <c r="K13" s="46">
        <f>H13+I13+J13</f>
        <v>20396.3</v>
      </c>
      <c r="L13" s="57"/>
      <c r="M13" s="6"/>
      <c r="N13" s="46">
        <f>K13+L13+M13</f>
        <v>20396.3</v>
      </c>
      <c r="O13" s="128"/>
      <c r="P13" s="126">
        <f aca="true" t="shared" si="0" ref="P13:P79">N13+O13</f>
        <v>20396.3</v>
      </c>
    </row>
    <row r="14" spans="1:16" ht="12.75">
      <c r="A14" s="62" t="s">
        <v>22</v>
      </c>
      <c r="B14" s="43">
        <f>SUM(B16:B35)</f>
        <v>213741.1</v>
      </c>
      <c r="C14" s="6">
        <f aca="true" t="shared" si="1" ref="C14:P14">SUM(C16:C35)</f>
        <v>2126.9</v>
      </c>
      <c r="D14" s="6">
        <f t="shared" si="1"/>
        <v>2573.8</v>
      </c>
      <c r="E14" s="44">
        <f t="shared" si="1"/>
        <v>218441.8</v>
      </c>
      <c r="F14" s="101">
        <f t="shared" si="1"/>
        <v>2483.4</v>
      </c>
      <c r="G14" s="6">
        <f t="shared" si="1"/>
        <v>18.7</v>
      </c>
      <c r="H14" s="44">
        <f t="shared" si="1"/>
        <v>220943.89999999997</v>
      </c>
      <c r="I14" s="101">
        <f t="shared" si="1"/>
        <v>7491.4</v>
      </c>
      <c r="J14" s="6">
        <f t="shared" si="1"/>
        <v>0</v>
      </c>
      <c r="K14" s="44">
        <f t="shared" si="1"/>
        <v>228435.3</v>
      </c>
      <c r="L14" s="97">
        <f t="shared" si="1"/>
        <v>-418.30000000000007</v>
      </c>
      <c r="M14" s="6">
        <f t="shared" si="1"/>
        <v>0</v>
      </c>
      <c r="N14" s="44">
        <f t="shared" si="1"/>
        <v>228017</v>
      </c>
      <c r="O14" s="129">
        <f t="shared" si="1"/>
        <v>0</v>
      </c>
      <c r="P14" s="110">
        <f t="shared" si="1"/>
        <v>227922.5</v>
      </c>
    </row>
    <row r="15" spans="1:16" ht="10.5" customHeight="1">
      <c r="A15" s="63" t="s">
        <v>23</v>
      </c>
      <c r="B15" s="43"/>
      <c r="C15" s="6"/>
      <c r="D15" s="6"/>
      <c r="E15" s="44"/>
      <c r="F15" s="97"/>
      <c r="G15" s="6"/>
      <c r="H15" s="44"/>
      <c r="I15" s="97"/>
      <c r="J15" s="6"/>
      <c r="K15" s="44"/>
      <c r="L15" s="97"/>
      <c r="M15" s="6"/>
      <c r="N15" s="44"/>
      <c r="O15" s="128"/>
      <c r="P15" s="126"/>
    </row>
    <row r="16" spans="1:16" ht="12.75">
      <c r="A16" s="64" t="s">
        <v>24</v>
      </c>
      <c r="B16" s="45">
        <v>4000</v>
      </c>
      <c r="C16" s="7">
        <v>1.6</v>
      </c>
      <c r="D16" s="7"/>
      <c r="E16" s="46">
        <f>B16+C16+D16</f>
        <v>4001.6</v>
      </c>
      <c r="F16" s="57">
        <v>4.1</v>
      </c>
      <c r="G16" s="7"/>
      <c r="H16" s="46">
        <f>E16+F16+G16</f>
        <v>4005.7</v>
      </c>
      <c r="I16" s="57"/>
      <c r="J16" s="7"/>
      <c r="K16" s="46">
        <f>H16+I16+J16</f>
        <v>4005.7</v>
      </c>
      <c r="L16" s="57">
        <v>2.1</v>
      </c>
      <c r="M16" s="7"/>
      <c r="N16" s="46">
        <f>K16+L16+M16</f>
        <v>4007.7999999999997</v>
      </c>
      <c r="O16" s="128"/>
      <c r="P16" s="126">
        <f t="shared" si="0"/>
        <v>4007.7999999999997</v>
      </c>
    </row>
    <row r="17" spans="1:16" ht="12.75" hidden="1">
      <c r="A17" s="64" t="s">
        <v>25</v>
      </c>
      <c r="B17" s="45"/>
      <c r="C17" s="7"/>
      <c r="D17" s="7"/>
      <c r="E17" s="46">
        <f aca="true" t="shared" si="2" ref="E17:E34">B17+C17+D17</f>
        <v>0</v>
      </c>
      <c r="F17" s="57"/>
      <c r="G17" s="7"/>
      <c r="H17" s="46">
        <f aca="true" t="shared" si="3" ref="H17:H34">E17+F17+G17</f>
        <v>0</v>
      </c>
      <c r="I17" s="57"/>
      <c r="J17" s="7"/>
      <c r="K17" s="46">
        <f aca="true" t="shared" si="4" ref="K17:K34">H17+I17+J17</f>
        <v>0</v>
      </c>
      <c r="L17" s="57"/>
      <c r="M17" s="7"/>
      <c r="N17" s="46">
        <f aca="true" t="shared" si="5" ref="N17:N34">K17+L17+M17</f>
        <v>0</v>
      </c>
      <c r="O17" s="128"/>
      <c r="P17" s="126">
        <f t="shared" si="0"/>
        <v>0</v>
      </c>
    </row>
    <row r="18" spans="1:16" ht="12.75" hidden="1">
      <c r="A18" s="64" t="s">
        <v>26</v>
      </c>
      <c r="B18" s="45"/>
      <c r="C18" s="7"/>
      <c r="D18" s="7"/>
      <c r="E18" s="46">
        <f t="shared" si="2"/>
        <v>0</v>
      </c>
      <c r="F18" s="57"/>
      <c r="G18" s="7"/>
      <c r="H18" s="46">
        <f t="shared" si="3"/>
        <v>0</v>
      </c>
      <c r="I18" s="57"/>
      <c r="J18" s="7"/>
      <c r="K18" s="46">
        <f t="shared" si="4"/>
        <v>0</v>
      </c>
      <c r="L18" s="57"/>
      <c r="M18" s="7"/>
      <c r="N18" s="46">
        <f t="shared" si="5"/>
        <v>0</v>
      </c>
      <c r="O18" s="128"/>
      <c r="P18" s="126">
        <f t="shared" si="0"/>
        <v>0</v>
      </c>
    </row>
    <row r="19" spans="1:16" ht="12.75" hidden="1">
      <c r="A19" s="64" t="s">
        <v>27</v>
      </c>
      <c r="B19" s="45"/>
      <c r="C19" s="7"/>
      <c r="D19" s="7"/>
      <c r="E19" s="46">
        <f t="shared" si="2"/>
        <v>0</v>
      </c>
      <c r="F19" s="57"/>
      <c r="G19" s="7"/>
      <c r="H19" s="46">
        <f t="shared" si="3"/>
        <v>0</v>
      </c>
      <c r="I19" s="57"/>
      <c r="J19" s="7"/>
      <c r="K19" s="46">
        <f t="shared" si="4"/>
        <v>0</v>
      </c>
      <c r="L19" s="57"/>
      <c r="M19" s="7"/>
      <c r="N19" s="46">
        <f t="shared" si="5"/>
        <v>0</v>
      </c>
      <c r="O19" s="128"/>
      <c r="P19" s="126">
        <f t="shared" si="0"/>
        <v>0</v>
      </c>
    </row>
    <row r="20" spans="1:16" ht="12.75">
      <c r="A20" s="64" t="s">
        <v>28</v>
      </c>
      <c r="B20" s="45">
        <v>45000</v>
      </c>
      <c r="C20" s="7"/>
      <c r="D20" s="7"/>
      <c r="E20" s="46">
        <f t="shared" si="2"/>
        <v>45000</v>
      </c>
      <c r="F20" s="57"/>
      <c r="G20" s="7"/>
      <c r="H20" s="46">
        <f t="shared" si="3"/>
        <v>45000</v>
      </c>
      <c r="I20" s="57"/>
      <c r="J20" s="7"/>
      <c r="K20" s="46">
        <f t="shared" si="4"/>
        <v>45000</v>
      </c>
      <c r="L20" s="57"/>
      <c r="M20" s="7"/>
      <c r="N20" s="46">
        <f t="shared" si="5"/>
        <v>45000</v>
      </c>
      <c r="O20" s="128"/>
      <c r="P20" s="126">
        <f t="shared" si="0"/>
        <v>45000</v>
      </c>
    </row>
    <row r="21" spans="1:16" ht="12.75" hidden="1">
      <c r="A21" s="64" t="s">
        <v>29</v>
      </c>
      <c r="B21" s="45"/>
      <c r="C21" s="7"/>
      <c r="D21" s="7"/>
      <c r="E21" s="46">
        <f t="shared" si="2"/>
        <v>0</v>
      </c>
      <c r="F21" s="57"/>
      <c r="G21" s="7"/>
      <c r="H21" s="46">
        <f t="shared" si="3"/>
        <v>0</v>
      </c>
      <c r="I21" s="57"/>
      <c r="J21" s="7"/>
      <c r="K21" s="46">
        <f t="shared" si="4"/>
        <v>0</v>
      </c>
      <c r="L21" s="57"/>
      <c r="M21" s="7"/>
      <c r="N21" s="46">
        <f t="shared" si="5"/>
        <v>0</v>
      </c>
      <c r="O21" s="128"/>
      <c r="P21" s="126">
        <f t="shared" si="0"/>
        <v>0</v>
      </c>
    </row>
    <row r="22" spans="1:16" ht="12.75">
      <c r="A22" s="64" t="s">
        <v>30</v>
      </c>
      <c r="B22" s="45"/>
      <c r="C22" s="7">
        <f>156.8+1363.2+534.5+24.6</f>
        <v>2079.1</v>
      </c>
      <c r="D22" s="7"/>
      <c r="E22" s="46">
        <f t="shared" si="2"/>
        <v>2079.1</v>
      </c>
      <c r="F22" s="57">
        <f>62.4+1140.3+350.2</f>
        <v>1552.9</v>
      </c>
      <c r="G22" s="7"/>
      <c r="H22" s="46">
        <f t="shared" si="3"/>
        <v>3632</v>
      </c>
      <c r="I22" s="57">
        <f>64+3.4+95+446.2</f>
        <v>608.6</v>
      </c>
      <c r="J22" s="7"/>
      <c r="K22" s="46">
        <f t="shared" si="4"/>
        <v>4240.6</v>
      </c>
      <c r="L22" s="57">
        <f>14.4+143.9+4.8</f>
        <v>163.10000000000002</v>
      </c>
      <c r="M22" s="7"/>
      <c r="N22" s="46">
        <f t="shared" si="5"/>
        <v>4403.700000000001</v>
      </c>
      <c r="O22" s="128"/>
      <c r="P22" s="126">
        <f t="shared" si="0"/>
        <v>4403.700000000001</v>
      </c>
    </row>
    <row r="23" spans="1:16" ht="12.75">
      <c r="A23" s="65" t="s">
        <v>216</v>
      </c>
      <c r="B23" s="45">
        <v>21635.1</v>
      </c>
      <c r="C23" s="7"/>
      <c r="D23" s="7"/>
      <c r="E23" s="46">
        <f t="shared" si="2"/>
        <v>21635.1</v>
      </c>
      <c r="F23" s="57"/>
      <c r="G23" s="7"/>
      <c r="H23" s="46">
        <f t="shared" si="3"/>
        <v>21635.1</v>
      </c>
      <c r="I23" s="57"/>
      <c r="J23" s="7"/>
      <c r="K23" s="46">
        <f t="shared" si="4"/>
        <v>21635.1</v>
      </c>
      <c r="L23" s="57"/>
      <c r="M23" s="7"/>
      <c r="N23" s="46">
        <f t="shared" si="5"/>
        <v>21635.1</v>
      </c>
      <c r="O23" s="128"/>
      <c r="P23" s="126">
        <f t="shared" si="0"/>
        <v>21635.1</v>
      </c>
    </row>
    <row r="24" spans="1:16" ht="12.75">
      <c r="A24" s="65" t="s">
        <v>245</v>
      </c>
      <c r="B24" s="45">
        <v>54000</v>
      </c>
      <c r="C24" s="7"/>
      <c r="D24" s="7"/>
      <c r="E24" s="46">
        <f t="shared" si="2"/>
        <v>54000</v>
      </c>
      <c r="F24" s="57"/>
      <c r="G24" s="7"/>
      <c r="H24" s="46">
        <f t="shared" si="3"/>
        <v>54000</v>
      </c>
      <c r="I24" s="57"/>
      <c r="J24" s="7"/>
      <c r="K24" s="46">
        <f t="shared" si="4"/>
        <v>54000</v>
      </c>
      <c r="L24" s="57"/>
      <c r="M24" s="7"/>
      <c r="N24" s="46">
        <f t="shared" si="5"/>
        <v>54000</v>
      </c>
      <c r="O24" s="128"/>
      <c r="P24" s="126">
        <f t="shared" si="0"/>
        <v>54000</v>
      </c>
    </row>
    <row r="25" spans="1:16" ht="12.75">
      <c r="A25" s="65" t="s">
        <v>29</v>
      </c>
      <c r="B25" s="45"/>
      <c r="C25" s="7"/>
      <c r="D25" s="7"/>
      <c r="E25" s="46">
        <f t="shared" si="2"/>
        <v>0</v>
      </c>
      <c r="F25" s="57"/>
      <c r="G25" s="7"/>
      <c r="H25" s="46">
        <f t="shared" si="3"/>
        <v>0</v>
      </c>
      <c r="I25" s="57"/>
      <c r="J25" s="7"/>
      <c r="K25" s="46">
        <f t="shared" si="4"/>
        <v>0</v>
      </c>
      <c r="L25" s="158">
        <f>1.8+68.8</f>
        <v>70.6</v>
      </c>
      <c r="M25" s="7"/>
      <c r="N25" s="46">
        <f t="shared" si="5"/>
        <v>70.6</v>
      </c>
      <c r="O25" s="128"/>
      <c r="P25" s="126">
        <f t="shared" si="0"/>
        <v>70.6</v>
      </c>
    </row>
    <row r="26" spans="1:16" ht="12.75" hidden="1">
      <c r="A26" s="65" t="s">
        <v>275</v>
      </c>
      <c r="B26" s="45"/>
      <c r="C26" s="7"/>
      <c r="D26" s="7"/>
      <c r="E26" s="46">
        <f t="shared" si="2"/>
        <v>0</v>
      </c>
      <c r="F26" s="57"/>
      <c r="G26" s="7"/>
      <c r="H26" s="46">
        <f t="shared" si="3"/>
        <v>0</v>
      </c>
      <c r="I26" s="57"/>
      <c r="J26" s="7"/>
      <c r="K26" s="46">
        <f t="shared" si="4"/>
        <v>0</v>
      </c>
      <c r="L26" s="57"/>
      <c r="M26" s="7"/>
      <c r="N26" s="46">
        <f t="shared" si="5"/>
        <v>0</v>
      </c>
      <c r="O26" s="128"/>
      <c r="P26" s="126">
        <f t="shared" si="0"/>
        <v>0</v>
      </c>
    </row>
    <row r="27" spans="1:16" ht="12.75" hidden="1">
      <c r="A27" s="65" t="s">
        <v>246</v>
      </c>
      <c r="B27" s="45"/>
      <c r="C27" s="7"/>
      <c r="D27" s="7"/>
      <c r="E27" s="46">
        <f t="shared" si="2"/>
        <v>0</v>
      </c>
      <c r="F27" s="57"/>
      <c r="G27" s="7"/>
      <c r="H27" s="46">
        <f t="shared" si="3"/>
        <v>0</v>
      </c>
      <c r="I27" s="57"/>
      <c r="J27" s="7"/>
      <c r="K27" s="46">
        <f t="shared" si="4"/>
        <v>0</v>
      </c>
      <c r="L27" s="57"/>
      <c r="M27" s="7"/>
      <c r="N27" s="46">
        <f t="shared" si="5"/>
        <v>0</v>
      </c>
      <c r="O27" s="128"/>
      <c r="P27" s="126">
        <f t="shared" si="0"/>
        <v>0</v>
      </c>
    </row>
    <row r="28" spans="1:16" ht="12.75">
      <c r="A28" s="65" t="s">
        <v>247</v>
      </c>
      <c r="B28" s="45"/>
      <c r="C28" s="7"/>
      <c r="D28" s="7"/>
      <c r="E28" s="46">
        <f t="shared" si="2"/>
        <v>0</v>
      </c>
      <c r="F28" s="57">
        <f>595+45.9</f>
        <v>640.9</v>
      </c>
      <c r="G28" s="7"/>
      <c r="H28" s="46">
        <f t="shared" si="3"/>
        <v>640.9</v>
      </c>
      <c r="I28" s="57">
        <v>1029.1</v>
      </c>
      <c r="J28" s="7"/>
      <c r="K28" s="46">
        <f t="shared" si="4"/>
        <v>1670</v>
      </c>
      <c r="L28" s="57"/>
      <c r="M28" s="7"/>
      <c r="N28" s="46">
        <f t="shared" si="5"/>
        <v>1670</v>
      </c>
      <c r="O28" s="128"/>
      <c r="P28" s="126">
        <f t="shared" si="0"/>
        <v>1670</v>
      </c>
    </row>
    <row r="29" spans="1:16" ht="12.75">
      <c r="A29" s="65" t="s">
        <v>248</v>
      </c>
      <c r="B29" s="45"/>
      <c r="C29" s="7"/>
      <c r="D29" s="7"/>
      <c r="E29" s="46">
        <f t="shared" si="2"/>
        <v>0</v>
      </c>
      <c r="F29" s="57">
        <v>338.5</v>
      </c>
      <c r="G29" s="7"/>
      <c r="H29" s="46">
        <f t="shared" si="3"/>
        <v>338.5</v>
      </c>
      <c r="I29" s="57"/>
      <c r="J29" s="7"/>
      <c r="K29" s="46">
        <f t="shared" si="4"/>
        <v>338.5</v>
      </c>
      <c r="L29" s="57"/>
      <c r="M29" s="7"/>
      <c r="N29" s="46">
        <f t="shared" si="5"/>
        <v>338.5</v>
      </c>
      <c r="O29" s="128"/>
      <c r="P29" s="126">
        <f t="shared" si="0"/>
        <v>338.5</v>
      </c>
    </row>
    <row r="30" spans="1:16" ht="12.75">
      <c r="A30" s="65" t="s">
        <v>249</v>
      </c>
      <c r="B30" s="45"/>
      <c r="C30" s="7">
        <v>7.9</v>
      </c>
      <c r="D30" s="7"/>
      <c r="E30" s="46">
        <f t="shared" si="2"/>
        <v>7.9</v>
      </c>
      <c r="F30" s="57"/>
      <c r="G30" s="7"/>
      <c r="H30" s="46">
        <f t="shared" si="3"/>
        <v>7.9</v>
      </c>
      <c r="I30" s="57">
        <f>2184.4+159</f>
        <v>2343.4</v>
      </c>
      <c r="J30" s="7"/>
      <c r="K30" s="46">
        <f t="shared" si="4"/>
        <v>2351.3</v>
      </c>
      <c r="L30" s="57">
        <v>193.8</v>
      </c>
      <c r="M30" s="7"/>
      <c r="N30" s="46">
        <f t="shared" si="5"/>
        <v>2545.1000000000004</v>
      </c>
      <c r="O30" s="128"/>
      <c r="P30" s="126">
        <f t="shared" si="0"/>
        <v>2545.1000000000004</v>
      </c>
    </row>
    <row r="31" spans="1:16" ht="12.75">
      <c r="A31" s="65" t="s">
        <v>225</v>
      </c>
      <c r="B31" s="45"/>
      <c r="C31" s="7">
        <v>38.3</v>
      </c>
      <c r="D31" s="7"/>
      <c r="E31" s="46">
        <f t="shared" si="2"/>
        <v>38.3</v>
      </c>
      <c r="F31" s="57"/>
      <c r="G31" s="7"/>
      <c r="H31" s="46">
        <f t="shared" si="3"/>
        <v>38.3</v>
      </c>
      <c r="I31" s="57"/>
      <c r="J31" s="7"/>
      <c r="K31" s="46">
        <f t="shared" si="4"/>
        <v>38.3</v>
      </c>
      <c r="L31" s="57"/>
      <c r="M31" s="7"/>
      <c r="N31" s="46">
        <f t="shared" si="5"/>
        <v>38.3</v>
      </c>
      <c r="O31" s="128"/>
      <c r="P31" s="126">
        <f t="shared" si="0"/>
        <v>38.3</v>
      </c>
    </row>
    <row r="32" spans="1:16" ht="12.75" hidden="1">
      <c r="A32" s="65" t="s">
        <v>250</v>
      </c>
      <c r="B32" s="45"/>
      <c r="C32" s="7"/>
      <c r="D32" s="7"/>
      <c r="E32" s="46">
        <f t="shared" si="2"/>
        <v>0</v>
      </c>
      <c r="F32" s="57"/>
      <c r="G32" s="7"/>
      <c r="H32" s="46">
        <f>E32+F32+G32</f>
        <v>0</v>
      </c>
      <c r="I32" s="57"/>
      <c r="J32" s="7"/>
      <c r="K32" s="46">
        <f t="shared" si="4"/>
        <v>0</v>
      </c>
      <c r="L32" s="57"/>
      <c r="M32" s="7"/>
      <c r="N32" s="46">
        <f t="shared" si="5"/>
        <v>0</v>
      </c>
      <c r="O32" s="128"/>
      <c r="P32" s="126">
        <f t="shared" si="0"/>
        <v>0</v>
      </c>
    </row>
    <row r="33" spans="1:16" ht="12.75">
      <c r="A33" s="65" t="s">
        <v>346</v>
      </c>
      <c r="B33" s="45"/>
      <c r="C33" s="7"/>
      <c r="D33" s="7"/>
      <c r="E33" s="46"/>
      <c r="F33" s="57"/>
      <c r="G33" s="7"/>
      <c r="H33" s="46">
        <f>E33+F33+G33</f>
        <v>0</v>
      </c>
      <c r="I33" s="57">
        <v>94.5</v>
      </c>
      <c r="J33" s="7"/>
      <c r="K33" s="46">
        <f t="shared" si="4"/>
        <v>94.5</v>
      </c>
      <c r="L33" s="57"/>
      <c r="M33" s="7"/>
      <c r="N33" s="46">
        <f t="shared" si="5"/>
        <v>94.5</v>
      </c>
      <c r="O33" s="128"/>
      <c r="P33" s="126"/>
    </row>
    <row r="34" spans="1:16" ht="12.75" hidden="1">
      <c r="A34" s="65" t="s">
        <v>251</v>
      </c>
      <c r="B34" s="45"/>
      <c r="C34" s="7"/>
      <c r="D34" s="7"/>
      <c r="E34" s="46">
        <f t="shared" si="2"/>
        <v>0</v>
      </c>
      <c r="F34" s="57"/>
      <c r="G34" s="7"/>
      <c r="H34" s="46">
        <f t="shared" si="3"/>
        <v>0</v>
      </c>
      <c r="I34" s="57"/>
      <c r="J34" s="7"/>
      <c r="K34" s="46">
        <f t="shared" si="4"/>
        <v>0</v>
      </c>
      <c r="L34" s="57"/>
      <c r="M34" s="7"/>
      <c r="N34" s="46">
        <f t="shared" si="5"/>
        <v>0</v>
      </c>
      <c r="O34" s="128"/>
      <c r="P34" s="126">
        <f t="shared" si="0"/>
        <v>0</v>
      </c>
    </row>
    <row r="35" spans="1:16" ht="12.75">
      <c r="A35" s="64" t="s">
        <v>31</v>
      </c>
      <c r="B35" s="45">
        <f aca="true" t="shared" si="6" ref="B35:J35">SUM(B36:B40)</f>
        <v>89106</v>
      </c>
      <c r="C35" s="7">
        <f t="shared" si="6"/>
        <v>0</v>
      </c>
      <c r="D35" s="7">
        <f t="shared" si="6"/>
        <v>2573.8</v>
      </c>
      <c r="E35" s="46">
        <f t="shared" si="6"/>
        <v>91679.8</v>
      </c>
      <c r="F35" s="14">
        <f t="shared" si="6"/>
        <v>-53</v>
      </c>
      <c r="G35" s="7">
        <f t="shared" si="6"/>
        <v>18.7</v>
      </c>
      <c r="H35" s="46">
        <f t="shared" si="6"/>
        <v>91645.5</v>
      </c>
      <c r="I35" s="14">
        <f t="shared" si="6"/>
        <v>3415.8</v>
      </c>
      <c r="J35" s="7">
        <f t="shared" si="6"/>
        <v>0</v>
      </c>
      <c r="K35" s="46">
        <f>SUM(K36:K40)</f>
        <v>95061.3</v>
      </c>
      <c r="L35" s="57">
        <f>SUM(L36:L40)</f>
        <v>-847.9000000000001</v>
      </c>
      <c r="M35" s="7">
        <f>SUM(M36:M40)</f>
        <v>0</v>
      </c>
      <c r="N35" s="46">
        <f>SUM(N36:N40)</f>
        <v>94213.4</v>
      </c>
      <c r="O35" s="130"/>
      <c r="P35" s="118">
        <f>SUM(P36:P40)</f>
        <v>94213.4</v>
      </c>
    </row>
    <row r="36" spans="1:16" ht="12.75">
      <c r="A36" s="64" t="s">
        <v>32</v>
      </c>
      <c r="B36" s="45">
        <v>26718</v>
      </c>
      <c r="C36" s="7"/>
      <c r="D36" s="7">
        <v>2573.8</v>
      </c>
      <c r="E36" s="46">
        <f>B36+C36+D36</f>
        <v>29291.8</v>
      </c>
      <c r="F36" s="57"/>
      <c r="G36" s="7">
        <v>18.7</v>
      </c>
      <c r="H36" s="46">
        <f>E36+F36+G36</f>
        <v>29310.5</v>
      </c>
      <c r="I36" s="57">
        <f>365+532.3+2518.5</f>
        <v>3415.8</v>
      </c>
      <c r="J36" s="7"/>
      <c r="K36" s="46">
        <f>H36+I36+J36</f>
        <v>32726.3</v>
      </c>
      <c r="L36" s="57">
        <f>192.1-2518.5+383.5+419.1+425.9+250</f>
        <v>-847.9000000000001</v>
      </c>
      <c r="M36" s="7"/>
      <c r="N36" s="46">
        <f>K36+L36+M36</f>
        <v>31878.399999999998</v>
      </c>
      <c r="O36" s="128"/>
      <c r="P36" s="126">
        <f t="shared" si="0"/>
        <v>31878.399999999998</v>
      </c>
    </row>
    <row r="37" spans="1:16" ht="12.75">
      <c r="A37" s="65" t="s">
        <v>252</v>
      </c>
      <c r="B37" s="45">
        <v>10000</v>
      </c>
      <c r="C37" s="7"/>
      <c r="D37" s="7"/>
      <c r="E37" s="46">
        <f>B37+C37+D37</f>
        <v>10000</v>
      </c>
      <c r="F37" s="57"/>
      <c r="G37" s="7"/>
      <c r="H37" s="46">
        <f>E37+F37+G37</f>
        <v>10000</v>
      </c>
      <c r="I37" s="57"/>
      <c r="J37" s="7"/>
      <c r="K37" s="46">
        <f>H37+I37+J37</f>
        <v>10000</v>
      </c>
      <c r="L37" s="57"/>
      <c r="M37" s="7"/>
      <c r="N37" s="46">
        <f>K37+L37+M37</f>
        <v>10000</v>
      </c>
      <c r="O37" s="128"/>
      <c r="P37" s="126">
        <f t="shared" si="0"/>
        <v>10000</v>
      </c>
    </row>
    <row r="38" spans="1:16" ht="12.75">
      <c r="A38" s="64" t="s">
        <v>33</v>
      </c>
      <c r="B38" s="45">
        <v>16250</v>
      </c>
      <c r="C38" s="7"/>
      <c r="D38" s="7"/>
      <c r="E38" s="46">
        <f>B38+C38+D38</f>
        <v>16250</v>
      </c>
      <c r="F38" s="57"/>
      <c r="G38" s="7"/>
      <c r="H38" s="46">
        <f>E38+F38+G38</f>
        <v>16250</v>
      </c>
      <c r="I38" s="57"/>
      <c r="J38" s="7"/>
      <c r="K38" s="46">
        <f>H38+I38+J38</f>
        <v>16250</v>
      </c>
      <c r="L38" s="57"/>
      <c r="M38" s="7"/>
      <c r="N38" s="46">
        <f>K38+L38+M38</f>
        <v>16250</v>
      </c>
      <c r="O38" s="128"/>
      <c r="P38" s="126">
        <f t="shared" si="0"/>
        <v>16250</v>
      </c>
    </row>
    <row r="39" spans="1:16" ht="12.75">
      <c r="A39" s="65" t="s">
        <v>253</v>
      </c>
      <c r="B39" s="45">
        <v>8154</v>
      </c>
      <c r="C39" s="7"/>
      <c r="D39" s="7"/>
      <c r="E39" s="46">
        <f>B39+C39+D39</f>
        <v>8154</v>
      </c>
      <c r="F39" s="57">
        <v>-53</v>
      </c>
      <c r="G39" s="7"/>
      <c r="H39" s="46">
        <f>E39+F39+G39</f>
        <v>8101</v>
      </c>
      <c r="I39" s="57"/>
      <c r="J39" s="7"/>
      <c r="K39" s="46">
        <f>H39+I39+J39</f>
        <v>8101</v>
      </c>
      <c r="L39" s="57"/>
      <c r="M39" s="7"/>
      <c r="N39" s="46">
        <f>K39+L39+M39</f>
        <v>8101</v>
      </c>
      <c r="O39" s="128"/>
      <c r="P39" s="126">
        <f t="shared" si="0"/>
        <v>8101</v>
      </c>
    </row>
    <row r="40" spans="1:16" ht="12.75">
      <c r="A40" s="65" t="s">
        <v>254</v>
      </c>
      <c r="B40" s="45">
        <v>27984</v>
      </c>
      <c r="C40" s="7"/>
      <c r="D40" s="7"/>
      <c r="E40" s="46">
        <f>B40+C40+D40</f>
        <v>27984</v>
      </c>
      <c r="F40" s="57"/>
      <c r="G40" s="7"/>
      <c r="H40" s="46">
        <f>E40+F40+G40</f>
        <v>27984</v>
      </c>
      <c r="I40" s="57"/>
      <c r="J40" s="7"/>
      <c r="K40" s="46">
        <f>H40+I40+J40</f>
        <v>27984</v>
      </c>
      <c r="L40" s="57"/>
      <c r="M40" s="7"/>
      <c r="N40" s="46">
        <f>K40+L40+M40</f>
        <v>27984</v>
      </c>
      <c r="O40" s="128"/>
      <c r="P40" s="126">
        <f t="shared" si="0"/>
        <v>27984</v>
      </c>
    </row>
    <row r="41" spans="1:16" ht="12.75">
      <c r="A41" s="66" t="s">
        <v>34</v>
      </c>
      <c r="B41" s="47">
        <f aca="true" t="shared" si="7" ref="B41:J41">SUM(B43:B46)</f>
        <v>18706.6</v>
      </c>
      <c r="C41" s="8">
        <f t="shared" si="7"/>
        <v>0</v>
      </c>
      <c r="D41" s="8">
        <f t="shared" si="7"/>
        <v>0</v>
      </c>
      <c r="E41" s="48">
        <f t="shared" si="7"/>
        <v>18706.6</v>
      </c>
      <c r="F41" s="148">
        <f t="shared" si="7"/>
        <v>50</v>
      </c>
      <c r="G41" s="8">
        <f t="shared" si="7"/>
        <v>0</v>
      </c>
      <c r="H41" s="48">
        <f t="shared" si="7"/>
        <v>18756.6</v>
      </c>
      <c r="I41" s="148">
        <f t="shared" si="7"/>
        <v>16873.2</v>
      </c>
      <c r="J41" s="8">
        <f t="shared" si="7"/>
        <v>0</v>
      </c>
      <c r="K41" s="48">
        <f>SUM(K43:K46)</f>
        <v>35629.8</v>
      </c>
      <c r="L41" s="149">
        <f>SUM(L43:L46)</f>
        <v>3214.3</v>
      </c>
      <c r="M41" s="8">
        <f>SUM(M43:M46)</f>
        <v>0</v>
      </c>
      <c r="N41" s="48">
        <f>SUM(N43:N46)</f>
        <v>38844.100000000006</v>
      </c>
      <c r="O41" s="131"/>
      <c r="P41" s="59">
        <f>SUM(P43:P46)</f>
        <v>38844.100000000006</v>
      </c>
    </row>
    <row r="42" spans="1:16" ht="9" customHeight="1">
      <c r="A42" s="63" t="s">
        <v>23</v>
      </c>
      <c r="B42" s="45"/>
      <c r="C42" s="7"/>
      <c r="D42" s="7"/>
      <c r="E42" s="46"/>
      <c r="F42" s="57"/>
      <c r="G42" s="7"/>
      <c r="H42" s="46"/>
      <c r="I42" s="57"/>
      <c r="J42" s="7"/>
      <c r="K42" s="46"/>
      <c r="L42" s="57"/>
      <c r="M42" s="7"/>
      <c r="N42" s="46"/>
      <c r="O42" s="128"/>
      <c r="P42" s="126"/>
    </row>
    <row r="43" spans="1:16" ht="12.75" hidden="1">
      <c r="A43" s="64" t="s">
        <v>35</v>
      </c>
      <c r="B43" s="45"/>
      <c r="C43" s="7"/>
      <c r="D43" s="7"/>
      <c r="E43" s="46">
        <f>B43+C43+D43</f>
        <v>0</v>
      </c>
      <c r="F43" s="57"/>
      <c r="G43" s="7"/>
      <c r="H43" s="46">
        <f>E43+F43+G43</f>
        <v>0</v>
      </c>
      <c r="I43" s="57"/>
      <c r="J43" s="7"/>
      <c r="K43" s="46">
        <f>H43+I43+J43</f>
        <v>0</v>
      </c>
      <c r="L43" s="57"/>
      <c r="M43" s="7"/>
      <c r="N43" s="46">
        <f>K43+L43+M43</f>
        <v>0</v>
      </c>
      <c r="O43" s="128"/>
      <c r="P43" s="126">
        <f t="shared" si="0"/>
        <v>0</v>
      </c>
    </row>
    <row r="44" spans="1:16" ht="12.75">
      <c r="A44" s="65" t="s">
        <v>255</v>
      </c>
      <c r="B44" s="45">
        <v>18706.6</v>
      </c>
      <c r="C44" s="7"/>
      <c r="D44" s="7"/>
      <c r="E44" s="46">
        <f>B44+C44+D44</f>
        <v>18706.6</v>
      </c>
      <c r="F44" s="57"/>
      <c r="G44" s="7"/>
      <c r="H44" s="46">
        <f>E44+F44+G44</f>
        <v>18706.6</v>
      </c>
      <c r="I44" s="158">
        <v>16522.2</v>
      </c>
      <c r="J44" s="7"/>
      <c r="K44" s="46">
        <f>H44+I44+J44</f>
        <v>35228.8</v>
      </c>
      <c r="L44" s="158"/>
      <c r="M44" s="7"/>
      <c r="N44" s="46">
        <f>K44+L44+M44</f>
        <v>35228.8</v>
      </c>
      <c r="O44" s="128"/>
      <c r="P44" s="126">
        <f t="shared" si="0"/>
        <v>35228.8</v>
      </c>
    </row>
    <row r="45" spans="1:16" ht="12.75">
      <c r="A45" s="65" t="s">
        <v>35</v>
      </c>
      <c r="B45" s="45"/>
      <c r="C45" s="7"/>
      <c r="D45" s="7"/>
      <c r="E45" s="46">
        <f>B45+C45+D45</f>
        <v>0</v>
      </c>
      <c r="F45" s="57">
        <v>50</v>
      </c>
      <c r="G45" s="7"/>
      <c r="H45" s="46">
        <f>E45+F45+G45</f>
        <v>50</v>
      </c>
      <c r="I45" s="158">
        <v>351</v>
      </c>
      <c r="J45" s="7"/>
      <c r="K45" s="46">
        <f>H45+I45+J45</f>
        <v>401</v>
      </c>
      <c r="L45" s="158">
        <v>3214.3</v>
      </c>
      <c r="M45" s="7"/>
      <c r="N45" s="46">
        <f>K45+L45+M45</f>
        <v>3615.3</v>
      </c>
      <c r="O45" s="128"/>
      <c r="P45" s="126">
        <f t="shared" si="0"/>
        <v>3615.3</v>
      </c>
    </row>
    <row r="46" spans="1:16" ht="12.75" hidden="1">
      <c r="A46" s="64" t="s">
        <v>36</v>
      </c>
      <c r="B46" s="45"/>
      <c r="C46" s="7"/>
      <c r="D46" s="7"/>
      <c r="E46" s="46">
        <f>B46+C46+D46</f>
        <v>0</v>
      </c>
      <c r="F46" s="57"/>
      <c r="G46" s="7"/>
      <c r="H46" s="46">
        <f>E46+F46+G46</f>
        <v>0</v>
      </c>
      <c r="I46" s="57"/>
      <c r="J46" s="7"/>
      <c r="K46" s="46">
        <f>H46+I46+J46</f>
        <v>0</v>
      </c>
      <c r="L46" s="57"/>
      <c r="M46" s="7"/>
      <c r="N46" s="46">
        <f>K46+L46+M46</f>
        <v>0</v>
      </c>
      <c r="O46" s="128"/>
      <c r="P46" s="126">
        <f t="shared" si="0"/>
        <v>0</v>
      </c>
    </row>
    <row r="47" spans="1:16" ht="12.75">
      <c r="A47" s="62" t="s">
        <v>37</v>
      </c>
      <c r="B47" s="43">
        <f>SUM(B49:B68)</f>
        <v>72553</v>
      </c>
      <c r="C47" s="6">
        <f>SUM(C49:C66)</f>
        <v>4428398.100000001</v>
      </c>
      <c r="D47" s="6">
        <f>SUM(D49:D66)</f>
        <v>0</v>
      </c>
      <c r="E47" s="44">
        <f>SUM(E49:E66)</f>
        <v>4500951.100000001</v>
      </c>
      <c r="F47" s="101">
        <f>SUM(F49:F66)</f>
        <v>372980.70000000007</v>
      </c>
      <c r="G47" s="6">
        <f>SUM(G49:G66)</f>
        <v>-92331</v>
      </c>
      <c r="H47" s="44">
        <f aca="true" t="shared" si="8" ref="H47:N47">SUM(H49:H68)</f>
        <v>4781600.8</v>
      </c>
      <c r="I47" s="101">
        <f t="shared" si="8"/>
        <v>200905.4</v>
      </c>
      <c r="J47" s="6">
        <f t="shared" si="8"/>
        <v>0</v>
      </c>
      <c r="K47" s="44">
        <f t="shared" si="8"/>
        <v>4982506.200000001</v>
      </c>
      <c r="L47" s="97">
        <f t="shared" si="8"/>
        <v>81612.09999999996</v>
      </c>
      <c r="M47" s="6">
        <f t="shared" si="8"/>
        <v>0</v>
      </c>
      <c r="N47" s="44">
        <f t="shared" si="8"/>
        <v>5064118.300000002</v>
      </c>
      <c r="O47" s="129"/>
      <c r="P47" s="110">
        <f>SUM(P49:P68)</f>
        <v>5064012.1000000015</v>
      </c>
    </row>
    <row r="48" spans="1:16" ht="10.5" customHeight="1">
      <c r="A48" s="67" t="s">
        <v>38</v>
      </c>
      <c r="B48" s="45"/>
      <c r="C48" s="7"/>
      <c r="D48" s="7"/>
      <c r="E48" s="46"/>
      <c r="F48" s="57"/>
      <c r="G48" s="7"/>
      <c r="H48" s="46"/>
      <c r="I48" s="57"/>
      <c r="J48" s="7"/>
      <c r="K48" s="46"/>
      <c r="L48" s="57"/>
      <c r="M48" s="7"/>
      <c r="N48" s="46"/>
      <c r="O48" s="128"/>
      <c r="P48" s="126"/>
    </row>
    <row r="49" spans="1:16" ht="12.75">
      <c r="A49" s="65" t="s">
        <v>39</v>
      </c>
      <c r="B49" s="45">
        <v>72303</v>
      </c>
      <c r="C49" s="7"/>
      <c r="D49" s="7"/>
      <c r="E49" s="46">
        <f>B49+C49+D49</f>
        <v>72303</v>
      </c>
      <c r="F49" s="57"/>
      <c r="G49" s="7"/>
      <c r="H49" s="46">
        <f>E49+F49+G49</f>
        <v>72303</v>
      </c>
      <c r="I49" s="57"/>
      <c r="J49" s="7"/>
      <c r="K49" s="46">
        <f>H49+I49+J49</f>
        <v>72303</v>
      </c>
      <c r="L49" s="57"/>
      <c r="M49" s="7"/>
      <c r="N49" s="46">
        <f>K49+L49+M49</f>
        <v>72303</v>
      </c>
      <c r="O49" s="128"/>
      <c r="P49" s="126">
        <f t="shared" si="0"/>
        <v>72303</v>
      </c>
    </row>
    <row r="50" spans="1:16" ht="12.75">
      <c r="A50" s="65" t="s">
        <v>40</v>
      </c>
      <c r="B50" s="45"/>
      <c r="C50" s="7">
        <f>18.9+110.8+392.2</f>
        <v>521.9</v>
      </c>
      <c r="D50" s="7"/>
      <c r="E50" s="46">
        <f aca="true" t="shared" si="9" ref="E50:E66">B50+C50+D50</f>
        <v>521.9</v>
      </c>
      <c r="F50" s="57">
        <f>150+84.4+536.1+10.1+111.3</f>
        <v>891.9</v>
      </c>
      <c r="G50" s="7"/>
      <c r="H50" s="46">
        <f aca="true" t="shared" si="10" ref="H50:H66">E50+F50+G50</f>
        <v>1413.8</v>
      </c>
      <c r="I50" s="57">
        <f>1560+238+20+100+19.2+117.5</f>
        <v>2054.7</v>
      </c>
      <c r="J50" s="7"/>
      <c r="K50" s="46">
        <f aca="true" t="shared" si="11" ref="K50:K68">H50+I50+J50</f>
        <v>3468.5</v>
      </c>
      <c r="L50" s="57">
        <f>100+87.2+150.3+217.8+106.9</f>
        <v>662.1999999999999</v>
      </c>
      <c r="M50" s="7"/>
      <c r="N50" s="46">
        <f aca="true" t="shared" si="12" ref="N50:N68">K50+L50+M50</f>
        <v>4130.7</v>
      </c>
      <c r="O50" s="128"/>
      <c r="P50" s="126">
        <f t="shared" si="0"/>
        <v>4130.7</v>
      </c>
    </row>
    <row r="51" spans="1:16" ht="12.75">
      <c r="A51" s="65" t="s">
        <v>41</v>
      </c>
      <c r="B51" s="45"/>
      <c r="C51" s="7">
        <f>50600+4333216+1373+5989.2+241.7+288.1+147.5+186.5+260+7624.7+2291.4+501.7+1166.9+341.6</f>
        <v>4404228.300000001</v>
      </c>
      <c r="D51" s="7"/>
      <c r="E51" s="46">
        <f t="shared" si="9"/>
        <v>4404228.300000001</v>
      </c>
      <c r="F51" s="57">
        <f>460.6+1876.4+149.2+612.2+2419.2+3865.7+1009.9+50000+1067.9+1083.4+4291.9+1438.3+2824.4+3374.8+367.6+202.5+3761.5+213.8+250.2+562.6+823.8+212+606.2+158.9</f>
        <v>81633</v>
      </c>
      <c r="G51" s="7">
        <v>-92331</v>
      </c>
      <c r="H51" s="46">
        <f t="shared" si="10"/>
        <v>4393530.300000001</v>
      </c>
      <c r="I51" s="57">
        <f>3529.2+3600.7+228+10899.3+584+676.8+1692.7+2895.3+47510+300+2943.6+32.4+1040+1326.5+58.6+2226.2+2906+1390.3+1759.1+3343.3+1748.4+7317+662.4+830+811.8+1010.1+1171.8+4484.6+159.4+152.6+955+1260.9+33629.1+8865.5+11081.8-59.5</f>
        <v>163022.9</v>
      </c>
      <c r="J51" s="7"/>
      <c r="K51" s="46">
        <f t="shared" si="11"/>
        <v>4556553.200000001</v>
      </c>
      <c r="L51" s="57">
        <f>1121.5+1030.2+46990+2086+502.5+782.4+1204.1+773.7</f>
        <v>54490.399999999994</v>
      </c>
      <c r="M51" s="7"/>
      <c r="N51" s="46">
        <f t="shared" si="12"/>
        <v>4611043.6000000015</v>
      </c>
      <c r="O51" s="128"/>
      <c r="P51" s="126">
        <f t="shared" si="0"/>
        <v>4611043.6000000015</v>
      </c>
    </row>
    <row r="52" spans="1:16" ht="12.75">
      <c r="A52" s="65" t="s">
        <v>42</v>
      </c>
      <c r="B52" s="45"/>
      <c r="C52" s="7">
        <f>441.6+19442.8+2924.4</f>
        <v>22808.8</v>
      </c>
      <c r="D52" s="7"/>
      <c r="E52" s="46">
        <f t="shared" si="9"/>
        <v>22808.8</v>
      </c>
      <c r="F52" s="57">
        <f>753.9+641.8+2142.4+693.4+2581.9+21303+681.9</f>
        <v>28798.300000000003</v>
      </c>
      <c r="G52" s="7"/>
      <c r="H52" s="46">
        <f t="shared" si="10"/>
        <v>51607.100000000006</v>
      </c>
      <c r="I52" s="57">
        <f>564.5+2632.2+2382.1+2895.2+482.1+12262.6+4150.7</f>
        <v>25369.4</v>
      </c>
      <c r="J52" s="7"/>
      <c r="K52" s="46">
        <f t="shared" si="11"/>
        <v>76976.5</v>
      </c>
      <c r="L52" s="57">
        <f>997.1+2726.8+2190.9+13756.4</f>
        <v>19671.2</v>
      </c>
      <c r="M52" s="7"/>
      <c r="N52" s="46">
        <f t="shared" si="12"/>
        <v>96647.7</v>
      </c>
      <c r="O52" s="128"/>
      <c r="P52" s="126">
        <f t="shared" si="0"/>
        <v>96647.7</v>
      </c>
    </row>
    <row r="53" spans="1:16" ht="12.75">
      <c r="A53" s="65" t="s">
        <v>43</v>
      </c>
      <c r="B53" s="45"/>
      <c r="C53" s="7">
        <f>1.5+12.3</f>
        <v>13.8</v>
      </c>
      <c r="D53" s="7"/>
      <c r="E53" s="46">
        <f t="shared" si="9"/>
        <v>13.8</v>
      </c>
      <c r="F53" s="57">
        <f>9.1+3.7</f>
        <v>12.8</v>
      </c>
      <c r="G53" s="7"/>
      <c r="H53" s="46">
        <f t="shared" si="10"/>
        <v>26.6</v>
      </c>
      <c r="I53" s="57">
        <f>4.9+37.9</f>
        <v>42.8</v>
      </c>
      <c r="J53" s="7"/>
      <c r="K53" s="46">
        <f t="shared" si="11"/>
        <v>69.4</v>
      </c>
      <c r="L53" s="57">
        <f>10.1+12.4+17.7+37.5</f>
        <v>77.7</v>
      </c>
      <c r="M53" s="7"/>
      <c r="N53" s="46">
        <f t="shared" si="12"/>
        <v>147.10000000000002</v>
      </c>
      <c r="O53" s="128"/>
      <c r="P53" s="126">
        <f t="shared" si="0"/>
        <v>147.10000000000002</v>
      </c>
    </row>
    <row r="54" spans="1:16" ht="12.75">
      <c r="A54" s="65" t="s">
        <v>44</v>
      </c>
      <c r="B54" s="45"/>
      <c r="C54" s="7"/>
      <c r="D54" s="7"/>
      <c r="E54" s="46">
        <f t="shared" si="9"/>
        <v>0</v>
      </c>
      <c r="F54" s="57"/>
      <c r="G54" s="7"/>
      <c r="H54" s="46">
        <f t="shared" si="10"/>
        <v>0</v>
      </c>
      <c r="I54" s="57">
        <f>285+70+370</f>
        <v>725</v>
      </c>
      <c r="J54" s="7"/>
      <c r="K54" s="46">
        <f t="shared" si="11"/>
        <v>725</v>
      </c>
      <c r="L54" s="57">
        <f>30+27+22</f>
        <v>79</v>
      </c>
      <c r="M54" s="7"/>
      <c r="N54" s="46">
        <f t="shared" si="12"/>
        <v>804</v>
      </c>
      <c r="O54" s="128"/>
      <c r="P54" s="126">
        <f t="shared" si="0"/>
        <v>804</v>
      </c>
    </row>
    <row r="55" spans="1:16" ht="12.75">
      <c r="A55" s="65" t="s">
        <v>324</v>
      </c>
      <c r="B55" s="45"/>
      <c r="C55" s="7"/>
      <c r="D55" s="7"/>
      <c r="E55" s="46">
        <f t="shared" si="9"/>
        <v>0</v>
      </c>
      <c r="F55" s="57">
        <v>80</v>
      </c>
      <c r="G55" s="7"/>
      <c r="H55" s="46">
        <f t="shared" si="10"/>
        <v>80</v>
      </c>
      <c r="I55" s="57">
        <v>60</v>
      </c>
      <c r="J55" s="7"/>
      <c r="K55" s="46">
        <f t="shared" si="11"/>
        <v>140</v>
      </c>
      <c r="L55" s="57"/>
      <c r="M55" s="7"/>
      <c r="N55" s="46">
        <f t="shared" si="12"/>
        <v>140</v>
      </c>
      <c r="O55" s="128"/>
      <c r="P55" s="126">
        <f t="shared" si="0"/>
        <v>140</v>
      </c>
    </row>
    <row r="56" spans="1:16" ht="12.75">
      <c r="A56" s="65" t="s">
        <v>45</v>
      </c>
      <c r="B56" s="45"/>
      <c r="C56" s="7"/>
      <c r="D56" s="7"/>
      <c r="E56" s="46">
        <f t="shared" si="9"/>
        <v>0</v>
      </c>
      <c r="F56" s="57">
        <f>260.6+4737+238</f>
        <v>5235.6</v>
      </c>
      <c r="G56" s="7"/>
      <c r="H56" s="46">
        <f t="shared" si="10"/>
        <v>5235.6</v>
      </c>
      <c r="I56" s="57">
        <f>441.9+5695</f>
        <v>6136.9</v>
      </c>
      <c r="J56" s="7"/>
      <c r="K56" s="46">
        <f t="shared" si="11"/>
        <v>11372.5</v>
      </c>
      <c r="L56" s="57">
        <f>220.9</f>
        <v>220.9</v>
      </c>
      <c r="M56" s="7"/>
      <c r="N56" s="46">
        <f t="shared" si="12"/>
        <v>11593.4</v>
      </c>
      <c r="O56" s="128"/>
      <c r="P56" s="126">
        <f t="shared" si="0"/>
        <v>11593.4</v>
      </c>
    </row>
    <row r="57" spans="1:16" ht="12.75">
      <c r="A57" s="65" t="s">
        <v>212</v>
      </c>
      <c r="B57" s="45"/>
      <c r="C57" s="7"/>
      <c r="D57" s="7"/>
      <c r="E57" s="46">
        <f t="shared" si="9"/>
        <v>0</v>
      </c>
      <c r="F57" s="57">
        <v>254602.6</v>
      </c>
      <c r="G57" s="7"/>
      <c r="H57" s="46">
        <f t="shared" si="10"/>
        <v>254602.6</v>
      </c>
      <c r="I57" s="57"/>
      <c r="J57" s="7"/>
      <c r="K57" s="46">
        <f t="shared" si="11"/>
        <v>254602.6</v>
      </c>
      <c r="L57" s="57"/>
      <c r="M57" s="7"/>
      <c r="N57" s="46">
        <f t="shared" si="12"/>
        <v>254602.6</v>
      </c>
      <c r="O57" s="128"/>
      <c r="P57" s="126">
        <f t="shared" si="0"/>
        <v>254602.6</v>
      </c>
    </row>
    <row r="58" spans="1:16" ht="12.75">
      <c r="A58" s="65" t="s">
        <v>262</v>
      </c>
      <c r="B58" s="45"/>
      <c r="C58" s="7"/>
      <c r="D58" s="7"/>
      <c r="E58" s="46">
        <f t="shared" si="9"/>
        <v>0</v>
      </c>
      <c r="F58" s="57"/>
      <c r="G58" s="7"/>
      <c r="H58" s="46">
        <f t="shared" si="10"/>
        <v>0</v>
      </c>
      <c r="I58" s="57">
        <v>107.1</v>
      </c>
      <c r="J58" s="7"/>
      <c r="K58" s="46">
        <f t="shared" si="11"/>
        <v>107.1</v>
      </c>
      <c r="L58" s="57"/>
      <c r="M58" s="7"/>
      <c r="N58" s="46">
        <f t="shared" si="12"/>
        <v>107.1</v>
      </c>
      <c r="O58" s="128"/>
      <c r="P58" s="126">
        <f t="shared" si="0"/>
        <v>107.1</v>
      </c>
    </row>
    <row r="59" spans="1:16" ht="12.75">
      <c r="A59" s="65" t="s">
        <v>46</v>
      </c>
      <c r="B59" s="45"/>
      <c r="C59" s="7">
        <f>545.6+38.4</f>
        <v>584</v>
      </c>
      <c r="D59" s="7"/>
      <c r="E59" s="46">
        <f t="shared" si="9"/>
        <v>584</v>
      </c>
      <c r="F59" s="57">
        <f>153.9</f>
        <v>153.9</v>
      </c>
      <c r="G59" s="7"/>
      <c r="H59" s="46">
        <f t="shared" si="10"/>
        <v>737.9</v>
      </c>
      <c r="I59" s="57">
        <f>90.1</f>
        <v>90.1</v>
      </c>
      <c r="J59" s="7"/>
      <c r="K59" s="46">
        <f t="shared" si="11"/>
        <v>828</v>
      </c>
      <c r="L59" s="57">
        <f>171.7+210.7</f>
        <v>382.4</v>
      </c>
      <c r="M59" s="7"/>
      <c r="N59" s="46">
        <f t="shared" si="12"/>
        <v>1210.4</v>
      </c>
      <c r="O59" s="143"/>
      <c r="P59" s="126">
        <f t="shared" si="0"/>
        <v>1210.4</v>
      </c>
    </row>
    <row r="60" spans="1:16" ht="12.75">
      <c r="A60" s="65" t="s">
        <v>47</v>
      </c>
      <c r="B60" s="45"/>
      <c r="C60" s="7"/>
      <c r="D60" s="7"/>
      <c r="E60" s="46">
        <f t="shared" si="9"/>
        <v>0</v>
      </c>
      <c r="F60" s="57"/>
      <c r="G60" s="7"/>
      <c r="H60" s="46">
        <f t="shared" si="10"/>
        <v>0</v>
      </c>
      <c r="I60" s="158">
        <v>250</v>
      </c>
      <c r="J60" s="7"/>
      <c r="K60" s="46">
        <f t="shared" si="11"/>
        <v>250</v>
      </c>
      <c r="L60" s="57"/>
      <c r="M60" s="7"/>
      <c r="N60" s="46">
        <f t="shared" si="12"/>
        <v>250</v>
      </c>
      <c r="O60" s="128"/>
      <c r="P60" s="126">
        <f t="shared" si="0"/>
        <v>250</v>
      </c>
    </row>
    <row r="61" spans="1:16" ht="12.75" hidden="1">
      <c r="A61" s="65" t="s">
        <v>263</v>
      </c>
      <c r="B61" s="45"/>
      <c r="C61" s="7"/>
      <c r="D61" s="7"/>
      <c r="E61" s="46">
        <f t="shared" si="9"/>
        <v>0</v>
      </c>
      <c r="F61" s="57"/>
      <c r="G61" s="7"/>
      <c r="H61" s="46">
        <f t="shared" si="10"/>
        <v>0</v>
      </c>
      <c r="I61" s="158"/>
      <c r="J61" s="7"/>
      <c r="K61" s="46">
        <f t="shared" si="11"/>
        <v>0</v>
      </c>
      <c r="L61" s="57"/>
      <c r="M61" s="7"/>
      <c r="N61" s="46">
        <f t="shared" si="12"/>
        <v>0</v>
      </c>
      <c r="O61" s="128"/>
      <c r="P61" s="126">
        <f t="shared" si="0"/>
        <v>0</v>
      </c>
    </row>
    <row r="62" spans="1:16" ht="12.75" hidden="1">
      <c r="A62" s="65" t="s">
        <v>48</v>
      </c>
      <c r="B62" s="45"/>
      <c r="C62" s="7"/>
      <c r="D62" s="7"/>
      <c r="E62" s="46">
        <f t="shared" si="9"/>
        <v>0</v>
      </c>
      <c r="F62" s="57"/>
      <c r="G62" s="7"/>
      <c r="H62" s="46">
        <f t="shared" si="10"/>
        <v>0</v>
      </c>
      <c r="I62" s="57"/>
      <c r="J62" s="7"/>
      <c r="K62" s="46">
        <f t="shared" si="11"/>
        <v>0</v>
      </c>
      <c r="L62" s="57"/>
      <c r="M62" s="7"/>
      <c r="N62" s="46">
        <f t="shared" si="12"/>
        <v>0</v>
      </c>
      <c r="O62" s="128"/>
      <c r="P62" s="126">
        <f t="shared" si="0"/>
        <v>0</v>
      </c>
    </row>
    <row r="63" spans="1:16" ht="12.75">
      <c r="A63" s="65" t="s">
        <v>59</v>
      </c>
      <c r="B63" s="45"/>
      <c r="C63" s="7">
        <f>7+76.8+4.5+153</f>
        <v>241.3</v>
      </c>
      <c r="D63" s="7"/>
      <c r="E63" s="46">
        <f t="shared" si="9"/>
        <v>241.3</v>
      </c>
      <c r="F63" s="57">
        <f>304.5+110.5+36.1+114.6</f>
        <v>565.7</v>
      </c>
      <c r="G63" s="7"/>
      <c r="H63" s="46">
        <f t="shared" si="10"/>
        <v>807</v>
      </c>
      <c r="I63" s="57">
        <f>1324.8+331.2+110.5+51+502.6</f>
        <v>2320.1</v>
      </c>
      <c r="J63" s="7"/>
      <c r="K63" s="46">
        <f t="shared" si="11"/>
        <v>3127.1</v>
      </c>
      <c r="L63" s="57">
        <f>714.4+355.7+2988.6+644.5</f>
        <v>4703.2</v>
      </c>
      <c r="M63" s="7"/>
      <c r="N63" s="46">
        <f t="shared" si="12"/>
        <v>7830.299999999999</v>
      </c>
      <c r="O63" s="128"/>
      <c r="P63" s="126">
        <f t="shared" si="0"/>
        <v>7830.299999999999</v>
      </c>
    </row>
    <row r="64" spans="1:16" ht="12.75" hidden="1">
      <c r="A64" s="65" t="s">
        <v>49</v>
      </c>
      <c r="B64" s="45"/>
      <c r="C64" s="7"/>
      <c r="D64" s="7"/>
      <c r="E64" s="46">
        <f t="shared" si="9"/>
        <v>0</v>
      </c>
      <c r="F64" s="57"/>
      <c r="G64" s="7"/>
      <c r="H64" s="46">
        <f t="shared" si="10"/>
        <v>0</v>
      </c>
      <c r="I64" s="57"/>
      <c r="J64" s="7"/>
      <c r="K64" s="46">
        <f t="shared" si="11"/>
        <v>0</v>
      </c>
      <c r="L64" s="57"/>
      <c r="M64" s="7"/>
      <c r="N64" s="46">
        <f t="shared" si="12"/>
        <v>0</v>
      </c>
      <c r="O64" s="128"/>
      <c r="P64" s="126">
        <f t="shared" si="0"/>
        <v>0</v>
      </c>
    </row>
    <row r="65" spans="1:16" ht="12.75">
      <c r="A65" s="65" t="s">
        <v>50</v>
      </c>
      <c r="B65" s="45"/>
      <c r="C65" s="7"/>
      <c r="D65" s="7"/>
      <c r="E65" s="46">
        <f t="shared" si="9"/>
        <v>0</v>
      </c>
      <c r="F65" s="57">
        <v>1006.9</v>
      </c>
      <c r="G65" s="7"/>
      <c r="H65" s="46">
        <f t="shared" si="10"/>
        <v>1006.9</v>
      </c>
      <c r="I65" s="57"/>
      <c r="J65" s="7"/>
      <c r="K65" s="46">
        <f t="shared" si="11"/>
        <v>1006.9</v>
      </c>
      <c r="L65" s="57"/>
      <c r="M65" s="7"/>
      <c r="N65" s="46">
        <f t="shared" si="12"/>
        <v>1006.9</v>
      </c>
      <c r="O65" s="128"/>
      <c r="P65" s="126">
        <f t="shared" si="0"/>
        <v>1006.9</v>
      </c>
    </row>
    <row r="66" spans="1:16" ht="12.75">
      <c r="A66" s="65" t="s">
        <v>51</v>
      </c>
      <c r="B66" s="45">
        <v>250</v>
      </c>
      <c r="C66" s="7"/>
      <c r="D66" s="7"/>
      <c r="E66" s="46">
        <f t="shared" si="9"/>
        <v>250</v>
      </c>
      <c r="F66" s="57"/>
      <c r="G66" s="7"/>
      <c r="H66" s="46">
        <f t="shared" si="10"/>
        <v>250</v>
      </c>
      <c r="I66" s="57">
        <f>726.4</f>
        <v>726.4</v>
      </c>
      <c r="J66" s="7"/>
      <c r="K66" s="46">
        <f t="shared" si="11"/>
        <v>976.4</v>
      </c>
      <c r="L66" s="57">
        <v>1218.9</v>
      </c>
      <c r="M66" s="7"/>
      <c r="N66" s="46">
        <f t="shared" si="12"/>
        <v>2195.3</v>
      </c>
      <c r="O66" s="128"/>
      <c r="P66" s="126">
        <f t="shared" si="0"/>
        <v>2195.3</v>
      </c>
    </row>
    <row r="67" spans="1:16" ht="12.75">
      <c r="A67" s="65" t="s">
        <v>352</v>
      </c>
      <c r="B67" s="45"/>
      <c r="C67" s="7"/>
      <c r="D67" s="7"/>
      <c r="E67" s="46"/>
      <c r="F67" s="57"/>
      <c r="G67" s="7"/>
      <c r="H67" s="46"/>
      <c r="I67" s="57"/>
      <c r="J67" s="7"/>
      <c r="K67" s="46"/>
      <c r="L67" s="158">
        <v>106.2</v>
      </c>
      <c r="M67" s="7"/>
      <c r="N67" s="46">
        <f t="shared" si="12"/>
        <v>106.2</v>
      </c>
      <c r="O67" s="128"/>
      <c r="P67" s="126"/>
    </row>
    <row r="68" spans="1:16" ht="12.75" hidden="1">
      <c r="A68" s="65" t="s">
        <v>281</v>
      </c>
      <c r="B68" s="45"/>
      <c r="C68" s="7"/>
      <c r="D68" s="7"/>
      <c r="E68" s="46"/>
      <c r="F68" s="57"/>
      <c r="G68" s="7"/>
      <c r="H68" s="46"/>
      <c r="I68" s="57"/>
      <c r="J68" s="7"/>
      <c r="K68" s="46">
        <f t="shared" si="11"/>
        <v>0</v>
      </c>
      <c r="L68" s="57"/>
      <c r="M68" s="7"/>
      <c r="N68" s="46">
        <f t="shared" si="12"/>
        <v>0</v>
      </c>
      <c r="O68" s="128"/>
      <c r="P68" s="126">
        <f t="shared" si="0"/>
        <v>0</v>
      </c>
    </row>
    <row r="69" spans="1:16" ht="12.75" hidden="1">
      <c r="A69" s="66" t="s">
        <v>52</v>
      </c>
      <c r="B69" s="47">
        <f>SUM(B71:B73)</f>
        <v>0</v>
      </c>
      <c r="C69" s="8">
        <f>SUM(C71:C73)</f>
        <v>0</v>
      </c>
      <c r="D69" s="8"/>
      <c r="E69" s="48">
        <f>SUM(E71:E73)</f>
        <v>0</v>
      </c>
      <c r="F69" s="149"/>
      <c r="G69" s="8"/>
      <c r="H69" s="48">
        <f>SUM(H71:H73)</f>
        <v>0</v>
      </c>
      <c r="I69" s="148">
        <f>SUM(I71:I73)</f>
        <v>0</v>
      </c>
      <c r="J69" s="8">
        <f>SUM(J71:J73)</f>
        <v>0</v>
      </c>
      <c r="K69" s="48">
        <f>SUM(K71:K73)</f>
        <v>0</v>
      </c>
      <c r="L69" s="149"/>
      <c r="M69" s="8"/>
      <c r="N69" s="48">
        <f>SUM(N71:N73)</f>
        <v>0</v>
      </c>
      <c r="O69" s="131"/>
      <c r="P69" s="59">
        <f>SUM(P71:P73)</f>
        <v>0</v>
      </c>
    </row>
    <row r="70" spans="1:16" ht="12.75" hidden="1">
      <c r="A70" s="63" t="s">
        <v>38</v>
      </c>
      <c r="B70" s="45"/>
      <c r="C70" s="7"/>
      <c r="D70" s="7"/>
      <c r="E70" s="46"/>
      <c r="F70" s="57"/>
      <c r="G70" s="7"/>
      <c r="H70" s="46"/>
      <c r="I70" s="57"/>
      <c r="J70" s="7"/>
      <c r="K70" s="46"/>
      <c r="L70" s="57"/>
      <c r="M70" s="7"/>
      <c r="N70" s="46">
        <f>K70+L70+M70</f>
        <v>0</v>
      </c>
      <c r="O70" s="128"/>
      <c r="P70" s="126"/>
    </row>
    <row r="71" spans="1:16" ht="12.75" hidden="1">
      <c r="A71" s="65" t="s">
        <v>53</v>
      </c>
      <c r="B71" s="45"/>
      <c r="C71" s="7"/>
      <c r="D71" s="7"/>
      <c r="E71" s="46">
        <f>B71+C71+D71</f>
        <v>0</v>
      </c>
      <c r="F71" s="57"/>
      <c r="G71" s="7"/>
      <c r="H71" s="46">
        <f>E71+F71+G71</f>
        <v>0</v>
      </c>
      <c r="I71" s="57"/>
      <c r="J71" s="7"/>
      <c r="K71" s="46">
        <f>H71+I71+J71</f>
        <v>0</v>
      </c>
      <c r="L71" s="57"/>
      <c r="M71" s="7"/>
      <c r="N71" s="46">
        <f>K71+L71+M71</f>
        <v>0</v>
      </c>
      <c r="O71" s="128"/>
      <c r="P71" s="126">
        <f t="shared" si="0"/>
        <v>0</v>
      </c>
    </row>
    <row r="72" spans="1:16" ht="12.75" hidden="1">
      <c r="A72" s="65" t="s">
        <v>54</v>
      </c>
      <c r="B72" s="45"/>
      <c r="C72" s="7"/>
      <c r="D72" s="7"/>
      <c r="E72" s="46">
        <f>B72+C72+D72</f>
        <v>0</v>
      </c>
      <c r="F72" s="57"/>
      <c r="G72" s="7"/>
      <c r="H72" s="46">
        <f>E72+F72+G72</f>
        <v>0</v>
      </c>
      <c r="I72" s="57"/>
      <c r="J72" s="7"/>
      <c r="K72" s="46">
        <f>H72+I72+J72</f>
        <v>0</v>
      </c>
      <c r="L72" s="57"/>
      <c r="M72" s="7"/>
      <c r="N72" s="46">
        <f>K72+L72+M72</f>
        <v>0</v>
      </c>
      <c r="O72" s="128"/>
      <c r="P72" s="126">
        <f t="shared" si="0"/>
        <v>0</v>
      </c>
    </row>
    <row r="73" spans="1:16" ht="12.75" hidden="1">
      <c r="A73" s="65" t="s">
        <v>55</v>
      </c>
      <c r="B73" s="45"/>
      <c r="C73" s="7"/>
      <c r="D73" s="7"/>
      <c r="E73" s="46">
        <f>B73+C73+D73</f>
        <v>0</v>
      </c>
      <c r="F73" s="57"/>
      <c r="G73" s="7"/>
      <c r="H73" s="46">
        <f>E73+F73+G73</f>
        <v>0</v>
      </c>
      <c r="I73" s="57"/>
      <c r="J73" s="7"/>
      <c r="K73" s="46">
        <f>H73+I73+J73</f>
        <v>0</v>
      </c>
      <c r="L73" s="57"/>
      <c r="M73" s="7"/>
      <c r="N73" s="46">
        <f>K73+L73+M73</f>
        <v>0</v>
      </c>
      <c r="O73" s="128"/>
      <c r="P73" s="126">
        <f t="shared" si="0"/>
        <v>0</v>
      </c>
    </row>
    <row r="74" spans="1:16" ht="12.75">
      <c r="A74" s="62" t="s">
        <v>56</v>
      </c>
      <c r="B74" s="43">
        <f>SUM(B76:B88)</f>
        <v>0</v>
      </c>
      <c r="C74" s="6">
        <f aca="true" t="shared" si="13" ref="C74:J74">SUM(C76:C87)</f>
        <v>10798.2</v>
      </c>
      <c r="D74" s="6">
        <f t="shared" si="13"/>
        <v>0</v>
      </c>
      <c r="E74" s="44">
        <f t="shared" si="13"/>
        <v>10798.2</v>
      </c>
      <c r="F74" s="101">
        <f t="shared" si="13"/>
        <v>34025</v>
      </c>
      <c r="G74" s="6">
        <f t="shared" si="13"/>
        <v>0</v>
      </c>
      <c r="H74" s="44">
        <f>SUM(H76:H88)</f>
        <v>44823.200000000004</v>
      </c>
      <c r="I74" s="101">
        <f>SUM(I76:I88)</f>
        <v>51097.700000000004</v>
      </c>
      <c r="J74" s="6">
        <f t="shared" si="13"/>
        <v>0</v>
      </c>
      <c r="K74" s="44">
        <f>SUM(K76:K88)</f>
        <v>95920.90000000001</v>
      </c>
      <c r="L74" s="97">
        <f>SUM(L76:L88)</f>
        <v>24133.6</v>
      </c>
      <c r="M74" s="6">
        <f>SUM(M76:M88)</f>
        <v>0</v>
      </c>
      <c r="N74" s="44">
        <f>SUM(N76:N88)</f>
        <v>120054.49999999999</v>
      </c>
      <c r="O74" s="129"/>
      <c r="P74" s="110">
        <f>SUM(P76:P87)</f>
        <v>119054.49999999999</v>
      </c>
    </row>
    <row r="75" spans="1:16" ht="12.75">
      <c r="A75" s="67" t="s">
        <v>38</v>
      </c>
      <c r="B75" s="45"/>
      <c r="C75" s="7"/>
      <c r="D75" s="7"/>
      <c r="E75" s="46"/>
      <c r="F75" s="57"/>
      <c r="G75" s="7"/>
      <c r="H75" s="46"/>
      <c r="I75" s="57"/>
      <c r="J75" s="7"/>
      <c r="K75" s="46"/>
      <c r="L75" s="57"/>
      <c r="M75" s="7"/>
      <c r="N75" s="46"/>
      <c r="O75" s="128"/>
      <c r="P75" s="126"/>
    </row>
    <row r="76" spans="1:16" ht="12.75">
      <c r="A76" s="65" t="s">
        <v>41</v>
      </c>
      <c r="B76" s="45"/>
      <c r="C76" s="7"/>
      <c r="D76" s="7"/>
      <c r="E76" s="46">
        <f>B76+C76+D76</f>
        <v>0</v>
      </c>
      <c r="F76" s="57">
        <v>1704</v>
      </c>
      <c r="G76" s="7"/>
      <c r="H76" s="46">
        <f>E76+F76+G76</f>
        <v>1704</v>
      </c>
      <c r="I76" s="57">
        <f>42+14849.7</f>
        <v>14891.7</v>
      </c>
      <c r="J76" s="7"/>
      <c r="K76" s="46">
        <f>H76+I76+J76</f>
        <v>16595.7</v>
      </c>
      <c r="L76" s="57"/>
      <c r="M76" s="7"/>
      <c r="N76" s="46">
        <f>K76+L76+M76</f>
        <v>16595.7</v>
      </c>
      <c r="O76" s="128"/>
      <c r="P76" s="126">
        <f t="shared" si="0"/>
        <v>16595.7</v>
      </c>
    </row>
    <row r="77" spans="1:16" ht="12.75" hidden="1">
      <c r="A77" s="69" t="s">
        <v>42</v>
      </c>
      <c r="B77" s="45"/>
      <c r="C77" s="7"/>
      <c r="D77" s="7"/>
      <c r="E77" s="46">
        <f aca="true" t="shared" si="14" ref="E77:E87">B77+C77+D77</f>
        <v>0</v>
      </c>
      <c r="F77" s="57"/>
      <c r="G77" s="7"/>
      <c r="H77" s="46">
        <f aca="true" t="shared" si="15" ref="H77:H88">E77+F77+G77</f>
        <v>0</v>
      </c>
      <c r="I77" s="57"/>
      <c r="J77" s="7"/>
      <c r="K77" s="46">
        <f aca="true" t="shared" si="16" ref="K77:K88">H77+I77+J77</f>
        <v>0</v>
      </c>
      <c r="L77" s="57"/>
      <c r="M77" s="7"/>
      <c r="N77" s="46">
        <f aca="true" t="shared" si="17" ref="N77:N88">K77+L77+M77</f>
        <v>0</v>
      </c>
      <c r="O77" s="128"/>
      <c r="P77" s="126">
        <f t="shared" si="0"/>
        <v>0</v>
      </c>
    </row>
    <row r="78" spans="1:16" ht="12.75" hidden="1">
      <c r="A78" s="69" t="s">
        <v>40</v>
      </c>
      <c r="B78" s="45"/>
      <c r="C78" s="7"/>
      <c r="D78" s="7"/>
      <c r="E78" s="46">
        <f t="shared" si="14"/>
        <v>0</v>
      </c>
      <c r="F78" s="57"/>
      <c r="G78" s="7"/>
      <c r="H78" s="46">
        <f t="shared" si="15"/>
        <v>0</v>
      </c>
      <c r="I78" s="57"/>
      <c r="J78" s="7"/>
      <c r="K78" s="46">
        <f t="shared" si="16"/>
        <v>0</v>
      </c>
      <c r="L78" s="57"/>
      <c r="M78" s="7"/>
      <c r="N78" s="46">
        <f t="shared" si="17"/>
        <v>0</v>
      </c>
      <c r="O78" s="128"/>
      <c r="P78" s="126">
        <f t="shared" si="0"/>
        <v>0</v>
      </c>
    </row>
    <row r="79" spans="1:16" ht="12.75" hidden="1">
      <c r="A79" s="69" t="s">
        <v>57</v>
      </c>
      <c r="B79" s="45"/>
      <c r="C79" s="7"/>
      <c r="D79" s="7"/>
      <c r="E79" s="46">
        <f t="shared" si="14"/>
        <v>0</v>
      </c>
      <c r="F79" s="57"/>
      <c r="G79" s="7"/>
      <c r="H79" s="46">
        <f t="shared" si="15"/>
        <v>0</v>
      </c>
      <c r="I79" s="57"/>
      <c r="J79" s="7"/>
      <c r="K79" s="46">
        <f t="shared" si="16"/>
        <v>0</v>
      </c>
      <c r="L79" s="57"/>
      <c r="M79" s="7"/>
      <c r="N79" s="46">
        <f t="shared" si="17"/>
        <v>0</v>
      </c>
      <c r="O79" s="128"/>
      <c r="P79" s="126">
        <f t="shared" si="0"/>
        <v>0</v>
      </c>
    </row>
    <row r="80" spans="1:16" ht="12.75">
      <c r="A80" s="65" t="s">
        <v>43</v>
      </c>
      <c r="B80" s="45"/>
      <c r="C80" s="7">
        <f>180.8</f>
        <v>180.8</v>
      </c>
      <c r="D80" s="7"/>
      <c r="E80" s="46">
        <f t="shared" si="14"/>
        <v>180.8</v>
      </c>
      <c r="F80" s="57">
        <f>530.1+339.5</f>
        <v>869.6</v>
      </c>
      <c r="G80" s="7"/>
      <c r="H80" s="46">
        <f t="shared" si="15"/>
        <v>1050.4</v>
      </c>
      <c r="I80" s="57">
        <f>610.2+197.7</f>
        <v>807.9000000000001</v>
      </c>
      <c r="J80" s="7"/>
      <c r="K80" s="46">
        <f t="shared" si="16"/>
        <v>1858.3000000000002</v>
      </c>
      <c r="L80" s="57">
        <f>938.5</f>
        <v>938.5</v>
      </c>
      <c r="M80" s="7"/>
      <c r="N80" s="46">
        <f t="shared" si="17"/>
        <v>2796.8</v>
      </c>
      <c r="O80" s="128"/>
      <c r="P80" s="126">
        <f aca="true" t="shared" si="18" ref="P80:P147">N80+O80</f>
        <v>2796.8</v>
      </c>
    </row>
    <row r="81" spans="1:16" ht="12.75">
      <c r="A81" s="65" t="s">
        <v>262</v>
      </c>
      <c r="B81" s="45"/>
      <c r="C81" s="7"/>
      <c r="D81" s="7"/>
      <c r="E81" s="46">
        <f t="shared" si="14"/>
        <v>0</v>
      </c>
      <c r="F81" s="57"/>
      <c r="G81" s="7"/>
      <c r="H81" s="46">
        <f t="shared" si="15"/>
        <v>0</v>
      </c>
      <c r="I81" s="57">
        <v>5996.9</v>
      </c>
      <c r="J81" s="7"/>
      <c r="K81" s="46">
        <f t="shared" si="16"/>
        <v>5996.9</v>
      </c>
      <c r="L81" s="57"/>
      <c r="M81" s="7"/>
      <c r="N81" s="46">
        <f t="shared" si="17"/>
        <v>5996.9</v>
      </c>
      <c r="O81" s="128"/>
      <c r="P81" s="126">
        <f t="shared" si="18"/>
        <v>5996.9</v>
      </c>
    </row>
    <row r="82" spans="1:16" ht="12.75">
      <c r="A82" s="65" t="s">
        <v>263</v>
      </c>
      <c r="B82" s="45"/>
      <c r="C82" s="7"/>
      <c r="D82" s="7"/>
      <c r="E82" s="46">
        <f t="shared" si="14"/>
        <v>0</v>
      </c>
      <c r="F82" s="57"/>
      <c r="G82" s="7"/>
      <c r="H82" s="46">
        <f t="shared" si="15"/>
        <v>0</v>
      </c>
      <c r="I82" s="57">
        <v>535.5</v>
      </c>
      <c r="J82" s="7"/>
      <c r="K82" s="46">
        <f t="shared" si="16"/>
        <v>535.5</v>
      </c>
      <c r="L82" s="57"/>
      <c r="M82" s="7"/>
      <c r="N82" s="46">
        <f t="shared" si="17"/>
        <v>535.5</v>
      </c>
      <c r="O82" s="128"/>
      <c r="P82" s="126">
        <f t="shared" si="18"/>
        <v>535.5</v>
      </c>
    </row>
    <row r="83" spans="1:16" ht="12.75" hidden="1">
      <c r="A83" s="65" t="s">
        <v>58</v>
      </c>
      <c r="B83" s="45"/>
      <c r="C83" s="7"/>
      <c r="D83" s="7"/>
      <c r="E83" s="46">
        <f t="shared" si="14"/>
        <v>0</v>
      </c>
      <c r="F83" s="57"/>
      <c r="G83" s="7"/>
      <c r="H83" s="46">
        <f t="shared" si="15"/>
        <v>0</v>
      </c>
      <c r="I83" s="57"/>
      <c r="J83" s="7"/>
      <c r="K83" s="46">
        <f t="shared" si="16"/>
        <v>0</v>
      </c>
      <c r="L83" s="57"/>
      <c r="M83" s="7"/>
      <c r="N83" s="46">
        <f t="shared" si="17"/>
        <v>0</v>
      </c>
      <c r="O83" s="128"/>
      <c r="P83" s="126">
        <f t="shared" si="18"/>
        <v>0</v>
      </c>
    </row>
    <row r="84" spans="1:16" ht="12.75">
      <c r="A84" s="65" t="s">
        <v>59</v>
      </c>
      <c r="B84" s="45"/>
      <c r="C84" s="7">
        <f>951.2+656.2+83.3+2047.9+1810.1+639</f>
        <v>6187.700000000001</v>
      </c>
      <c r="D84" s="7"/>
      <c r="E84" s="46">
        <f t="shared" si="14"/>
        <v>6187.700000000001</v>
      </c>
      <c r="F84" s="57">
        <f>899.5+954.2+479.2+6799.2+7101.8+808.1+2510.3+2886.9</f>
        <v>22439.2</v>
      </c>
      <c r="G84" s="7"/>
      <c r="H84" s="46">
        <f t="shared" si="15"/>
        <v>28626.9</v>
      </c>
      <c r="I84" s="57">
        <f>1058.6+9683.4+2510.1+1398.1+826.3+985.3+805.3+900.7+675.5</f>
        <v>18843.3</v>
      </c>
      <c r="J84" s="7"/>
      <c r="K84" s="46">
        <f t="shared" si="16"/>
        <v>47470.2</v>
      </c>
      <c r="L84" s="57">
        <f>1911.2+672.4+908.2+9704.9+6879.9+618.5</f>
        <v>20695.1</v>
      </c>
      <c r="M84" s="7"/>
      <c r="N84" s="46">
        <f t="shared" si="17"/>
        <v>68165.29999999999</v>
      </c>
      <c r="O84" s="128"/>
      <c r="P84" s="126">
        <f t="shared" si="18"/>
        <v>68165.29999999999</v>
      </c>
    </row>
    <row r="85" spans="1:16" ht="12.75">
      <c r="A85" s="65" t="s">
        <v>60</v>
      </c>
      <c r="B85" s="45"/>
      <c r="C85" s="7"/>
      <c r="D85" s="7"/>
      <c r="E85" s="46">
        <f t="shared" si="14"/>
        <v>0</v>
      </c>
      <c r="F85" s="57"/>
      <c r="G85" s="7"/>
      <c r="H85" s="46">
        <f t="shared" si="15"/>
        <v>0</v>
      </c>
      <c r="I85" s="57"/>
      <c r="J85" s="7"/>
      <c r="K85" s="46">
        <f t="shared" si="16"/>
        <v>0</v>
      </c>
      <c r="L85" s="57">
        <v>2500</v>
      </c>
      <c r="M85" s="7"/>
      <c r="N85" s="46">
        <f t="shared" si="17"/>
        <v>2500</v>
      </c>
      <c r="O85" s="128"/>
      <c r="P85" s="126">
        <f t="shared" si="18"/>
        <v>2500</v>
      </c>
    </row>
    <row r="86" spans="1:16" ht="12.75">
      <c r="A86" s="65" t="s">
        <v>46</v>
      </c>
      <c r="B86" s="45"/>
      <c r="C86" s="7">
        <f>4429.7</f>
        <v>4429.7</v>
      </c>
      <c r="D86" s="7"/>
      <c r="E86" s="46">
        <f t="shared" si="14"/>
        <v>4429.7</v>
      </c>
      <c r="F86" s="57">
        <f>9012.2</f>
        <v>9012.2</v>
      </c>
      <c r="G86" s="7"/>
      <c r="H86" s="46">
        <f t="shared" si="15"/>
        <v>13441.900000000001</v>
      </c>
      <c r="I86" s="57">
        <f>9022.4</f>
        <v>9022.4</v>
      </c>
      <c r="J86" s="7"/>
      <c r="K86" s="46">
        <f t="shared" si="16"/>
        <v>22464.300000000003</v>
      </c>
      <c r="L86" s="57"/>
      <c r="M86" s="7"/>
      <c r="N86" s="46">
        <f t="shared" si="17"/>
        <v>22464.300000000003</v>
      </c>
      <c r="O86" s="143"/>
      <c r="P86" s="126">
        <f t="shared" si="18"/>
        <v>22464.300000000003</v>
      </c>
    </row>
    <row r="87" spans="1:16" ht="12.75" hidden="1">
      <c r="A87" s="65" t="s">
        <v>61</v>
      </c>
      <c r="B87" s="45"/>
      <c r="C87" s="7"/>
      <c r="D87" s="7"/>
      <c r="E87" s="46">
        <f t="shared" si="14"/>
        <v>0</v>
      </c>
      <c r="F87" s="57"/>
      <c r="G87" s="7"/>
      <c r="H87" s="46">
        <f t="shared" si="15"/>
        <v>0</v>
      </c>
      <c r="I87" s="57"/>
      <c r="J87" s="7"/>
      <c r="K87" s="46">
        <f t="shared" si="16"/>
        <v>0</v>
      </c>
      <c r="L87" s="57"/>
      <c r="M87" s="7"/>
      <c r="N87" s="46">
        <f t="shared" si="17"/>
        <v>0</v>
      </c>
      <c r="O87" s="128"/>
      <c r="P87" s="126">
        <f t="shared" si="18"/>
        <v>0</v>
      </c>
    </row>
    <row r="88" spans="1:16" ht="12.75">
      <c r="A88" s="65" t="s">
        <v>51</v>
      </c>
      <c r="B88" s="45"/>
      <c r="C88" s="7"/>
      <c r="D88" s="7"/>
      <c r="E88" s="46"/>
      <c r="F88" s="57"/>
      <c r="G88" s="7"/>
      <c r="H88" s="46">
        <f t="shared" si="15"/>
        <v>0</v>
      </c>
      <c r="I88" s="57">
        <v>1000</v>
      </c>
      <c r="J88" s="7"/>
      <c r="K88" s="46">
        <f t="shared" si="16"/>
        <v>1000</v>
      </c>
      <c r="L88" s="57"/>
      <c r="M88" s="7"/>
      <c r="N88" s="46">
        <f t="shared" si="17"/>
        <v>1000</v>
      </c>
      <c r="O88" s="128"/>
      <c r="P88" s="126"/>
    </row>
    <row r="89" spans="1:16" ht="12.75" hidden="1">
      <c r="A89" s="66" t="s">
        <v>62</v>
      </c>
      <c r="B89" s="47">
        <f>SUM(B91:B93)</f>
        <v>0</v>
      </c>
      <c r="C89" s="8">
        <f>SUM(C91:C93)</f>
        <v>0</v>
      </c>
      <c r="D89" s="8"/>
      <c r="E89" s="48">
        <f>SUM(E91:E93)</f>
        <v>0</v>
      </c>
      <c r="F89" s="149"/>
      <c r="G89" s="8"/>
      <c r="H89" s="48">
        <f>SUM(H91:H93)</f>
        <v>0</v>
      </c>
      <c r="I89" s="149"/>
      <c r="J89" s="8"/>
      <c r="K89" s="48">
        <f>SUM(K91:K93)</f>
        <v>0</v>
      </c>
      <c r="L89" s="149"/>
      <c r="M89" s="8"/>
      <c r="N89" s="48">
        <f>SUM(N91:N93)</f>
        <v>0</v>
      </c>
      <c r="O89" s="131"/>
      <c r="P89" s="59">
        <f>SUM(P91:P93)</f>
        <v>0</v>
      </c>
    </row>
    <row r="90" spans="1:16" ht="12.75" hidden="1">
      <c r="A90" s="63" t="s">
        <v>38</v>
      </c>
      <c r="B90" s="45"/>
      <c r="C90" s="7"/>
      <c r="D90" s="7"/>
      <c r="E90" s="46"/>
      <c r="F90" s="57"/>
      <c r="G90" s="7"/>
      <c r="H90" s="46"/>
      <c r="I90" s="57"/>
      <c r="J90" s="7"/>
      <c r="K90" s="46"/>
      <c r="L90" s="57"/>
      <c r="M90" s="7"/>
      <c r="N90" s="46"/>
      <c r="O90" s="128"/>
      <c r="P90" s="126"/>
    </row>
    <row r="91" spans="1:16" ht="12.75" hidden="1">
      <c r="A91" s="65" t="s">
        <v>63</v>
      </c>
      <c r="B91" s="45"/>
      <c r="C91" s="7"/>
      <c r="D91" s="7"/>
      <c r="E91" s="46">
        <f>B91+C91+D91</f>
        <v>0</v>
      </c>
      <c r="F91" s="57"/>
      <c r="G91" s="7"/>
      <c r="H91" s="46">
        <f>E91+F91+G91</f>
        <v>0</v>
      </c>
      <c r="I91" s="57"/>
      <c r="J91" s="7"/>
      <c r="K91" s="46">
        <f>H91+I91+J91</f>
        <v>0</v>
      </c>
      <c r="L91" s="57"/>
      <c r="M91" s="7"/>
      <c r="N91" s="46">
        <f>K91+L91+M91</f>
        <v>0</v>
      </c>
      <c r="O91" s="128"/>
      <c r="P91" s="126">
        <f t="shared" si="18"/>
        <v>0</v>
      </c>
    </row>
    <row r="92" spans="1:16" ht="12.75" hidden="1">
      <c r="A92" s="65" t="s">
        <v>35</v>
      </c>
      <c r="B92" s="45"/>
      <c r="C92" s="7"/>
      <c r="D92" s="7"/>
      <c r="E92" s="46">
        <f>B92+C92+D92</f>
        <v>0</v>
      </c>
      <c r="F92" s="57"/>
      <c r="G92" s="7"/>
      <c r="H92" s="46">
        <f>E92+F92+G92</f>
        <v>0</v>
      </c>
      <c r="I92" s="57"/>
      <c r="J92" s="7"/>
      <c r="K92" s="46">
        <f>H92+I92+J92</f>
        <v>0</v>
      </c>
      <c r="L92" s="57"/>
      <c r="M92" s="7"/>
      <c r="N92" s="46">
        <f>K92+L92+M92</f>
        <v>0</v>
      </c>
      <c r="O92" s="128"/>
      <c r="P92" s="126">
        <f t="shared" si="18"/>
        <v>0</v>
      </c>
    </row>
    <row r="93" spans="1:16" ht="12.75" hidden="1">
      <c r="A93" s="65" t="s">
        <v>54</v>
      </c>
      <c r="B93" s="45"/>
      <c r="C93" s="7"/>
      <c r="D93" s="7"/>
      <c r="E93" s="46">
        <f>B93+C93+D93</f>
        <v>0</v>
      </c>
      <c r="F93" s="57"/>
      <c r="G93" s="7"/>
      <c r="H93" s="46">
        <f>E93+F93+G93</f>
        <v>0</v>
      </c>
      <c r="I93" s="57"/>
      <c r="J93" s="7"/>
      <c r="K93" s="46">
        <f>H93+I93+J93</f>
        <v>0</v>
      </c>
      <c r="L93" s="57"/>
      <c r="M93" s="7"/>
      <c r="N93" s="46">
        <f>K93+L93+M93</f>
        <v>0</v>
      </c>
      <c r="O93" s="128"/>
      <c r="P93" s="126">
        <f t="shared" si="18"/>
        <v>0</v>
      </c>
    </row>
    <row r="94" spans="1:16" ht="12.75">
      <c r="A94" s="66" t="s">
        <v>64</v>
      </c>
      <c r="B94" s="47"/>
      <c r="C94" s="8">
        <f>787.7+1394.2+3679+10391.6</f>
        <v>16252.5</v>
      </c>
      <c r="D94" s="8"/>
      <c r="E94" s="48">
        <f>B94+C94+D94</f>
        <v>16252.5</v>
      </c>
      <c r="F94" s="149">
        <f>-9576.2+90.3+1118.6+1012.8+1832.3+5413.7+3001.5+365+535.2+1890.3</f>
        <v>5683.499999999999</v>
      </c>
      <c r="G94" s="8">
        <v>7737.7</v>
      </c>
      <c r="H94" s="48">
        <f>E94+F94+G94</f>
        <v>29673.7</v>
      </c>
      <c r="I94" s="149">
        <f>417+100+605.7+275.6+2721.3+930.8+244+3507.2+221+254+5571.8</f>
        <v>14848.400000000001</v>
      </c>
      <c r="J94" s="8">
        <v>500</v>
      </c>
      <c r="K94" s="48">
        <f>H94+I94+J94</f>
        <v>45022.100000000006</v>
      </c>
      <c r="L94" s="149">
        <f>139.6+50.7+106.7+42.3</f>
        <v>339.3</v>
      </c>
      <c r="M94" s="8"/>
      <c r="N94" s="48">
        <f>K94+L94+M94</f>
        <v>45361.40000000001</v>
      </c>
      <c r="O94" s="128"/>
      <c r="P94" s="125">
        <f t="shared" si="18"/>
        <v>45361.40000000001</v>
      </c>
    </row>
    <row r="95" spans="1:16" ht="16.5" thickBot="1">
      <c r="A95" s="70" t="s">
        <v>65</v>
      </c>
      <c r="B95" s="51">
        <f>B11+B14+B47+B94+B74+B41+B89</f>
        <v>3295000.7</v>
      </c>
      <c r="C95" s="11">
        <f>C11+C14+C47+C94+C74+C41</f>
        <v>4477972.000000001</v>
      </c>
      <c r="D95" s="11">
        <f>D11+D14+D47+D94+D74+D41</f>
        <v>2573.8</v>
      </c>
      <c r="E95" s="52">
        <f>E11+E14+E47+E94+E74+E41</f>
        <v>7775546.5</v>
      </c>
      <c r="F95" s="150">
        <f>F11+F14+F47+F94+F74+F41</f>
        <v>415222.6000000001</v>
      </c>
      <c r="G95" s="11">
        <f>G11+G14+G47+G94+G74+G41</f>
        <v>-84574.6</v>
      </c>
      <c r="H95" s="52">
        <f aca="true" t="shared" si="19" ref="H95:N95">H11+H14+H47+H94+H74+H41+H89+H69</f>
        <v>8106194.5</v>
      </c>
      <c r="I95" s="150">
        <f t="shared" si="19"/>
        <v>333516.10000000003</v>
      </c>
      <c r="J95" s="11">
        <f t="shared" si="19"/>
        <v>500</v>
      </c>
      <c r="K95" s="52">
        <f t="shared" si="19"/>
        <v>8440210.600000001</v>
      </c>
      <c r="L95" s="169">
        <f t="shared" si="19"/>
        <v>108880.99999999996</v>
      </c>
      <c r="M95" s="11">
        <f t="shared" si="19"/>
        <v>0</v>
      </c>
      <c r="N95" s="52">
        <f t="shared" si="19"/>
        <v>8549091.600000001</v>
      </c>
      <c r="O95" s="132"/>
      <c r="P95" s="121">
        <f>P11+P14+P47+P94+P74+P41+P89</f>
        <v>8547890.9</v>
      </c>
    </row>
    <row r="96" spans="1:16" ht="12.75">
      <c r="A96" s="62" t="s">
        <v>66</v>
      </c>
      <c r="B96" s="43"/>
      <c r="C96" s="7"/>
      <c r="D96" s="7"/>
      <c r="E96" s="46"/>
      <c r="F96" s="57"/>
      <c r="G96" s="7"/>
      <c r="H96" s="46"/>
      <c r="I96" s="57"/>
      <c r="J96" s="7"/>
      <c r="K96" s="46"/>
      <c r="L96" s="57"/>
      <c r="M96" s="7"/>
      <c r="N96" s="46"/>
      <c r="O96" s="128"/>
      <c r="P96" s="126"/>
    </row>
    <row r="97" spans="1:16" ht="12.75">
      <c r="A97" s="62" t="s">
        <v>67</v>
      </c>
      <c r="B97" s="43">
        <f aca="true" t="shared" si="20" ref="B97:H97">B98+B108</f>
        <v>44635</v>
      </c>
      <c r="C97" s="6">
        <f t="shared" si="20"/>
        <v>1750</v>
      </c>
      <c r="D97" s="6">
        <f t="shared" si="20"/>
        <v>0</v>
      </c>
      <c r="E97" s="44">
        <f t="shared" si="20"/>
        <v>46385</v>
      </c>
      <c r="F97" s="101">
        <f t="shared" si="20"/>
        <v>0</v>
      </c>
      <c r="G97" s="6">
        <f t="shared" si="20"/>
        <v>0</v>
      </c>
      <c r="H97" s="44">
        <f t="shared" si="20"/>
        <v>46385</v>
      </c>
      <c r="I97" s="101">
        <f aca="true" t="shared" si="21" ref="I97:N97">I98+I108</f>
        <v>2100</v>
      </c>
      <c r="J97" s="6">
        <f t="shared" si="21"/>
        <v>0</v>
      </c>
      <c r="K97" s="44">
        <f t="shared" si="21"/>
        <v>48485</v>
      </c>
      <c r="L97" s="97">
        <f t="shared" si="21"/>
        <v>-18</v>
      </c>
      <c r="M97" s="6">
        <f t="shared" si="21"/>
        <v>0</v>
      </c>
      <c r="N97" s="44">
        <f t="shared" si="21"/>
        <v>48467</v>
      </c>
      <c r="O97" s="129"/>
      <c r="P97" s="110">
        <f>P98+P108</f>
        <v>48467</v>
      </c>
    </row>
    <row r="98" spans="1:16" ht="12.75">
      <c r="A98" s="71" t="s">
        <v>68</v>
      </c>
      <c r="B98" s="53">
        <f aca="true" t="shared" si="22" ref="B98:K98">SUM(B100:B107)</f>
        <v>44635</v>
      </c>
      <c r="C98" s="12">
        <f t="shared" si="22"/>
        <v>1690</v>
      </c>
      <c r="D98" s="12">
        <f>SUM(D100:D107)</f>
        <v>0</v>
      </c>
      <c r="E98" s="54">
        <f t="shared" si="22"/>
        <v>46325</v>
      </c>
      <c r="F98" s="102">
        <f>SUM(F100:F107)</f>
        <v>-380</v>
      </c>
      <c r="G98" s="12">
        <f>SUM(G100:G107)</f>
        <v>0</v>
      </c>
      <c r="H98" s="54">
        <f t="shared" si="22"/>
        <v>45945</v>
      </c>
      <c r="I98" s="102">
        <f>SUM(I100:I107)</f>
        <v>1920</v>
      </c>
      <c r="J98" s="12">
        <f>SUM(J100:J107)</f>
        <v>0</v>
      </c>
      <c r="K98" s="54">
        <f t="shared" si="22"/>
        <v>47865</v>
      </c>
      <c r="L98" s="153">
        <f>SUM(L100:L107)</f>
        <v>-58</v>
      </c>
      <c r="M98" s="12">
        <f>SUM(M100:M107)</f>
        <v>0</v>
      </c>
      <c r="N98" s="54">
        <f>SUM(N100:N107)</f>
        <v>47807</v>
      </c>
      <c r="O98" s="133"/>
      <c r="P98" s="111">
        <f>SUM(P100:P107)</f>
        <v>47807</v>
      </c>
    </row>
    <row r="99" spans="1:16" ht="10.5" customHeight="1">
      <c r="A99" s="67" t="s">
        <v>38</v>
      </c>
      <c r="B99" s="45"/>
      <c r="C99" s="7"/>
      <c r="D99" s="7"/>
      <c r="E99" s="46"/>
      <c r="F99" s="57"/>
      <c r="G99" s="7"/>
      <c r="H99" s="46"/>
      <c r="I99" s="57"/>
      <c r="J99" s="7"/>
      <c r="K99" s="46"/>
      <c r="L99" s="57"/>
      <c r="M99" s="7"/>
      <c r="N99" s="46"/>
      <c r="O99" s="128"/>
      <c r="P99" s="126"/>
    </row>
    <row r="100" spans="1:16" ht="12.75">
      <c r="A100" s="65" t="s">
        <v>200</v>
      </c>
      <c r="B100" s="45">
        <v>19432</v>
      </c>
      <c r="C100" s="7"/>
      <c r="D100" s="7"/>
      <c r="E100" s="46">
        <f>B100+C100</f>
        <v>19432</v>
      </c>
      <c r="F100" s="57"/>
      <c r="G100" s="7"/>
      <c r="H100" s="46">
        <f aca="true" t="shared" si="23" ref="H100:H107">E100+F100+G100</f>
        <v>19432</v>
      </c>
      <c r="I100" s="57"/>
      <c r="J100" s="7"/>
      <c r="K100" s="46">
        <f aca="true" t="shared" si="24" ref="K100:K107">H100+I100+J100</f>
        <v>19432</v>
      </c>
      <c r="L100" s="57">
        <v>-450</v>
      </c>
      <c r="M100" s="7"/>
      <c r="N100" s="46">
        <f aca="true" t="shared" si="25" ref="N100:N107">K100+L100+M100</f>
        <v>18982</v>
      </c>
      <c r="O100" s="128"/>
      <c r="P100" s="126">
        <f t="shared" si="18"/>
        <v>18982</v>
      </c>
    </row>
    <row r="101" spans="1:16" ht="12.75">
      <c r="A101" s="65" t="s">
        <v>69</v>
      </c>
      <c r="B101" s="45">
        <v>4442</v>
      </c>
      <c r="C101" s="7"/>
      <c r="D101" s="7"/>
      <c r="E101" s="46">
        <f>B101+C101</f>
        <v>4442</v>
      </c>
      <c r="F101" s="57"/>
      <c r="G101" s="7"/>
      <c r="H101" s="46">
        <f t="shared" si="23"/>
        <v>4442</v>
      </c>
      <c r="I101" s="57"/>
      <c r="J101" s="7"/>
      <c r="K101" s="46">
        <f t="shared" si="24"/>
        <v>4442</v>
      </c>
      <c r="L101" s="57">
        <v>450</v>
      </c>
      <c r="M101" s="7"/>
      <c r="N101" s="46">
        <f t="shared" si="25"/>
        <v>4892</v>
      </c>
      <c r="O101" s="128"/>
      <c r="P101" s="126">
        <f t="shared" si="18"/>
        <v>4892</v>
      </c>
    </row>
    <row r="102" spans="1:16" ht="12.75">
      <c r="A102" s="65" t="s">
        <v>70</v>
      </c>
      <c r="B102" s="45">
        <v>1350</v>
      </c>
      <c r="C102" s="7"/>
      <c r="D102" s="7"/>
      <c r="E102" s="46">
        <f>B102+C102+D102</f>
        <v>1350</v>
      </c>
      <c r="F102" s="57"/>
      <c r="G102" s="7"/>
      <c r="H102" s="46">
        <f t="shared" si="23"/>
        <v>1350</v>
      </c>
      <c r="I102" s="57"/>
      <c r="J102" s="7"/>
      <c r="K102" s="46">
        <f t="shared" si="24"/>
        <v>1350</v>
      </c>
      <c r="L102" s="57">
        <v>-270</v>
      </c>
      <c r="M102" s="7"/>
      <c r="N102" s="46">
        <f t="shared" si="25"/>
        <v>1080</v>
      </c>
      <c r="O102" s="128"/>
      <c r="P102" s="126">
        <f t="shared" si="18"/>
        <v>1080</v>
      </c>
    </row>
    <row r="103" spans="1:16" ht="12.75" hidden="1">
      <c r="A103" s="65" t="s">
        <v>272</v>
      </c>
      <c r="B103" s="45"/>
      <c r="C103" s="7"/>
      <c r="D103" s="7"/>
      <c r="E103" s="46">
        <f>B103+C103+D103</f>
        <v>0</v>
      </c>
      <c r="F103" s="57"/>
      <c r="G103" s="7"/>
      <c r="H103" s="46">
        <f t="shared" si="23"/>
        <v>0</v>
      </c>
      <c r="I103" s="57"/>
      <c r="J103" s="7"/>
      <c r="K103" s="46">
        <f t="shared" si="24"/>
        <v>0</v>
      </c>
      <c r="L103" s="57"/>
      <c r="M103" s="7"/>
      <c r="N103" s="46">
        <f t="shared" si="25"/>
        <v>0</v>
      </c>
      <c r="O103" s="128"/>
      <c r="P103" s="126">
        <f t="shared" si="18"/>
        <v>0</v>
      </c>
    </row>
    <row r="104" spans="1:16" ht="12.75">
      <c r="A104" s="65" t="s">
        <v>273</v>
      </c>
      <c r="B104" s="45"/>
      <c r="C104" s="7">
        <v>1000</v>
      </c>
      <c r="D104" s="7"/>
      <c r="E104" s="46">
        <f>B104+C104+D104</f>
        <v>1000</v>
      </c>
      <c r="F104" s="57"/>
      <c r="G104" s="7"/>
      <c r="H104" s="46">
        <f t="shared" si="23"/>
        <v>1000</v>
      </c>
      <c r="I104" s="57">
        <v>500</v>
      </c>
      <c r="J104" s="7"/>
      <c r="K104" s="46">
        <f t="shared" si="24"/>
        <v>1500</v>
      </c>
      <c r="L104" s="57"/>
      <c r="M104" s="7"/>
      <c r="N104" s="46">
        <f t="shared" si="25"/>
        <v>1500</v>
      </c>
      <c r="O104" s="128"/>
      <c r="P104" s="126">
        <f t="shared" si="18"/>
        <v>1500</v>
      </c>
    </row>
    <row r="105" spans="1:16" ht="12.75">
      <c r="A105" s="65" t="s">
        <v>71</v>
      </c>
      <c r="B105" s="45">
        <v>10256</v>
      </c>
      <c r="C105" s="7">
        <f>200+250</f>
        <v>450</v>
      </c>
      <c r="D105" s="7"/>
      <c r="E105" s="46">
        <f>B105+C105+D105</f>
        <v>10706</v>
      </c>
      <c r="F105" s="57"/>
      <c r="G105" s="7"/>
      <c r="H105" s="46">
        <f t="shared" si="23"/>
        <v>10706</v>
      </c>
      <c r="I105" s="57">
        <f>50+50</f>
        <v>100</v>
      </c>
      <c r="J105" s="7"/>
      <c r="K105" s="46">
        <f t="shared" si="24"/>
        <v>10806</v>
      </c>
      <c r="L105" s="57">
        <f>-18+270</f>
        <v>252</v>
      </c>
      <c r="M105" s="7"/>
      <c r="N105" s="46">
        <f t="shared" si="25"/>
        <v>11058</v>
      </c>
      <c r="O105" s="128"/>
      <c r="P105" s="126">
        <f t="shared" si="18"/>
        <v>11058</v>
      </c>
    </row>
    <row r="106" spans="1:16" ht="12.75">
      <c r="A106" s="65" t="s">
        <v>72</v>
      </c>
      <c r="B106" s="45">
        <v>500</v>
      </c>
      <c r="C106" s="7"/>
      <c r="D106" s="7"/>
      <c r="E106" s="46">
        <f>SUM(B106:D106)</f>
        <v>500</v>
      </c>
      <c r="F106" s="57"/>
      <c r="G106" s="7"/>
      <c r="H106" s="46">
        <f t="shared" si="23"/>
        <v>500</v>
      </c>
      <c r="I106" s="57"/>
      <c r="J106" s="7"/>
      <c r="K106" s="46">
        <f t="shared" si="24"/>
        <v>500</v>
      </c>
      <c r="L106" s="57"/>
      <c r="M106" s="7"/>
      <c r="N106" s="46">
        <f t="shared" si="25"/>
        <v>500</v>
      </c>
      <c r="O106" s="128"/>
      <c r="P106" s="126">
        <f t="shared" si="18"/>
        <v>500</v>
      </c>
    </row>
    <row r="107" spans="1:16" ht="12.75">
      <c r="A107" s="65" t="s">
        <v>73</v>
      </c>
      <c r="B107" s="45">
        <v>8655</v>
      </c>
      <c r="C107" s="7">
        <f>-60+300</f>
        <v>240</v>
      </c>
      <c r="D107" s="7"/>
      <c r="E107" s="46">
        <f>SUM(B107:D107)</f>
        <v>8895</v>
      </c>
      <c r="F107" s="57">
        <f>-190-190</f>
        <v>-380</v>
      </c>
      <c r="G107" s="7"/>
      <c r="H107" s="46">
        <f t="shared" si="23"/>
        <v>8515</v>
      </c>
      <c r="I107" s="57">
        <f>-40+1500-140</f>
        <v>1320</v>
      </c>
      <c r="J107" s="7"/>
      <c r="K107" s="46">
        <f t="shared" si="24"/>
        <v>9835</v>
      </c>
      <c r="L107" s="57">
        <v>-40</v>
      </c>
      <c r="M107" s="7"/>
      <c r="N107" s="46">
        <f t="shared" si="25"/>
        <v>9795</v>
      </c>
      <c r="O107" s="128"/>
      <c r="P107" s="126">
        <f t="shared" si="18"/>
        <v>9795</v>
      </c>
    </row>
    <row r="108" spans="1:16" ht="12.75">
      <c r="A108" s="72" t="s">
        <v>74</v>
      </c>
      <c r="B108" s="55">
        <f aca="true" t="shared" si="26" ref="B108:J108">SUM(B110:B112)</f>
        <v>0</v>
      </c>
      <c r="C108" s="13">
        <f t="shared" si="26"/>
        <v>60</v>
      </c>
      <c r="D108" s="13">
        <f t="shared" si="26"/>
        <v>0</v>
      </c>
      <c r="E108" s="56">
        <f t="shared" si="26"/>
        <v>60</v>
      </c>
      <c r="F108" s="151">
        <f t="shared" si="26"/>
        <v>380</v>
      </c>
      <c r="G108" s="13">
        <f t="shared" si="26"/>
        <v>0</v>
      </c>
      <c r="H108" s="56">
        <f t="shared" si="26"/>
        <v>440</v>
      </c>
      <c r="I108" s="151">
        <f t="shared" si="26"/>
        <v>180</v>
      </c>
      <c r="J108" s="13">
        <f t="shared" si="26"/>
        <v>0</v>
      </c>
      <c r="K108" s="56">
        <f>SUM(K110:K112)</f>
        <v>620</v>
      </c>
      <c r="L108" s="155">
        <f>SUM(L110:L112)</f>
        <v>40</v>
      </c>
      <c r="M108" s="13">
        <f>SUM(M110:M112)</f>
        <v>0</v>
      </c>
      <c r="N108" s="56">
        <f>SUM(N110:N112)</f>
        <v>660</v>
      </c>
      <c r="O108" s="134"/>
      <c r="P108" s="122">
        <f>SUM(P110:P112)</f>
        <v>660</v>
      </c>
    </row>
    <row r="109" spans="1:16" ht="11.25" customHeight="1">
      <c r="A109" s="63" t="s">
        <v>38</v>
      </c>
      <c r="B109" s="47"/>
      <c r="C109" s="8"/>
      <c r="D109" s="8"/>
      <c r="E109" s="48"/>
      <c r="F109" s="149"/>
      <c r="G109" s="8"/>
      <c r="H109" s="48"/>
      <c r="I109" s="149"/>
      <c r="J109" s="8"/>
      <c r="K109" s="48"/>
      <c r="L109" s="149"/>
      <c r="M109" s="8"/>
      <c r="N109" s="48"/>
      <c r="O109" s="128"/>
      <c r="P109" s="126"/>
    </row>
    <row r="110" spans="1:16" ht="12.75" hidden="1">
      <c r="A110" s="65" t="s">
        <v>274</v>
      </c>
      <c r="B110" s="45"/>
      <c r="C110" s="7"/>
      <c r="D110" s="7"/>
      <c r="E110" s="46">
        <f>B110+C110</f>
        <v>0</v>
      </c>
      <c r="F110" s="57"/>
      <c r="G110" s="7"/>
      <c r="H110" s="46">
        <f>E110+F110+G110</f>
        <v>0</v>
      </c>
      <c r="I110" s="57"/>
      <c r="J110" s="7"/>
      <c r="K110" s="46">
        <f>H110+I110+J110</f>
        <v>0</v>
      </c>
      <c r="L110" s="57"/>
      <c r="M110" s="7"/>
      <c r="N110" s="46">
        <f>K110+L110+M110</f>
        <v>0</v>
      </c>
      <c r="O110" s="128"/>
      <c r="P110" s="126">
        <f t="shared" si="18"/>
        <v>0</v>
      </c>
    </row>
    <row r="111" spans="1:16" ht="12.75">
      <c r="A111" s="68" t="s">
        <v>73</v>
      </c>
      <c r="B111" s="49"/>
      <c r="C111" s="10">
        <f>60</f>
        <v>60</v>
      </c>
      <c r="D111" s="10"/>
      <c r="E111" s="50">
        <f>B111+C111</f>
        <v>60</v>
      </c>
      <c r="F111" s="152">
        <f>190+190</f>
        <v>380</v>
      </c>
      <c r="G111" s="10"/>
      <c r="H111" s="50">
        <f>E111+F111+G111</f>
        <v>440</v>
      </c>
      <c r="I111" s="152">
        <f>40+140</f>
        <v>180</v>
      </c>
      <c r="J111" s="10"/>
      <c r="K111" s="50">
        <f>H111+I111+J111</f>
        <v>620</v>
      </c>
      <c r="L111" s="152">
        <v>40</v>
      </c>
      <c r="M111" s="10"/>
      <c r="N111" s="50">
        <f>K111+L111+M111</f>
        <v>660</v>
      </c>
      <c r="O111" s="141"/>
      <c r="P111" s="142">
        <f t="shared" si="18"/>
        <v>660</v>
      </c>
    </row>
    <row r="112" spans="1:16" ht="12.75" hidden="1">
      <c r="A112" s="68" t="s">
        <v>75</v>
      </c>
      <c r="B112" s="49"/>
      <c r="C112" s="10"/>
      <c r="D112" s="10"/>
      <c r="E112" s="50">
        <f>SUM(B112:D112)</f>
        <v>0</v>
      </c>
      <c r="F112" s="152"/>
      <c r="G112" s="10"/>
      <c r="H112" s="50">
        <f>E112+F112+G112</f>
        <v>0</v>
      </c>
      <c r="I112" s="152"/>
      <c r="J112" s="10"/>
      <c r="K112" s="50">
        <f>H112+I112+J112</f>
        <v>0</v>
      </c>
      <c r="L112" s="152"/>
      <c r="M112" s="10"/>
      <c r="N112" s="50">
        <f>K112+L112+M112</f>
        <v>0</v>
      </c>
      <c r="O112" s="128"/>
      <c r="P112" s="126">
        <f t="shared" si="18"/>
        <v>0</v>
      </c>
    </row>
    <row r="113" spans="1:16" ht="12.75">
      <c r="A113" s="62" t="s">
        <v>76</v>
      </c>
      <c r="B113" s="43">
        <f aca="true" t="shared" si="27" ref="B113:H113">B114+B137</f>
        <v>290269.80000000005</v>
      </c>
      <c r="C113" s="6">
        <f t="shared" si="27"/>
        <v>2321.7</v>
      </c>
      <c r="D113" s="6">
        <f t="shared" si="27"/>
        <v>0</v>
      </c>
      <c r="E113" s="44">
        <f t="shared" si="27"/>
        <v>292591.50000000006</v>
      </c>
      <c r="F113" s="101">
        <f t="shared" si="27"/>
        <v>289.40000000000003</v>
      </c>
      <c r="G113" s="6">
        <f t="shared" si="27"/>
        <v>0</v>
      </c>
      <c r="H113" s="44">
        <f t="shared" si="27"/>
        <v>292880.89999999997</v>
      </c>
      <c r="I113" s="101">
        <f aca="true" t="shared" si="28" ref="I113:N113">I114+I137</f>
        <v>8890.9</v>
      </c>
      <c r="J113" s="6">
        <f t="shared" si="28"/>
        <v>0</v>
      </c>
      <c r="K113" s="44">
        <f t="shared" si="28"/>
        <v>301771.8</v>
      </c>
      <c r="L113" s="97">
        <f t="shared" si="28"/>
        <v>884.9</v>
      </c>
      <c r="M113" s="6">
        <f t="shared" si="28"/>
        <v>0</v>
      </c>
      <c r="N113" s="44">
        <f t="shared" si="28"/>
        <v>302656.7</v>
      </c>
      <c r="O113" s="129"/>
      <c r="P113" s="110">
        <f>P114+P137</f>
        <v>301789.8</v>
      </c>
    </row>
    <row r="114" spans="1:16" ht="12.75">
      <c r="A114" s="71" t="s">
        <v>68</v>
      </c>
      <c r="B114" s="53">
        <f aca="true" t="shared" si="29" ref="B114:H114">SUM(B116:B136)</f>
        <v>290269.80000000005</v>
      </c>
      <c r="C114" s="12">
        <f t="shared" si="29"/>
        <v>2249.7</v>
      </c>
      <c r="D114" s="12">
        <f t="shared" si="29"/>
        <v>0</v>
      </c>
      <c r="E114" s="54">
        <f t="shared" si="29"/>
        <v>292519.50000000006</v>
      </c>
      <c r="F114" s="102">
        <f t="shared" si="29"/>
        <v>289.40000000000003</v>
      </c>
      <c r="G114" s="12">
        <f t="shared" si="29"/>
        <v>0</v>
      </c>
      <c r="H114" s="54">
        <f t="shared" si="29"/>
        <v>292808.89999999997</v>
      </c>
      <c r="I114" s="102">
        <f aca="true" t="shared" si="30" ref="I114:N114">SUM(I116:I136)</f>
        <v>7878.9</v>
      </c>
      <c r="J114" s="12">
        <f t="shared" si="30"/>
        <v>0</v>
      </c>
      <c r="K114" s="54">
        <f t="shared" si="30"/>
        <v>300687.8</v>
      </c>
      <c r="L114" s="153">
        <f t="shared" si="30"/>
        <v>776.9</v>
      </c>
      <c r="M114" s="12">
        <f t="shared" si="30"/>
        <v>0</v>
      </c>
      <c r="N114" s="54">
        <f t="shared" si="30"/>
        <v>301464.7</v>
      </c>
      <c r="O114" s="133"/>
      <c r="P114" s="111">
        <f>SUM(P116:P136)</f>
        <v>300597.8</v>
      </c>
    </row>
    <row r="115" spans="1:16" ht="12.75">
      <c r="A115" s="67" t="s">
        <v>38</v>
      </c>
      <c r="B115" s="45"/>
      <c r="C115" s="7"/>
      <c r="D115" s="7"/>
      <c r="E115" s="46"/>
      <c r="F115" s="57"/>
      <c r="G115" s="7"/>
      <c r="H115" s="46"/>
      <c r="I115" s="57"/>
      <c r="J115" s="7"/>
      <c r="K115" s="46"/>
      <c r="L115" s="57"/>
      <c r="M115" s="7"/>
      <c r="N115" s="46"/>
      <c r="O115" s="128"/>
      <c r="P115" s="126"/>
    </row>
    <row r="116" spans="1:16" ht="12.75">
      <c r="A116" s="74" t="s">
        <v>201</v>
      </c>
      <c r="B116" s="45">
        <v>134207</v>
      </c>
      <c r="C116" s="7"/>
      <c r="D116" s="7"/>
      <c r="E116" s="46">
        <f>B116+C116+D116</f>
        <v>134207</v>
      </c>
      <c r="F116" s="57"/>
      <c r="G116" s="7"/>
      <c r="H116" s="46">
        <f>E116+F116+G116</f>
        <v>134207</v>
      </c>
      <c r="I116" s="57"/>
      <c r="J116" s="7"/>
      <c r="K116" s="46">
        <f>H116+I116+J116</f>
        <v>134207</v>
      </c>
      <c r="L116" s="57">
        <f>18-50</f>
        <v>-32</v>
      </c>
      <c r="M116" s="7"/>
      <c r="N116" s="46">
        <f>K116+L116+M116</f>
        <v>134175</v>
      </c>
      <c r="O116" s="128"/>
      <c r="P116" s="126">
        <f t="shared" si="18"/>
        <v>134175</v>
      </c>
    </row>
    <row r="117" spans="1:16" ht="12.75">
      <c r="A117" s="65" t="s">
        <v>69</v>
      </c>
      <c r="B117" s="45">
        <v>45355.2</v>
      </c>
      <c r="C117" s="7"/>
      <c r="D117" s="7"/>
      <c r="E117" s="46">
        <f aca="true" t="shared" si="31" ref="E117:E136">B117+C117+D117</f>
        <v>45355.2</v>
      </c>
      <c r="F117" s="57"/>
      <c r="G117" s="7"/>
      <c r="H117" s="46">
        <f aca="true" t="shared" si="32" ref="H117:H136">E117+F117+G117</f>
        <v>45355.2</v>
      </c>
      <c r="I117" s="57"/>
      <c r="J117" s="7"/>
      <c r="K117" s="46">
        <f aca="true" t="shared" si="33" ref="K117:K136">H117+I117+J117</f>
        <v>45355.2</v>
      </c>
      <c r="L117" s="57"/>
      <c r="M117" s="7"/>
      <c r="N117" s="46">
        <f aca="true" t="shared" si="34" ref="N117:N136">K117+L117+M117</f>
        <v>45355.2</v>
      </c>
      <c r="O117" s="128"/>
      <c r="P117" s="126">
        <f t="shared" si="18"/>
        <v>45355.2</v>
      </c>
    </row>
    <row r="118" spans="1:16" ht="12.75">
      <c r="A118" s="65" t="s">
        <v>77</v>
      </c>
      <c r="B118" s="45">
        <v>200</v>
      </c>
      <c r="C118" s="7"/>
      <c r="D118" s="7"/>
      <c r="E118" s="46">
        <f t="shared" si="31"/>
        <v>200</v>
      </c>
      <c r="F118" s="57"/>
      <c r="G118" s="7"/>
      <c r="H118" s="46">
        <f t="shared" si="32"/>
        <v>200</v>
      </c>
      <c r="I118" s="57"/>
      <c r="J118" s="7"/>
      <c r="K118" s="46">
        <f t="shared" si="33"/>
        <v>200</v>
      </c>
      <c r="L118" s="57"/>
      <c r="M118" s="7"/>
      <c r="N118" s="46">
        <f t="shared" si="34"/>
        <v>200</v>
      </c>
      <c r="O118" s="128"/>
      <c r="P118" s="126">
        <f t="shared" si="18"/>
        <v>200</v>
      </c>
    </row>
    <row r="119" spans="1:16" ht="12.75">
      <c r="A119" s="65" t="s">
        <v>71</v>
      </c>
      <c r="B119" s="45">
        <v>35318.6</v>
      </c>
      <c r="C119" s="7"/>
      <c r="D119" s="7"/>
      <c r="E119" s="46">
        <f t="shared" si="31"/>
        <v>35318.6</v>
      </c>
      <c r="F119" s="57">
        <v>28.8</v>
      </c>
      <c r="G119" s="7"/>
      <c r="H119" s="46">
        <f t="shared" si="32"/>
        <v>35347.4</v>
      </c>
      <c r="I119" s="57">
        <f>200+320</f>
        <v>520</v>
      </c>
      <c r="J119" s="7"/>
      <c r="K119" s="46">
        <f t="shared" si="33"/>
        <v>35867.4</v>
      </c>
      <c r="L119" s="57">
        <f>50+104+32+302</f>
        <v>488</v>
      </c>
      <c r="M119" s="7"/>
      <c r="N119" s="46">
        <f t="shared" si="34"/>
        <v>36355.4</v>
      </c>
      <c r="O119" s="128"/>
      <c r="P119" s="126">
        <f t="shared" si="18"/>
        <v>36355.4</v>
      </c>
    </row>
    <row r="120" spans="1:16" ht="12.75">
      <c r="A120" s="65" t="s">
        <v>78</v>
      </c>
      <c r="B120" s="45">
        <v>152</v>
      </c>
      <c r="C120" s="7"/>
      <c r="D120" s="7"/>
      <c r="E120" s="46">
        <f t="shared" si="31"/>
        <v>152</v>
      </c>
      <c r="F120" s="57"/>
      <c r="G120" s="7"/>
      <c r="H120" s="46">
        <f t="shared" si="32"/>
        <v>152</v>
      </c>
      <c r="I120" s="57"/>
      <c r="J120" s="7"/>
      <c r="K120" s="46">
        <f t="shared" si="33"/>
        <v>152</v>
      </c>
      <c r="L120" s="57"/>
      <c r="M120" s="7"/>
      <c r="N120" s="46">
        <f t="shared" si="34"/>
        <v>152</v>
      </c>
      <c r="O120" s="128"/>
      <c r="P120" s="126">
        <f t="shared" si="18"/>
        <v>152</v>
      </c>
    </row>
    <row r="121" spans="1:16" ht="12.75" hidden="1">
      <c r="A121" s="65" t="s">
        <v>79</v>
      </c>
      <c r="B121" s="45"/>
      <c r="C121" s="7"/>
      <c r="D121" s="7"/>
      <c r="E121" s="46">
        <f t="shared" si="31"/>
        <v>0</v>
      </c>
      <c r="F121" s="57"/>
      <c r="G121" s="7"/>
      <c r="H121" s="46">
        <f t="shared" si="32"/>
        <v>0</v>
      </c>
      <c r="I121" s="57"/>
      <c r="J121" s="7"/>
      <c r="K121" s="46">
        <f t="shared" si="33"/>
        <v>0</v>
      </c>
      <c r="L121" s="57"/>
      <c r="M121" s="7"/>
      <c r="N121" s="46">
        <f t="shared" si="34"/>
        <v>0</v>
      </c>
      <c r="O121" s="128"/>
      <c r="P121" s="126">
        <f t="shared" si="18"/>
        <v>0</v>
      </c>
    </row>
    <row r="122" spans="1:16" ht="12.75">
      <c r="A122" s="65" t="s">
        <v>80</v>
      </c>
      <c r="B122" s="45">
        <v>74842</v>
      </c>
      <c r="C122" s="7"/>
      <c r="D122" s="7"/>
      <c r="E122" s="46">
        <f t="shared" si="31"/>
        <v>74842</v>
      </c>
      <c r="F122" s="57"/>
      <c r="G122" s="7"/>
      <c r="H122" s="46">
        <f t="shared" si="32"/>
        <v>74842</v>
      </c>
      <c r="I122" s="57"/>
      <c r="J122" s="7"/>
      <c r="K122" s="46">
        <f t="shared" si="33"/>
        <v>74842</v>
      </c>
      <c r="L122" s="57"/>
      <c r="M122" s="7"/>
      <c r="N122" s="46">
        <f t="shared" si="34"/>
        <v>74842</v>
      </c>
      <c r="O122" s="128"/>
      <c r="P122" s="126">
        <f t="shared" si="18"/>
        <v>74842</v>
      </c>
    </row>
    <row r="123" spans="1:16" ht="12.75">
      <c r="A123" s="65" t="s">
        <v>104</v>
      </c>
      <c r="B123" s="45">
        <v>195</v>
      </c>
      <c r="C123" s="7">
        <v>1970.5</v>
      </c>
      <c r="D123" s="7"/>
      <c r="E123" s="46">
        <f t="shared" si="31"/>
        <v>2165.5</v>
      </c>
      <c r="F123" s="57"/>
      <c r="G123" s="7"/>
      <c r="H123" s="46">
        <f t="shared" si="32"/>
        <v>2165.5</v>
      </c>
      <c r="I123" s="57">
        <f>327+200</f>
        <v>527</v>
      </c>
      <c r="J123" s="7"/>
      <c r="K123" s="46">
        <f t="shared" si="33"/>
        <v>2692.5</v>
      </c>
      <c r="L123" s="57"/>
      <c r="M123" s="7"/>
      <c r="N123" s="46">
        <f t="shared" si="34"/>
        <v>2692.5</v>
      </c>
      <c r="O123" s="128"/>
      <c r="P123" s="126">
        <f t="shared" si="18"/>
        <v>2692.5</v>
      </c>
    </row>
    <row r="124" spans="1:16" ht="12.75">
      <c r="A124" s="65" t="s">
        <v>315</v>
      </c>
      <c r="B124" s="45"/>
      <c r="C124" s="7">
        <v>270.2</v>
      </c>
      <c r="D124" s="7"/>
      <c r="E124" s="46">
        <f t="shared" si="31"/>
        <v>270.2</v>
      </c>
      <c r="F124" s="57"/>
      <c r="G124" s="7"/>
      <c r="H124" s="46">
        <f t="shared" si="32"/>
        <v>270.2</v>
      </c>
      <c r="I124" s="57"/>
      <c r="J124" s="7"/>
      <c r="K124" s="46">
        <f t="shared" si="33"/>
        <v>270.2</v>
      </c>
      <c r="L124" s="57"/>
      <c r="M124" s="7"/>
      <c r="N124" s="46">
        <f t="shared" si="34"/>
        <v>270.2</v>
      </c>
      <c r="O124" s="128"/>
      <c r="P124" s="126">
        <f t="shared" si="18"/>
        <v>270.2</v>
      </c>
    </row>
    <row r="125" spans="1:16" ht="12.75">
      <c r="A125" s="65" t="s">
        <v>223</v>
      </c>
      <c r="B125" s="45"/>
      <c r="C125" s="7"/>
      <c r="D125" s="7"/>
      <c r="E125" s="46">
        <f t="shared" si="31"/>
        <v>0</v>
      </c>
      <c r="F125" s="57"/>
      <c r="G125" s="7"/>
      <c r="H125" s="46">
        <f t="shared" si="32"/>
        <v>0</v>
      </c>
      <c r="I125" s="57"/>
      <c r="J125" s="7"/>
      <c r="K125" s="46">
        <f t="shared" si="33"/>
        <v>0</v>
      </c>
      <c r="L125" s="57">
        <v>220.9</v>
      </c>
      <c r="M125" s="7"/>
      <c r="N125" s="46">
        <f t="shared" si="34"/>
        <v>220.9</v>
      </c>
      <c r="O125" s="128"/>
      <c r="P125" s="126">
        <f t="shared" si="18"/>
        <v>220.9</v>
      </c>
    </row>
    <row r="126" spans="1:16" ht="12.75">
      <c r="A126" s="74" t="s">
        <v>316</v>
      </c>
      <c r="B126" s="45"/>
      <c r="C126" s="7">
        <v>9</v>
      </c>
      <c r="D126" s="7"/>
      <c r="E126" s="46">
        <f t="shared" si="31"/>
        <v>9</v>
      </c>
      <c r="F126" s="57"/>
      <c r="G126" s="7"/>
      <c r="H126" s="46">
        <f t="shared" si="32"/>
        <v>9</v>
      </c>
      <c r="I126" s="57"/>
      <c r="J126" s="7"/>
      <c r="K126" s="46">
        <f t="shared" si="33"/>
        <v>9</v>
      </c>
      <c r="L126" s="57"/>
      <c r="M126" s="7"/>
      <c r="N126" s="46">
        <f t="shared" si="34"/>
        <v>9</v>
      </c>
      <c r="O126" s="128"/>
      <c r="P126" s="126">
        <f t="shared" si="18"/>
        <v>9</v>
      </c>
    </row>
    <row r="127" spans="1:16" ht="12.75">
      <c r="A127" s="74" t="s">
        <v>266</v>
      </c>
      <c r="B127" s="45"/>
      <c r="C127" s="7"/>
      <c r="D127" s="7"/>
      <c r="E127" s="46">
        <f t="shared" si="31"/>
        <v>0</v>
      </c>
      <c r="F127" s="57">
        <v>260.6</v>
      </c>
      <c r="G127" s="7"/>
      <c r="H127" s="46">
        <f t="shared" si="32"/>
        <v>260.6</v>
      </c>
      <c r="I127" s="57">
        <v>5695</v>
      </c>
      <c r="J127" s="7"/>
      <c r="K127" s="46">
        <f t="shared" si="33"/>
        <v>5955.6</v>
      </c>
      <c r="L127" s="57"/>
      <c r="M127" s="7"/>
      <c r="N127" s="46">
        <f t="shared" si="34"/>
        <v>5955.6</v>
      </c>
      <c r="O127" s="128"/>
      <c r="P127" s="126">
        <f t="shared" si="18"/>
        <v>5955.6</v>
      </c>
    </row>
    <row r="128" spans="1:16" ht="12.75">
      <c r="A128" s="74" t="s">
        <v>338</v>
      </c>
      <c r="B128" s="45"/>
      <c r="C128" s="7"/>
      <c r="D128" s="7"/>
      <c r="E128" s="46"/>
      <c r="F128" s="57"/>
      <c r="G128" s="7"/>
      <c r="H128" s="46">
        <f t="shared" si="32"/>
        <v>0</v>
      </c>
      <c r="I128" s="57">
        <v>441.9</v>
      </c>
      <c r="J128" s="7"/>
      <c r="K128" s="46">
        <f t="shared" si="33"/>
        <v>441.9</v>
      </c>
      <c r="L128" s="57"/>
      <c r="M128" s="7"/>
      <c r="N128" s="46">
        <f t="shared" si="34"/>
        <v>441.9</v>
      </c>
      <c r="O128" s="128"/>
      <c r="P128" s="126"/>
    </row>
    <row r="129" spans="1:16" ht="12.75" hidden="1">
      <c r="A129" s="65" t="s">
        <v>81</v>
      </c>
      <c r="B129" s="45"/>
      <c r="C129" s="7"/>
      <c r="D129" s="7"/>
      <c r="E129" s="46">
        <f t="shared" si="31"/>
        <v>0</v>
      </c>
      <c r="F129" s="57"/>
      <c r="G129" s="7"/>
      <c r="H129" s="46">
        <f t="shared" si="32"/>
        <v>0</v>
      </c>
      <c r="I129" s="57"/>
      <c r="J129" s="7"/>
      <c r="K129" s="46">
        <f t="shared" si="33"/>
        <v>0</v>
      </c>
      <c r="L129" s="57"/>
      <c r="M129" s="7"/>
      <c r="N129" s="46">
        <f t="shared" si="34"/>
        <v>0</v>
      </c>
      <c r="O129" s="128"/>
      <c r="P129" s="126">
        <f t="shared" si="18"/>
        <v>0</v>
      </c>
    </row>
    <row r="130" spans="1:16" ht="12.75" hidden="1">
      <c r="A130" s="65" t="s">
        <v>82</v>
      </c>
      <c r="B130" s="45"/>
      <c r="C130" s="7"/>
      <c r="D130" s="7"/>
      <c r="E130" s="46">
        <f t="shared" si="31"/>
        <v>0</v>
      </c>
      <c r="F130" s="57"/>
      <c r="G130" s="7"/>
      <c r="H130" s="46">
        <f t="shared" si="32"/>
        <v>0</v>
      </c>
      <c r="I130" s="57"/>
      <c r="J130" s="7"/>
      <c r="K130" s="46">
        <f t="shared" si="33"/>
        <v>0</v>
      </c>
      <c r="L130" s="57"/>
      <c r="M130" s="7"/>
      <c r="N130" s="46">
        <f t="shared" si="34"/>
        <v>0</v>
      </c>
      <c r="O130" s="128"/>
      <c r="P130" s="126">
        <f t="shared" si="18"/>
        <v>0</v>
      </c>
    </row>
    <row r="131" spans="1:16" ht="12.75" hidden="1">
      <c r="A131" s="65" t="s">
        <v>232</v>
      </c>
      <c r="B131" s="45"/>
      <c r="C131" s="7"/>
      <c r="D131" s="7"/>
      <c r="E131" s="46">
        <f t="shared" si="31"/>
        <v>0</v>
      </c>
      <c r="F131" s="57"/>
      <c r="G131" s="7"/>
      <c r="H131" s="46">
        <f t="shared" si="32"/>
        <v>0</v>
      </c>
      <c r="I131" s="57"/>
      <c r="J131" s="7"/>
      <c r="K131" s="46">
        <f t="shared" si="33"/>
        <v>0</v>
      </c>
      <c r="L131" s="57"/>
      <c r="M131" s="7"/>
      <c r="N131" s="46">
        <f t="shared" si="34"/>
        <v>0</v>
      </c>
      <c r="O131" s="128"/>
      <c r="P131" s="126">
        <f t="shared" si="18"/>
        <v>0</v>
      </c>
    </row>
    <row r="132" spans="1:16" ht="12.75">
      <c r="A132" s="65" t="s">
        <v>333</v>
      </c>
      <c r="B132" s="45"/>
      <c r="C132" s="7"/>
      <c r="D132" s="7"/>
      <c r="E132" s="46"/>
      <c r="F132" s="57"/>
      <c r="G132" s="7"/>
      <c r="H132" s="46">
        <f t="shared" si="32"/>
        <v>0</v>
      </c>
      <c r="I132" s="57">
        <v>325</v>
      </c>
      <c r="J132" s="7"/>
      <c r="K132" s="46">
        <f t="shared" si="33"/>
        <v>325</v>
      </c>
      <c r="L132" s="57"/>
      <c r="M132" s="7"/>
      <c r="N132" s="46">
        <f t="shared" si="34"/>
        <v>325</v>
      </c>
      <c r="O132" s="128"/>
      <c r="P132" s="126"/>
    </row>
    <row r="133" spans="1:16" ht="12.75">
      <c r="A133" s="65" t="s">
        <v>334</v>
      </c>
      <c r="B133" s="45"/>
      <c r="C133" s="7"/>
      <c r="D133" s="7"/>
      <c r="E133" s="46"/>
      <c r="F133" s="57"/>
      <c r="G133" s="7"/>
      <c r="H133" s="46">
        <f t="shared" si="32"/>
        <v>0</v>
      </c>
      <c r="I133" s="57">
        <v>100</v>
      </c>
      <c r="J133" s="7"/>
      <c r="K133" s="46">
        <f t="shared" si="33"/>
        <v>100</v>
      </c>
      <c r="L133" s="57"/>
      <c r="M133" s="7"/>
      <c r="N133" s="46">
        <f t="shared" si="34"/>
        <v>100</v>
      </c>
      <c r="O133" s="128"/>
      <c r="P133" s="126"/>
    </row>
    <row r="134" spans="1:16" ht="12.75">
      <c r="A134" s="65" t="s">
        <v>83</v>
      </c>
      <c r="B134" s="45"/>
      <c r="C134" s="7"/>
      <c r="D134" s="7"/>
      <c r="E134" s="46">
        <f t="shared" si="31"/>
        <v>0</v>
      </c>
      <c r="F134" s="57"/>
      <c r="G134" s="7"/>
      <c r="H134" s="46">
        <f t="shared" si="32"/>
        <v>0</v>
      </c>
      <c r="I134" s="57">
        <v>20</v>
      </c>
      <c r="J134" s="7"/>
      <c r="K134" s="46">
        <f t="shared" si="33"/>
        <v>20</v>
      </c>
      <c r="L134" s="57"/>
      <c r="M134" s="7"/>
      <c r="N134" s="46">
        <f t="shared" si="34"/>
        <v>20</v>
      </c>
      <c r="O134" s="128"/>
      <c r="P134" s="126">
        <f t="shared" si="18"/>
        <v>20</v>
      </c>
    </row>
    <row r="135" spans="1:16" ht="12.75">
      <c r="A135" s="65" t="s">
        <v>84</v>
      </c>
      <c r="B135" s="45"/>
      <c r="C135" s="7"/>
      <c r="D135" s="7"/>
      <c r="E135" s="46">
        <f t="shared" si="31"/>
        <v>0</v>
      </c>
      <c r="F135" s="57"/>
      <c r="G135" s="7"/>
      <c r="H135" s="46">
        <f t="shared" si="32"/>
        <v>0</v>
      </c>
      <c r="I135" s="57"/>
      <c r="J135" s="7"/>
      <c r="K135" s="46">
        <f t="shared" si="33"/>
        <v>0</v>
      </c>
      <c r="L135" s="57">
        <v>100</v>
      </c>
      <c r="M135" s="7"/>
      <c r="N135" s="46">
        <f t="shared" si="34"/>
        <v>100</v>
      </c>
      <c r="O135" s="128"/>
      <c r="P135" s="126">
        <f t="shared" si="18"/>
        <v>100</v>
      </c>
    </row>
    <row r="136" spans="1:16" ht="12.75">
      <c r="A136" s="65" t="s">
        <v>85</v>
      </c>
      <c r="B136" s="45"/>
      <c r="C136" s="7"/>
      <c r="D136" s="7"/>
      <c r="E136" s="46">
        <f t="shared" si="31"/>
        <v>0</v>
      </c>
      <c r="F136" s="57"/>
      <c r="G136" s="7"/>
      <c r="H136" s="46">
        <f t="shared" si="32"/>
        <v>0</v>
      </c>
      <c r="I136" s="57">
        <v>250</v>
      </c>
      <c r="J136" s="7"/>
      <c r="K136" s="46">
        <f t="shared" si="33"/>
        <v>250</v>
      </c>
      <c r="L136" s="57"/>
      <c r="M136" s="7"/>
      <c r="N136" s="46">
        <f t="shared" si="34"/>
        <v>250</v>
      </c>
      <c r="O136" s="128"/>
      <c r="P136" s="126">
        <f t="shared" si="18"/>
        <v>250</v>
      </c>
    </row>
    <row r="137" spans="1:16" ht="12.75">
      <c r="A137" s="71" t="s">
        <v>74</v>
      </c>
      <c r="B137" s="53">
        <f>B140+B139</f>
        <v>0</v>
      </c>
      <c r="C137" s="12">
        <f>C140+C139</f>
        <v>72</v>
      </c>
      <c r="D137" s="12"/>
      <c r="E137" s="54">
        <f aca="true" t="shared" si="35" ref="E137:P137">E140+E139</f>
        <v>72</v>
      </c>
      <c r="F137" s="102">
        <f t="shared" si="35"/>
        <v>0</v>
      </c>
      <c r="G137" s="12">
        <f t="shared" si="35"/>
        <v>0</v>
      </c>
      <c r="H137" s="54">
        <f t="shared" si="35"/>
        <v>72</v>
      </c>
      <c r="I137" s="102">
        <f t="shared" si="35"/>
        <v>1012</v>
      </c>
      <c r="J137" s="12">
        <f t="shared" si="35"/>
        <v>0</v>
      </c>
      <c r="K137" s="54">
        <f t="shared" si="35"/>
        <v>1084</v>
      </c>
      <c r="L137" s="153">
        <f t="shared" si="35"/>
        <v>108</v>
      </c>
      <c r="M137" s="12">
        <f t="shared" si="35"/>
        <v>0</v>
      </c>
      <c r="N137" s="54">
        <f t="shared" si="35"/>
        <v>1192</v>
      </c>
      <c r="O137" s="133"/>
      <c r="P137" s="111">
        <f t="shared" si="35"/>
        <v>1192</v>
      </c>
    </row>
    <row r="138" spans="1:16" ht="12.75">
      <c r="A138" s="67" t="s">
        <v>38</v>
      </c>
      <c r="B138" s="45"/>
      <c r="C138" s="7"/>
      <c r="D138" s="7"/>
      <c r="E138" s="44"/>
      <c r="F138" s="57"/>
      <c r="G138" s="7"/>
      <c r="H138" s="44"/>
      <c r="I138" s="57"/>
      <c r="J138" s="7"/>
      <c r="K138" s="44"/>
      <c r="L138" s="57"/>
      <c r="M138" s="7"/>
      <c r="N138" s="44"/>
      <c r="O138" s="128"/>
      <c r="P138" s="126"/>
    </row>
    <row r="139" spans="1:16" ht="12.75">
      <c r="A139" s="73" t="s">
        <v>75</v>
      </c>
      <c r="B139" s="49"/>
      <c r="C139" s="10">
        <v>72</v>
      </c>
      <c r="D139" s="10"/>
      <c r="E139" s="50">
        <f>B139+C139+D139</f>
        <v>72</v>
      </c>
      <c r="F139" s="152"/>
      <c r="G139" s="10"/>
      <c r="H139" s="50">
        <f>E139+F139+G139</f>
        <v>72</v>
      </c>
      <c r="I139" s="152">
        <f>180+832</f>
        <v>1012</v>
      </c>
      <c r="J139" s="10"/>
      <c r="K139" s="50">
        <f>H139+I139+J139</f>
        <v>1084</v>
      </c>
      <c r="L139" s="152">
        <v>108</v>
      </c>
      <c r="M139" s="10"/>
      <c r="N139" s="50">
        <f>K139+L139+M139</f>
        <v>1192</v>
      </c>
      <c r="O139" s="128"/>
      <c r="P139" s="126">
        <f t="shared" si="18"/>
        <v>1192</v>
      </c>
    </row>
    <row r="140" spans="1:16" ht="12.75" hidden="1">
      <c r="A140" s="68" t="s">
        <v>105</v>
      </c>
      <c r="B140" s="49"/>
      <c r="C140" s="10"/>
      <c r="D140" s="10"/>
      <c r="E140" s="50">
        <f>B140+C140+D140</f>
        <v>0</v>
      </c>
      <c r="F140" s="152"/>
      <c r="G140" s="10"/>
      <c r="H140" s="50">
        <f>E140+F140+G140</f>
        <v>0</v>
      </c>
      <c r="I140" s="152"/>
      <c r="J140" s="10"/>
      <c r="K140" s="50">
        <f>H140+I140+J140</f>
        <v>0</v>
      </c>
      <c r="L140" s="152"/>
      <c r="M140" s="10"/>
      <c r="N140" s="50">
        <f>K140+L140+M140</f>
        <v>0</v>
      </c>
      <c r="O140" s="141"/>
      <c r="P140" s="142">
        <f t="shared" si="18"/>
        <v>0</v>
      </c>
    </row>
    <row r="141" spans="1:16" ht="12.75">
      <c r="A141" s="62" t="s">
        <v>86</v>
      </c>
      <c r="B141" s="43">
        <f aca="true" t="shared" si="36" ref="B141:K141">B142+B153</f>
        <v>120305</v>
      </c>
      <c r="C141" s="6">
        <f t="shared" si="36"/>
        <v>16611.1</v>
      </c>
      <c r="D141" s="6">
        <f>D142+D153</f>
        <v>0</v>
      </c>
      <c r="E141" s="44">
        <f t="shared" si="36"/>
        <v>136916.1</v>
      </c>
      <c r="F141" s="101">
        <f>F142+F153</f>
        <v>12619.8</v>
      </c>
      <c r="G141" s="6">
        <f>G142+G153</f>
        <v>28368</v>
      </c>
      <c r="H141" s="44">
        <f t="shared" si="36"/>
        <v>177903.9</v>
      </c>
      <c r="I141" s="101">
        <f>I142+I153</f>
        <v>11666.2</v>
      </c>
      <c r="J141" s="6">
        <f>J142+J153</f>
        <v>0</v>
      </c>
      <c r="K141" s="44">
        <f t="shared" si="36"/>
        <v>189570.09999999998</v>
      </c>
      <c r="L141" s="97">
        <f>L142+L153</f>
        <v>217.8</v>
      </c>
      <c r="M141" s="6">
        <f>M142+M153</f>
        <v>0</v>
      </c>
      <c r="N141" s="44">
        <f>N142+N153</f>
        <v>189787.9</v>
      </c>
      <c r="O141" s="129"/>
      <c r="P141" s="110">
        <f>P142+P153</f>
        <v>185980.8</v>
      </c>
    </row>
    <row r="142" spans="1:16" ht="12.75">
      <c r="A142" s="71" t="s">
        <v>68</v>
      </c>
      <c r="B142" s="53">
        <f aca="true" t="shared" si="37" ref="B142:H142">SUM(B144:B151)</f>
        <v>74705</v>
      </c>
      <c r="C142" s="12">
        <f t="shared" si="37"/>
        <v>3211.1</v>
      </c>
      <c r="D142" s="12">
        <f t="shared" si="37"/>
        <v>0</v>
      </c>
      <c r="E142" s="54">
        <f t="shared" si="37"/>
        <v>77916.1</v>
      </c>
      <c r="F142" s="102">
        <f t="shared" si="37"/>
        <v>7581.799999999999</v>
      </c>
      <c r="G142" s="12">
        <f t="shared" si="37"/>
        <v>-746.8</v>
      </c>
      <c r="H142" s="54">
        <f t="shared" si="37"/>
        <v>84751.09999999999</v>
      </c>
      <c r="I142" s="102">
        <f aca="true" t="shared" si="38" ref="I142:N142">SUM(I144:I151)</f>
        <v>5365</v>
      </c>
      <c r="J142" s="12">
        <f t="shared" si="38"/>
        <v>200</v>
      </c>
      <c r="K142" s="54">
        <f t="shared" si="38"/>
        <v>90316.09999999999</v>
      </c>
      <c r="L142" s="153">
        <f t="shared" si="38"/>
        <v>217.8</v>
      </c>
      <c r="M142" s="12">
        <f t="shared" si="38"/>
        <v>0</v>
      </c>
      <c r="N142" s="54">
        <f t="shared" si="38"/>
        <v>90533.9</v>
      </c>
      <c r="O142" s="133"/>
      <c r="P142" s="111">
        <f>SUM(P144:P151)</f>
        <v>90426.79999999999</v>
      </c>
    </row>
    <row r="143" spans="1:16" ht="12.75">
      <c r="A143" s="67" t="s">
        <v>38</v>
      </c>
      <c r="B143" s="45"/>
      <c r="C143" s="7"/>
      <c r="D143" s="7"/>
      <c r="E143" s="44"/>
      <c r="F143" s="57"/>
      <c r="G143" s="7"/>
      <c r="H143" s="44"/>
      <c r="I143" s="57"/>
      <c r="J143" s="7"/>
      <c r="K143" s="44"/>
      <c r="L143" s="57"/>
      <c r="M143" s="7"/>
      <c r="N143" s="44"/>
      <c r="O143" s="128"/>
      <c r="P143" s="126"/>
    </row>
    <row r="144" spans="1:16" ht="12" customHeight="1">
      <c r="A144" s="69" t="s">
        <v>87</v>
      </c>
      <c r="B144" s="45">
        <v>45000</v>
      </c>
      <c r="C144" s="7">
        <f>2400</f>
        <v>2400</v>
      </c>
      <c r="D144" s="7"/>
      <c r="E144" s="46">
        <f>B144+C144+D144</f>
        <v>47400</v>
      </c>
      <c r="F144" s="57"/>
      <c r="G144" s="7"/>
      <c r="H144" s="46">
        <f>E144+F144+G144</f>
        <v>47400</v>
      </c>
      <c r="I144" s="57"/>
      <c r="J144" s="7"/>
      <c r="K144" s="46">
        <f>H144+I144+J144</f>
        <v>47400</v>
      </c>
      <c r="L144" s="57"/>
      <c r="M144" s="7"/>
      <c r="N144" s="46">
        <f>K144+L144+M144</f>
        <v>47400</v>
      </c>
      <c r="O144" s="128"/>
      <c r="P144" s="126">
        <f t="shared" si="18"/>
        <v>47400</v>
      </c>
    </row>
    <row r="145" spans="1:16" ht="12.75">
      <c r="A145" s="65" t="s">
        <v>71</v>
      </c>
      <c r="B145" s="45">
        <v>29705</v>
      </c>
      <c r="C145" s="7">
        <v>400</v>
      </c>
      <c r="D145" s="7"/>
      <c r="E145" s="46">
        <f aca="true" t="shared" si="39" ref="E145:E152">B145+C145+D145</f>
        <v>30105</v>
      </c>
      <c r="F145" s="57">
        <f>-28.8-150+698</f>
        <v>519.2</v>
      </c>
      <c r="G145" s="7">
        <v>-2160</v>
      </c>
      <c r="H145" s="46">
        <f aca="true" t="shared" si="40" ref="H145:H152">E145+F145+G145</f>
        <v>28464.2</v>
      </c>
      <c r="I145" s="57">
        <v>-2664.8</v>
      </c>
      <c r="J145" s="7"/>
      <c r="K145" s="46">
        <f aca="true" t="shared" si="41" ref="K145:K152">H145+I145+J145</f>
        <v>25799.4</v>
      </c>
      <c r="L145" s="57"/>
      <c r="M145" s="7"/>
      <c r="N145" s="46">
        <f aca="true" t="shared" si="42" ref="N145:N152">K145+L145+M145</f>
        <v>25799.4</v>
      </c>
      <c r="O145" s="128"/>
      <c r="P145" s="126">
        <f t="shared" si="18"/>
        <v>25799.4</v>
      </c>
    </row>
    <row r="146" spans="1:16" ht="12.75">
      <c r="A146" s="65" t="s">
        <v>88</v>
      </c>
      <c r="B146" s="45"/>
      <c r="C146" s="7"/>
      <c r="D146" s="7"/>
      <c r="E146" s="46">
        <f t="shared" si="39"/>
        <v>0</v>
      </c>
      <c r="F146" s="57">
        <v>2000</v>
      </c>
      <c r="G146" s="7"/>
      <c r="H146" s="46">
        <f t="shared" si="40"/>
        <v>2000</v>
      </c>
      <c r="I146" s="57">
        <v>2664.8</v>
      </c>
      <c r="J146" s="7"/>
      <c r="K146" s="46">
        <f t="shared" si="41"/>
        <v>4664.8</v>
      </c>
      <c r="L146" s="57"/>
      <c r="M146" s="7"/>
      <c r="N146" s="46">
        <f t="shared" si="42"/>
        <v>4664.8</v>
      </c>
      <c r="O146" s="128"/>
      <c r="P146" s="126">
        <f t="shared" si="18"/>
        <v>4664.8</v>
      </c>
    </row>
    <row r="147" spans="1:16" ht="12.75">
      <c r="A147" s="65" t="s">
        <v>89</v>
      </c>
      <c r="B147" s="45"/>
      <c r="C147" s="7">
        <f>18.9+392.2</f>
        <v>411.09999999999997</v>
      </c>
      <c r="D147" s="7"/>
      <c r="E147" s="46">
        <f t="shared" si="39"/>
        <v>411.09999999999997</v>
      </c>
      <c r="F147" s="57">
        <f>84.4+536.1+10.1</f>
        <v>630.6</v>
      </c>
      <c r="G147" s="7"/>
      <c r="H147" s="46">
        <f t="shared" si="40"/>
        <v>1041.7</v>
      </c>
      <c r="I147" s="57">
        <f>19.2+117.5</f>
        <v>136.7</v>
      </c>
      <c r="J147" s="7"/>
      <c r="K147" s="46">
        <f t="shared" si="41"/>
        <v>1178.4</v>
      </c>
      <c r="L147" s="57">
        <f>217.8</f>
        <v>217.8</v>
      </c>
      <c r="M147" s="7"/>
      <c r="N147" s="46">
        <f t="shared" si="42"/>
        <v>1396.2</v>
      </c>
      <c r="O147" s="128"/>
      <c r="P147" s="126">
        <f t="shared" si="18"/>
        <v>1396.2</v>
      </c>
    </row>
    <row r="148" spans="1:16" ht="12.75">
      <c r="A148" s="65" t="s">
        <v>349</v>
      </c>
      <c r="B148" s="45"/>
      <c r="C148" s="7"/>
      <c r="D148" s="7"/>
      <c r="E148" s="46"/>
      <c r="F148" s="57"/>
      <c r="G148" s="7"/>
      <c r="H148" s="46">
        <f t="shared" si="40"/>
        <v>0</v>
      </c>
      <c r="I148" s="57">
        <v>107.1</v>
      </c>
      <c r="J148" s="7"/>
      <c r="K148" s="46">
        <f t="shared" si="41"/>
        <v>107.1</v>
      </c>
      <c r="L148" s="57"/>
      <c r="M148" s="7"/>
      <c r="N148" s="46">
        <f t="shared" si="42"/>
        <v>107.1</v>
      </c>
      <c r="O148" s="128"/>
      <c r="P148" s="126"/>
    </row>
    <row r="149" spans="1:16" ht="12.75">
      <c r="A149" s="65" t="s">
        <v>104</v>
      </c>
      <c r="B149" s="45"/>
      <c r="C149" s="7"/>
      <c r="D149" s="7"/>
      <c r="E149" s="46">
        <f t="shared" si="39"/>
        <v>0</v>
      </c>
      <c r="F149" s="57">
        <f>3018+1302</f>
        <v>4320</v>
      </c>
      <c r="G149" s="7"/>
      <c r="H149" s="46">
        <f t="shared" si="40"/>
        <v>4320</v>
      </c>
      <c r="I149" s="57">
        <v>6422.4</v>
      </c>
      <c r="J149" s="7"/>
      <c r="K149" s="46">
        <f t="shared" si="41"/>
        <v>10742.4</v>
      </c>
      <c r="L149" s="57"/>
      <c r="M149" s="7"/>
      <c r="N149" s="46">
        <f t="shared" si="42"/>
        <v>10742.4</v>
      </c>
      <c r="O149" s="128"/>
      <c r="P149" s="126">
        <f aca="true" t="shared" si="43" ref="P149:P219">N149+O149</f>
        <v>10742.4</v>
      </c>
    </row>
    <row r="150" spans="1:16" ht="12.75" hidden="1">
      <c r="A150" s="65" t="s">
        <v>90</v>
      </c>
      <c r="B150" s="45"/>
      <c r="C150" s="7"/>
      <c r="D150" s="7"/>
      <c r="E150" s="46">
        <f t="shared" si="39"/>
        <v>0</v>
      </c>
      <c r="F150" s="57"/>
      <c r="G150" s="7"/>
      <c r="H150" s="46">
        <f t="shared" si="40"/>
        <v>0</v>
      </c>
      <c r="I150" s="57"/>
      <c r="J150" s="7"/>
      <c r="K150" s="46">
        <f t="shared" si="41"/>
        <v>0</v>
      </c>
      <c r="L150" s="57"/>
      <c r="M150" s="7"/>
      <c r="N150" s="46">
        <f t="shared" si="42"/>
        <v>0</v>
      </c>
      <c r="O150" s="128"/>
      <c r="P150" s="126">
        <f t="shared" si="43"/>
        <v>0</v>
      </c>
    </row>
    <row r="151" spans="1:16" ht="12.75">
      <c r="A151" s="64" t="s">
        <v>91</v>
      </c>
      <c r="B151" s="45"/>
      <c r="C151" s="7"/>
      <c r="D151" s="7"/>
      <c r="E151" s="46">
        <f t="shared" si="39"/>
        <v>0</v>
      </c>
      <c r="F151" s="57">
        <v>112</v>
      </c>
      <c r="G151" s="7">
        <f>1301.2+112</f>
        <v>1413.2</v>
      </c>
      <c r="H151" s="46">
        <f t="shared" si="40"/>
        <v>1525.2</v>
      </c>
      <c r="I151" s="57">
        <v>-1301.2</v>
      </c>
      <c r="J151" s="7">
        <v>200</v>
      </c>
      <c r="K151" s="46">
        <f t="shared" si="41"/>
        <v>424</v>
      </c>
      <c r="L151" s="57"/>
      <c r="M151" s="7"/>
      <c r="N151" s="46">
        <f t="shared" si="42"/>
        <v>424</v>
      </c>
      <c r="O151" s="128"/>
      <c r="P151" s="126">
        <f t="shared" si="43"/>
        <v>424</v>
      </c>
    </row>
    <row r="152" spans="1:16" ht="12.75">
      <c r="A152" s="64" t="s">
        <v>92</v>
      </c>
      <c r="B152" s="45"/>
      <c r="C152" s="7"/>
      <c r="D152" s="7"/>
      <c r="E152" s="46">
        <f t="shared" si="39"/>
        <v>0</v>
      </c>
      <c r="F152" s="57">
        <v>112</v>
      </c>
      <c r="G152" s="7">
        <v>112</v>
      </c>
      <c r="H152" s="46">
        <f t="shared" si="40"/>
        <v>224</v>
      </c>
      <c r="I152" s="57"/>
      <c r="J152" s="7">
        <v>200</v>
      </c>
      <c r="K152" s="46">
        <f t="shared" si="41"/>
        <v>424</v>
      </c>
      <c r="L152" s="57"/>
      <c r="M152" s="7"/>
      <c r="N152" s="46">
        <f t="shared" si="42"/>
        <v>424</v>
      </c>
      <c r="O152" s="128"/>
      <c r="P152" s="126">
        <f t="shared" si="43"/>
        <v>424</v>
      </c>
    </row>
    <row r="153" spans="1:16" ht="12.75">
      <c r="A153" s="72" t="s">
        <v>74</v>
      </c>
      <c r="B153" s="55">
        <f aca="true" t="shared" si="44" ref="B153:P153">SUM(B155:B161)</f>
        <v>45600</v>
      </c>
      <c r="C153" s="13">
        <f t="shared" si="44"/>
        <v>13400</v>
      </c>
      <c r="D153" s="13">
        <f t="shared" si="44"/>
        <v>0</v>
      </c>
      <c r="E153" s="56">
        <f t="shared" si="44"/>
        <v>59000</v>
      </c>
      <c r="F153" s="151">
        <f t="shared" si="44"/>
        <v>5038</v>
      </c>
      <c r="G153" s="13">
        <f t="shared" si="44"/>
        <v>29114.8</v>
      </c>
      <c r="H153" s="56">
        <f t="shared" si="44"/>
        <v>93152.8</v>
      </c>
      <c r="I153" s="151">
        <f t="shared" si="44"/>
        <v>6301.2</v>
      </c>
      <c r="J153" s="13">
        <f t="shared" si="44"/>
        <v>-200</v>
      </c>
      <c r="K153" s="56">
        <f t="shared" si="44"/>
        <v>99254</v>
      </c>
      <c r="L153" s="155">
        <f t="shared" si="44"/>
        <v>0</v>
      </c>
      <c r="M153" s="13">
        <f t="shared" si="44"/>
        <v>0</v>
      </c>
      <c r="N153" s="56">
        <f t="shared" si="44"/>
        <v>99254</v>
      </c>
      <c r="O153" s="134"/>
      <c r="P153" s="122">
        <f t="shared" si="44"/>
        <v>95554</v>
      </c>
    </row>
    <row r="154" spans="1:16" ht="12.75">
      <c r="A154" s="63" t="s">
        <v>38</v>
      </c>
      <c r="B154" s="47"/>
      <c r="C154" s="8"/>
      <c r="D154" s="8"/>
      <c r="E154" s="48"/>
      <c r="F154" s="149"/>
      <c r="G154" s="8"/>
      <c r="H154" s="48"/>
      <c r="I154" s="149"/>
      <c r="J154" s="8"/>
      <c r="K154" s="48"/>
      <c r="L154" s="149"/>
      <c r="M154" s="8"/>
      <c r="N154" s="48"/>
      <c r="O154" s="128"/>
      <c r="P154" s="126"/>
    </row>
    <row r="155" spans="1:16" ht="12.75">
      <c r="A155" s="64" t="s">
        <v>93</v>
      </c>
      <c r="B155" s="45"/>
      <c r="C155" s="7">
        <v>10000</v>
      </c>
      <c r="D155" s="7"/>
      <c r="E155" s="46">
        <f aca="true" t="shared" si="45" ref="E155:E162">B155+C155+D155</f>
        <v>10000</v>
      </c>
      <c r="F155" s="57">
        <f>5000+150</f>
        <v>5150</v>
      </c>
      <c r="G155" s="7">
        <v>1460</v>
      </c>
      <c r="H155" s="46">
        <f aca="true" t="shared" si="46" ref="H155:H162">E155+F155+G155</f>
        <v>16610</v>
      </c>
      <c r="I155" s="57">
        <v>2000</v>
      </c>
      <c r="J155" s="7"/>
      <c r="K155" s="46">
        <f aca="true" t="shared" si="47" ref="K155:K162">H155+I155+J155</f>
        <v>18610</v>
      </c>
      <c r="L155" s="57"/>
      <c r="M155" s="7"/>
      <c r="N155" s="46">
        <f aca="true" t="shared" si="48" ref="N155:N162">K155+L155+M155</f>
        <v>18610</v>
      </c>
      <c r="O155" s="128"/>
      <c r="P155" s="126">
        <f t="shared" si="43"/>
        <v>18610</v>
      </c>
    </row>
    <row r="156" spans="1:16" ht="12.75" hidden="1">
      <c r="A156" s="65" t="s">
        <v>330</v>
      </c>
      <c r="B156" s="45"/>
      <c r="C156" s="7"/>
      <c r="D156" s="7"/>
      <c r="E156" s="46">
        <f t="shared" si="45"/>
        <v>0</v>
      </c>
      <c r="F156" s="57"/>
      <c r="G156" s="7"/>
      <c r="H156" s="46">
        <f t="shared" si="46"/>
        <v>0</v>
      </c>
      <c r="I156" s="57"/>
      <c r="J156" s="7"/>
      <c r="K156" s="46"/>
      <c r="L156" s="57"/>
      <c r="M156" s="7"/>
      <c r="N156" s="46"/>
      <c r="O156" s="128"/>
      <c r="P156" s="126"/>
    </row>
    <row r="157" spans="1:16" ht="12.75">
      <c r="A157" s="65" t="s">
        <v>318</v>
      </c>
      <c r="B157" s="45"/>
      <c r="C157" s="7">
        <v>700</v>
      </c>
      <c r="D157" s="7"/>
      <c r="E157" s="46">
        <f t="shared" si="45"/>
        <v>700</v>
      </c>
      <c r="F157" s="57"/>
      <c r="G157" s="7"/>
      <c r="H157" s="46">
        <f t="shared" si="46"/>
        <v>700</v>
      </c>
      <c r="I157" s="57"/>
      <c r="J157" s="7"/>
      <c r="K157" s="46">
        <f t="shared" si="47"/>
        <v>700</v>
      </c>
      <c r="L157" s="57"/>
      <c r="M157" s="7"/>
      <c r="N157" s="46">
        <f t="shared" si="48"/>
        <v>700</v>
      </c>
      <c r="O157" s="128"/>
      <c r="P157" s="126">
        <f t="shared" si="43"/>
        <v>700</v>
      </c>
    </row>
    <row r="158" spans="1:16" ht="12.75">
      <c r="A158" s="64" t="s">
        <v>75</v>
      </c>
      <c r="B158" s="45"/>
      <c r="C158" s="7"/>
      <c r="D158" s="7"/>
      <c r="E158" s="46">
        <f t="shared" si="45"/>
        <v>0</v>
      </c>
      <c r="F158" s="57"/>
      <c r="G158" s="7">
        <v>700</v>
      </c>
      <c r="H158" s="46">
        <f t="shared" si="46"/>
        <v>700</v>
      </c>
      <c r="I158" s="57">
        <v>3000</v>
      </c>
      <c r="J158" s="7"/>
      <c r="K158" s="46">
        <f t="shared" si="47"/>
        <v>3700</v>
      </c>
      <c r="L158" s="57"/>
      <c r="M158" s="7"/>
      <c r="N158" s="46">
        <f t="shared" si="48"/>
        <v>3700</v>
      </c>
      <c r="O158" s="128"/>
      <c r="P158" s="126"/>
    </row>
    <row r="159" spans="1:16" ht="12.75">
      <c r="A159" s="65" t="s">
        <v>104</v>
      </c>
      <c r="B159" s="45">
        <v>600</v>
      </c>
      <c r="C159" s="7">
        <f>3300-600</f>
        <v>2700</v>
      </c>
      <c r="D159" s="7"/>
      <c r="E159" s="46">
        <f t="shared" si="45"/>
        <v>3300</v>
      </c>
      <c r="F159" s="57"/>
      <c r="G159" s="7"/>
      <c r="H159" s="46">
        <f t="shared" si="46"/>
        <v>3300</v>
      </c>
      <c r="I159" s="57"/>
      <c r="J159" s="7"/>
      <c r="K159" s="46">
        <f t="shared" si="47"/>
        <v>3300</v>
      </c>
      <c r="L159" s="57"/>
      <c r="M159" s="7"/>
      <c r="N159" s="46">
        <f t="shared" si="48"/>
        <v>3300</v>
      </c>
      <c r="O159" s="128"/>
      <c r="P159" s="126">
        <f t="shared" si="43"/>
        <v>3300</v>
      </c>
    </row>
    <row r="160" spans="1:16" ht="12.75" hidden="1">
      <c r="A160" s="65" t="s">
        <v>90</v>
      </c>
      <c r="B160" s="45"/>
      <c r="C160" s="7"/>
      <c r="D160" s="7"/>
      <c r="E160" s="46">
        <f t="shared" si="45"/>
        <v>0</v>
      </c>
      <c r="F160" s="57"/>
      <c r="G160" s="7"/>
      <c r="H160" s="46">
        <f t="shared" si="46"/>
        <v>0</v>
      </c>
      <c r="I160" s="57"/>
      <c r="J160" s="7"/>
      <c r="K160" s="46">
        <f t="shared" si="47"/>
        <v>0</v>
      </c>
      <c r="L160" s="57"/>
      <c r="M160" s="7"/>
      <c r="N160" s="46">
        <f t="shared" si="48"/>
        <v>0</v>
      </c>
      <c r="O160" s="128"/>
      <c r="P160" s="126">
        <f t="shared" si="43"/>
        <v>0</v>
      </c>
    </row>
    <row r="161" spans="1:16" ht="12.75">
      <c r="A161" s="64" t="s">
        <v>91</v>
      </c>
      <c r="B161" s="45">
        <v>45000</v>
      </c>
      <c r="C161" s="7"/>
      <c r="D161" s="7"/>
      <c r="E161" s="46">
        <f t="shared" si="45"/>
        <v>45000</v>
      </c>
      <c r="F161" s="57">
        <v>-112</v>
      </c>
      <c r="G161" s="7">
        <f>-1301.2+28368-112</f>
        <v>26954.8</v>
      </c>
      <c r="H161" s="46">
        <f t="shared" si="46"/>
        <v>71842.8</v>
      </c>
      <c r="I161" s="57">
        <v>1301.2</v>
      </c>
      <c r="J161" s="7">
        <v>-200</v>
      </c>
      <c r="K161" s="46">
        <f t="shared" si="47"/>
        <v>72944</v>
      </c>
      <c r="L161" s="57"/>
      <c r="M161" s="7"/>
      <c r="N161" s="46">
        <f t="shared" si="48"/>
        <v>72944</v>
      </c>
      <c r="O161" s="128"/>
      <c r="P161" s="126">
        <f t="shared" si="43"/>
        <v>72944</v>
      </c>
    </row>
    <row r="162" spans="1:16" ht="12.75">
      <c r="A162" s="73" t="s">
        <v>94</v>
      </c>
      <c r="B162" s="49"/>
      <c r="C162" s="10"/>
      <c r="D162" s="10">
        <v>112</v>
      </c>
      <c r="E162" s="50">
        <f t="shared" si="45"/>
        <v>112</v>
      </c>
      <c r="F162" s="152">
        <f>9024</f>
        <v>9024</v>
      </c>
      <c r="G162" s="10">
        <f>16200-112</f>
        <v>16088</v>
      </c>
      <c r="H162" s="50">
        <f t="shared" si="46"/>
        <v>25224</v>
      </c>
      <c r="I162" s="152">
        <v>7170</v>
      </c>
      <c r="J162" s="10">
        <v>8249</v>
      </c>
      <c r="K162" s="50">
        <f t="shared" si="47"/>
        <v>40643</v>
      </c>
      <c r="L162" s="152"/>
      <c r="M162" s="10"/>
      <c r="N162" s="50">
        <f t="shared" si="48"/>
        <v>40643</v>
      </c>
      <c r="O162" s="141"/>
      <c r="P162" s="142">
        <f t="shared" si="43"/>
        <v>40643</v>
      </c>
    </row>
    <row r="163" spans="1:16" ht="12.75">
      <c r="A163" s="66" t="s">
        <v>95</v>
      </c>
      <c r="B163" s="47">
        <f aca="true" t="shared" si="49" ref="B163:K163">B164+B170</f>
        <v>9350</v>
      </c>
      <c r="C163" s="8">
        <f t="shared" si="49"/>
        <v>2073</v>
      </c>
      <c r="D163" s="8">
        <f>D164+D170</f>
        <v>0</v>
      </c>
      <c r="E163" s="48">
        <f t="shared" si="49"/>
        <v>11423</v>
      </c>
      <c r="F163" s="148">
        <f>F164+F170</f>
        <v>1400</v>
      </c>
      <c r="G163" s="8">
        <f>G164+G170</f>
        <v>0</v>
      </c>
      <c r="H163" s="48">
        <f t="shared" si="49"/>
        <v>12823</v>
      </c>
      <c r="I163" s="148">
        <f>I164+I170</f>
        <v>550</v>
      </c>
      <c r="J163" s="8">
        <f>J164+J170</f>
        <v>500</v>
      </c>
      <c r="K163" s="48">
        <f t="shared" si="49"/>
        <v>13873</v>
      </c>
      <c r="L163" s="149">
        <f>L164+L170</f>
        <v>0</v>
      </c>
      <c r="M163" s="8">
        <f>M164+M170</f>
        <v>0</v>
      </c>
      <c r="N163" s="48">
        <f>N164+N170</f>
        <v>13873</v>
      </c>
      <c r="O163" s="131"/>
      <c r="P163" s="59">
        <f>P164+P170</f>
        <v>13873</v>
      </c>
    </row>
    <row r="164" spans="1:16" ht="12.75">
      <c r="A164" s="71" t="s">
        <v>68</v>
      </c>
      <c r="B164" s="53">
        <f aca="true" t="shared" si="50" ref="B164:H164">SUM(B166:B169)</f>
        <v>9350</v>
      </c>
      <c r="C164" s="12">
        <f t="shared" si="50"/>
        <v>2073</v>
      </c>
      <c r="D164" s="12">
        <f t="shared" si="50"/>
        <v>0</v>
      </c>
      <c r="E164" s="54">
        <f t="shared" si="50"/>
        <v>11423</v>
      </c>
      <c r="F164" s="102">
        <f t="shared" si="50"/>
        <v>1400</v>
      </c>
      <c r="G164" s="12">
        <f t="shared" si="50"/>
        <v>0</v>
      </c>
      <c r="H164" s="54">
        <f t="shared" si="50"/>
        <v>12823</v>
      </c>
      <c r="I164" s="102">
        <f aca="true" t="shared" si="51" ref="I164:N164">SUM(I166:I169)</f>
        <v>250</v>
      </c>
      <c r="J164" s="12">
        <f t="shared" si="51"/>
        <v>0</v>
      </c>
      <c r="K164" s="54">
        <f t="shared" si="51"/>
        <v>13073</v>
      </c>
      <c r="L164" s="153">
        <f t="shared" si="51"/>
        <v>0</v>
      </c>
      <c r="M164" s="12">
        <f t="shared" si="51"/>
        <v>0</v>
      </c>
      <c r="N164" s="54">
        <f t="shared" si="51"/>
        <v>13073</v>
      </c>
      <c r="O164" s="133"/>
      <c r="P164" s="111">
        <f>SUM(P166:P169)</f>
        <v>13073</v>
      </c>
    </row>
    <row r="165" spans="1:16" ht="12.75">
      <c r="A165" s="67" t="s">
        <v>38</v>
      </c>
      <c r="B165" s="45"/>
      <c r="C165" s="7"/>
      <c r="D165" s="7"/>
      <c r="E165" s="44"/>
      <c r="F165" s="57"/>
      <c r="G165" s="7"/>
      <c r="H165" s="44"/>
      <c r="I165" s="57"/>
      <c r="J165" s="7"/>
      <c r="K165" s="44"/>
      <c r="L165" s="57"/>
      <c r="M165" s="7"/>
      <c r="N165" s="44"/>
      <c r="O165" s="128"/>
      <c r="P165" s="126"/>
    </row>
    <row r="166" spans="1:16" ht="12.75">
      <c r="A166" s="65" t="s">
        <v>71</v>
      </c>
      <c r="B166" s="45">
        <v>9350</v>
      </c>
      <c r="C166" s="7">
        <f>400+300</f>
        <v>700</v>
      </c>
      <c r="D166" s="7"/>
      <c r="E166" s="46">
        <f>SUM(B166:D166)</f>
        <v>10050</v>
      </c>
      <c r="F166" s="57">
        <f>200+1000+200</f>
        <v>1400</v>
      </c>
      <c r="G166" s="7"/>
      <c r="H166" s="46">
        <f>SUM(E166:G166)</f>
        <v>11450</v>
      </c>
      <c r="I166" s="57">
        <v>250</v>
      </c>
      <c r="J166" s="7"/>
      <c r="K166" s="46">
        <f>H166+I166+J166</f>
        <v>11700</v>
      </c>
      <c r="L166" s="57"/>
      <c r="M166" s="7"/>
      <c r="N166" s="46">
        <f>K166+L166+M166</f>
        <v>11700</v>
      </c>
      <c r="O166" s="128"/>
      <c r="P166" s="126">
        <f t="shared" si="43"/>
        <v>11700</v>
      </c>
    </row>
    <row r="167" spans="1:16" ht="12.75">
      <c r="A167" s="69" t="s">
        <v>96</v>
      </c>
      <c r="B167" s="45"/>
      <c r="C167" s="7">
        <v>1373</v>
      </c>
      <c r="D167" s="7"/>
      <c r="E167" s="46">
        <f>SUM(B167:D167)</f>
        <v>1373</v>
      </c>
      <c r="F167" s="57"/>
      <c r="G167" s="7"/>
      <c r="H167" s="46">
        <f>SUM(E167:G167)</f>
        <v>1373</v>
      </c>
      <c r="I167" s="57"/>
      <c r="J167" s="7"/>
      <c r="K167" s="46">
        <f>H167+I167+J167</f>
        <v>1373</v>
      </c>
      <c r="L167" s="57"/>
      <c r="M167" s="7"/>
      <c r="N167" s="46">
        <f>K167+L167+M167</f>
        <v>1373</v>
      </c>
      <c r="O167" s="128"/>
      <c r="P167" s="126">
        <f t="shared" si="43"/>
        <v>1373</v>
      </c>
    </row>
    <row r="168" spans="1:16" ht="12.75" hidden="1">
      <c r="A168" s="69" t="s">
        <v>88</v>
      </c>
      <c r="B168" s="45"/>
      <c r="C168" s="7"/>
      <c r="D168" s="7"/>
      <c r="E168" s="46">
        <f>SUM(B168:D168)</f>
        <v>0</v>
      </c>
      <c r="F168" s="57"/>
      <c r="G168" s="7"/>
      <c r="H168" s="46">
        <f>SUM(E168:G168)</f>
        <v>0</v>
      </c>
      <c r="I168" s="57"/>
      <c r="J168" s="7"/>
      <c r="K168" s="46">
        <f>H168+I168+J168</f>
        <v>0</v>
      </c>
      <c r="L168" s="57"/>
      <c r="M168" s="7"/>
      <c r="N168" s="46">
        <f>K168+L168+M168</f>
        <v>0</v>
      </c>
      <c r="O168" s="128"/>
      <c r="P168" s="126">
        <f t="shared" si="43"/>
        <v>0</v>
      </c>
    </row>
    <row r="169" spans="1:16" ht="12.75" hidden="1">
      <c r="A169" s="65" t="s">
        <v>90</v>
      </c>
      <c r="B169" s="45"/>
      <c r="C169" s="7"/>
      <c r="D169" s="7"/>
      <c r="E169" s="46">
        <f>SUM(B169:D169)</f>
        <v>0</v>
      </c>
      <c r="F169" s="57"/>
      <c r="G169" s="7"/>
      <c r="H169" s="46">
        <f>SUM(E169:G169)</f>
        <v>0</v>
      </c>
      <c r="I169" s="57"/>
      <c r="J169" s="7"/>
      <c r="K169" s="46">
        <f>H169+I169+J169</f>
        <v>0</v>
      </c>
      <c r="L169" s="57"/>
      <c r="M169" s="7"/>
      <c r="N169" s="46">
        <f>K169+L169+M169</f>
        <v>0</v>
      </c>
      <c r="O169" s="128"/>
      <c r="P169" s="126">
        <f t="shared" si="43"/>
        <v>0</v>
      </c>
    </row>
    <row r="170" spans="1:16" ht="12.75">
      <c r="A170" s="71" t="s">
        <v>74</v>
      </c>
      <c r="B170" s="53">
        <f>B173+B172</f>
        <v>0</v>
      </c>
      <c r="C170" s="12">
        <f>C173</f>
        <v>0</v>
      </c>
      <c r="D170" s="12"/>
      <c r="E170" s="54">
        <f>E173</f>
        <v>0</v>
      </c>
      <c r="F170" s="153"/>
      <c r="G170" s="12"/>
      <c r="H170" s="54">
        <f>H173+H172</f>
        <v>0</v>
      </c>
      <c r="I170" s="153">
        <f>I172+I173</f>
        <v>300</v>
      </c>
      <c r="J170" s="12">
        <f>J172+J173</f>
        <v>500</v>
      </c>
      <c r="K170" s="54">
        <f>K173+K172</f>
        <v>800</v>
      </c>
      <c r="L170" s="153">
        <f>L173+L172</f>
        <v>0</v>
      </c>
      <c r="M170" s="12">
        <f>M173+M172</f>
        <v>0</v>
      </c>
      <c r="N170" s="54">
        <f>N173+N172</f>
        <v>800</v>
      </c>
      <c r="O170" s="133"/>
      <c r="P170" s="111">
        <f>P173+P172</f>
        <v>800</v>
      </c>
    </row>
    <row r="171" spans="1:16" ht="12.75">
      <c r="A171" s="67" t="s">
        <v>38</v>
      </c>
      <c r="B171" s="45"/>
      <c r="C171" s="7"/>
      <c r="D171" s="7"/>
      <c r="E171" s="44"/>
      <c r="F171" s="57"/>
      <c r="G171" s="7"/>
      <c r="H171" s="44"/>
      <c r="I171" s="57"/>
      <c r="J171" s="7"/>
      <c r="K171" s="44"/>
      <c r="L171" s="57"/>
      <c r="M171" s="7"/>
      <c r="N171" s="44"/>
      <c r="O171" s="128"/>
      <c r="P171" s="126"/>
    </row>
    <row r="172" spans="1:16" ht="12.75">
      <c r="A172" s="65" t="s">
        <v>291</v>
      </c>
      <c r="B172" s="45"/>
      <c r="C172" s="7"/>
      <c r="D172" s="7"/>
      <c r="E172" s="46">
        <f>B172+C172+D172</f>
        <v>0</v>
      </c>
      <c r="F172" s="57"/>
      <c r="G172" s="7"/>
      <c r="H172" s="44"/>
      <c r="I172" s="57"/>
      <c r="J172" s="7">
        <v>250</v>
      </c>
      <c r="K172" s="46">
        <f>H172+I172+J172</f>
        <v>250</v>
      </c>
      <c r="L172" s="57"/>
      <c r="M172" s="7"/>
      <c r="N172" s="46">
        <f>K172+L172+M172</f>
        <v>250</v>
      </c>
      <c r="O172" s="141"/>
      <c r="P172" s="142">
        <f t="shared" si="43"/>
        <v>250</v>
      </c>
    </row>
    <row r="173" spans="1:16" ht="13.5" thickBot="1">
      <c r="A173" s="187" t="s">
        <v>75</v>
      </c>
      <c r="B173" s="188"/>
      <c r="C173" s="189"/>
      <c r="D173" s="189"/>
      <c r="E173" s="190">
        <f>SUM(B173:D173)</f>
        <v>0</v>
      </c>
      <c r="F173" s="191"/>
      <c r="G173" s="189"/>
      <c r="H173" s="190">
        <f>SUM(E173:G173)</f>
        <v>0</v>
      </c>
      <c r="I173" s="191">
        <v>300</v>
      </c>
      <c r="J173" s="192">
        <v>250</v>
      </c>
      <c r="K173" s="190">
        <f>H173+I173+J173</f>
        <v>550</v>
      </c>
      <c r="L173" s="191"/>
      <c r="M173" s="189"/>
      <c r="N173" s="190">
        <f>K173+L173+M173</f>
        <v>550</v>
      </c>
      <c r="O173" s="128"/>
      <c r="P173" s="126">
        <f t="shared" si="43"/>
        <v>550</v>
      </c>
    </row>
    <row r="174" spans="1:16" ht="12.75">
      <c r="A174" s="62" t="s">
        <v>97</v>
      </c>
      <c r="B174" s="43">
        <f aca="true" t="shared" si="52" ref="B174:K174">B175+B191</f>
        <v>1189674.1</v>
      </c>
      <c r="C174" s="6">
        <f t="shared" si="52"/>
        <v>93451.1</v>
      </c>
      <c r="D174" s="6">
        <f>D175+D191</f>
        <v>0</v>
      </c>
      <c r="E174" s="44">
        <f t="shared" si="52"/>
        <v>1283125.2000000002</v>
      </c>
      <c r="F174" s="101">
        <f>F175+F191</f>
        <v>255506.2</v>
      </c>
      <c r="G174" s="6">
        <f>G175+G191</f>
        <v>0</v>
      </c>
      <c r="H174" s="44">
        <f t="shared" si="52"/>
        <v>1538631.4</v>
      </c>
      <c r="I174" s="101">
        <f>I175+I191</f>
        <v>25082.899999999998</v>
      </c>
      <c r="J174" s="6">
        <f>J175+J191</f>
        <v>0</v>
      </c>
      <c r="K174" s="44">
        <f t="shared" si="52"/>
        <v>1563714.3</v>
      </c>
      <c r="L174" s="97">
        <f>L175+L191</f>
        <v>8150.9</v>
      </c>
      <c r="M174" s="6">
        <f>M175+M191</f>
        <v>0</v>
      </c>
      <c r="N174" s="44">
        <f>N175+N191</f>
        <v>1571865.2</v>
      </c>
      <c r="O174" s="129"/>
      <c r="P174" s="110">
        <f>P175+P191</f>
        <v>1571800.2</v>
      </c>
    </row>
    <row r="175" spans="1:16" ht="12.75">
      <c r="A175" s="71" t="s">
        <v>68</v>
      </c>
      <c r="B175" s="53">
        <f aca="true" t="shared" si="53" ref="B175:H175">SUM(B178:B190)</f>
        <v>1091000</v>
      </c>
      <c r="C175" s="12">
        <f t="shared" si="53"/>
        <v>30575.4</v>
      </c>
      <c r="D175" s="12">
        <f t="shared" si="53"/>
        <v>0</v>
      </c>
      <c r="E175" s="54">
        <f t="shared" si="53"/>
        <v>1121575.4000000001</v>
      </c>
      <c r="F175" s="102">
        <f t="shared" si="53"/>
        <v>278484</v>
      </c>
      <c r="G175" s="12">
        <f t="shared" si="53"/>
        <v>0</v>
      </c>
      <c r="H175" s="54">
        <f t="shared" si="53"/>
        <v>1400059.4</v>
      </c>
      <c r="I175" s="102">
        <f aca="true" t="shared" si="54" ref="I175:N175">SUM(I178:I190)</f>
        <v>17457.899999999998</v>
      </c>
      <c r="J175" s="12">
        <f t="shared" si="54"/>
        <v>0</v>
      </c>
      <c r="K175" s="54">
        <f t="shared" si="54"/>
        <v>1417517.3</v>
      </c>
      <c r="L175" s="153">
        <f t="shared" si="54"/>
        <v>-1543.9</v>
      </c>
      <c r="M175" s="12">
        <f t="shared" si="54"/>
        <v>0</v>
      </c>
      <c r="N175" s="54">
        <f t="shared" si="54"/>
        <v>1415973.4</v>
      </c>
      <c r="O175" s="133"/>
      <c r="P175" s="111">
        <f>SUM(P178:P190)</f>
        <v>1415908.4</v>
      </c>
    </row>
    <row r="176" spans="1:16" ht="12.75">
      <c r="A176" s="67" t="s">
        <v>38</v>
      </c>
      <c r="B176" s="45"/>
      <c r="C176" s="7"/>
      <c r="D176" s="7"/>
      <c r="E176" s="44"/>
      <c r="F176" s="57"/>
      <c r="G176" s="7"/>
      <c r="H176" s="44"/>
      <c r="I176" s="57"/>
      <c r="J176" s="7"/>
      <c r="K176" s="44"/>
      <c r="L176" s="57"/>
      <c r="M176" s="7"/>
      <c r="N176" s="44"/>
      <c r="O176" s="128"/>
      <c r="P176" s="126"/>
    </row>
    <row r="177" spans="1:16" ht="12.75">
      <c r="A177" s="69" t="s">
        <v>98</v>
      </c>
      <c r="B177" s="45">
        <f>B178+B179</f>
        <v>629800</v>
      </c>
      <c r="C177" s="7"/>
      <c r="D177" s="7"/>
      <c r="E177" s="46">
        <f>E178+E179</f>
        <v>652807.9</v>
      </c>
      <c r="F177" s="57"/>
      <c r="G177" s="7"/>
      <c r="H177" s="46">
        <f>H178+H179</f>
        <v>652807.9</v>
      </c>
      <c r="I177" s="57"/>
      <c r="J177" s="7"/>
      <c r="K177" s="46">
        <f>K178+K179</f>
        <v>654093.3</v>
      </c>
      <c r="L177" s="57"/>
      <c r="M177" s="7"/>
      <c r="N177" s="46">
        <f>N178+N179</f>
        <v>655612.2000000001</v>
      </c>
      <c r="O177" s="128"/>
      <c r="P177" s="126">
        <f t="shared" si="43"/>
        <v>655612.2000000001</v>
      </c>
    </row>
    <row r="178" spans="1:16" ht="12.75">
      <c r="A178" s="69" t="s">
        <v>99</v>
      </c>
      <c r="B178" s="45">
        <v>266800</v>
      </c>
      <c r="C178" s="7">
        <f>20000+7.9+3000</f>
        <v>23007.9</v>
      </c>
      <c r="D178" s="7"/>
      <c r="E178" s="46">
        <f aca="true" t="shared" si="55" ref="E178:E190">B178+C178+D178</f>
        <v>289807.9</v>
      </c>
      <c r="F178" s="154"/>
      <c r="G178" s="15"/>
      <c r="H178" s="46">
        <f aca="true" t="shared" si="56" ref="H178:H190">E178+F178+G178</f>
        <v>289807.9</v>
      </c>
      <c r="I178" s="57">
        <f>885.4+300</f>
        <v>1185.4</v>
      </c>
      <c r="J178" s="7"/>
      <c r="K178" s="46">
        <f aca="true" t="shared" si="57" ref="K178:K190">H178+I178+J178</f>
        <v>290993.30000000005</v>
      </c>
      <c r="L178" s="57">
        <v>1518.9</v>
      </c>
      <c r="M178" s="7"/>
      <c r="N178" s="46">
        <f aca="true" t="shared" si="58" ref="N178:N190">K178+L178+M178</f>
        <v>292512.20000000007</v>
      </c>
      <c r="O178" s="128"/>
      <c r="P178" s="126">
        <f t="shared" si="43"/>
        <v>292512.20000000007</v>
      </c>
    </row>
    <row r="179" spans="1:16" ht="12.75">
      <c r="A179" s="65" t="s">
        <v>100</v>
      </c>
      <c r="B179" s="45">
        <v>363000</v>
      </c>
      <c r="C179" s="7"/>
      <c r="D179" s="7"/>
      <c r="E179" s="46">
        <f t="shared" si="55"/>
        <v>363000</v>
      </c>
      <c r="F179" s="154"/>
      <c r="G179" s="15"/>
      <c r="H179" s="46">
        <f t="shared" si="56"/>
        <v>363000</v>
      </c>
      <c r="I179" s="57">
        <v>100</v>
      </c>
      <c r="J179" s="7"/>
      <c r="K179" s="46">
        <f t="shared" si="57"/>
        <v>363100</v>
      </c>
      <c r="L179" s="57"/>
      <c r="M179" s="7"/>
      <c r="N179" s="46">
        <f t="shared" si="58"/>
        <v>363100</v>
      </c>
      <c r="O179" s="128"/>
      <c r="P179" s="126">
        <f t="shared" si="43"/>
        <v>363100</v>
      </c>
    </row>
    <row r="180" spans="1:16" ht="12.75">
      <c r="A180" s="69" t="s">
        <v>101</v>
      </c>
      <c r="B180" s="45">
        <v>6000</v>
      </c>
      <c r="C180" s="7"/>
      <c r="D180" s="7"/>
      <c r="E180" s="46">
        <f t="shared" si="55"/>
        <v>6000</v>
      </c>
      <c r="F180" s="57">
        <v>6000</v>
      </c>
      <c r="G180" s="7"/>
      <c r="H180" s="46">
        <f t="shared" si="56"/>
        <v>12000</v>
      </c>
      <c r="I180" s="57"/>
      <c r="J180" s="7"/>
      <c r="K180" s="46">
        <f t="shared" si="57"/>
        <v>12000</v>
      </c>
      <c r="L180" s="57"/>
      <c r="M180" s="7"/>
      <c r="N180" s="46">
        <f t="shared" si="58"/>
        <v>12000</v>
      </c>
      <c r="O180" s="128"/>
      <c r="P180" s="126">
        <f t="shared" si="43"/>
        <v>12000</v>
      </c>
    </row>
    <row r="181" spans="1:16" ht="12.75">
      <c r="A181" s="65" t="s">
        <v>102</v>
      </c>
      <c r="B181" s="45">
        <v>5400</v>
      </c>
      <c r="C181" s="7"/>
      <c r="D181" s="7"/>
      <c r="E181" s="46">
        <f t="shared" si="55"/>
        <v>5400</v>
      </c>
      <c r="F181" s="57"/>
      <c r="G181" s="7"/>
      <c r="H181" s="46">
        <f t="shared" si="56"/>
        <v>5400</v>
      </c>
      <c r="I181" s="57"/>
      <c r="J181" s="7"/>
      <c r="K181" s="46">
        <f t="shared" si="57"/>
        <v>5400</v>
      </c>
      <c r="L181" s="57">
        <v>750</v>
      </c>
      <c r="M181" s="7"/>
      <c r="N181" s="46">
        <f t="shared" si="58"/>
        <v>6150</v>
      </c>
      <c r="O181" s="128"/>
      <c r="P181" s="126">
        <f t="shared" si="43"/>
        <v>6150</v>
      </c>
    </row>
    <row r="182" spans="1:16" ht="12.75" hidden="1">
      <c r="A182" s="65" t="s">
        <v>331</v>
      </c>
      <c r="B182" s="45"/>
      <c r="C182" s="7"/>
      <c r="D182" s="7"/>
      <c r="E182" s="46">
        <f t="shared" si="55"/>
        <v>0</v>
      </c>
      <c r="F182" s="57"/>
      <c r="G182" s="7"/>
      <c r="H182" s="46">
        <f t="shared" si="56"/>
        <v>0</v>
      </c>
      <c r="I182" s="57"/>
      <c r="J182" s="7"/>
      <c r="K182" s="46">
        <f t="shared" si="57"/>
        <v>0</v>
      </c>
      <c r="L182" s="57"/>
      <c r="M182" s="7"/>
      <c r="N182" s="46">
        <f t="shared" si="58"/>
        <v>0</v>
      </c>
      <c r="O182" s="128"/>
      <c r="P182" s="126">
        <f t="shared" si="43"/>
        <v>0</v>
      </c>
    </row>
    <row r="183" spans="1:16" ht="12.75">
      <c r="A183" s="65" t="s">
        <v>231</v>
      </c>
      <c r="B183" s="45"/>
      <c r="C183" s="7">
        <v>2197.8</v>
      </c>
      <c r="D183" s="7"/>
      <c r="E183" s="46">
        <f t="shared" si="55"/>
        <v>2197.8</v>
      </c>
      <c r="F183" s="57">
        <v>-922.1</v>
      </c>
      <c r="G183" s="7"/>
      <c r="H183" s="46">
        <f t="shared" si="56"/>
        <v>1275.7000000000003</v>
      </c>
      <c r="I183" s="57"/>
      <c r="J183" s="7"/>
      <c r="K183" s="46">
        <f>H183+I183+J183</f>
        <v>1275.7000000000003</v>
      </c>
      <c r="L183" s="57"/>
      <c r="M183" s="7"/>
      <c r="N183" s="46">
        <f t="shared" si="58"/>
        <v>1275.7000000000003</v>
      </c>
      <c r="O183" s="128"/>
      <c r="P183" s="126">
        <f t="shared" si="43"/>
        <v>1275.7000000000003</v>
      </c>
    </row>
    <row r="184" spans="1:16" ht="12.75">
      <c r="A184" s="65" t="s">
        <v>267</v>
      </c>
      <c r="B184" s="45"/>
      <c r="C184" s="7"/>
      <c r="D184" s="7"/>
      <c r="E184" s="46">
        <f t="shared" si="55"/>
        <v>0</v>
      </c>
      <c r="F184" s="57">
        <v>24799.4</v>
      </c>
      <c r="G184" s="7"/>
      <c r="H184" s="46">
        <f t="shared" si="56"/>
        <v>24799.4</v>
      </c>
      <c r="I184" s="57"/>
      <c r="J184" s="7"/>
      <c r="K184" s="46">
        <f>H184+I184+J184</f>
        <v>24799.4</v>
      </c>
      <c r="L184" s="57">
        <v>185.1</v>
      </c>
      <c r="M184" s="7"/>
      <c r="N184" s="46">
        <f t="shared" si="58"/>
        <v>24984.5</v>
      </c>
      <c r="O184" s="128"/>
      <c r="P184" s="126">
        <f t="shared" si="43"/>
        <v>24984.5</v>
      </c>
    </row>
    <row r="185" spans="1:16" ht="12.75" hidden="1">
      <c r="A185" s="65" t="s">
        <v>103</v>
      </c>
      <c r="B185" s="45"/>
      <c r="C185" s="7"/>
      <c r="D185" s="7"/>
      <c r="E185" s="46">
        <f t="shared" si="55"/>
        <v>0</v>
      </c>
      <c r="F185" s="57"/>
      <c r="G185" s="7"/>
      <c r="H185" s="46">
        <f t="shared" si="56"/>
        <v>0</v>
      </c>
      <c r="I185" s="57"/>
      <c r="J185" s="7"/>
      <c r="K185" s="46">
        <f t="shared" si="57"/>
        <v>0</v>
      </c>
      <c r="L185" s="57"/>
      <c r="M185" s="7"/>
      <c r="N185" s="46">
        <f t="shared" si="58"/>
        <v>0</v>
      </c>
      <c r="O185" s="128"/>
      <c r="P185" s="126">
        <f t="shared" si="43"/>
        <v>0</v>
      </c>
    </row>
    <row r="186" spans="1:16" ht="12.75">
      <c r="A186" s="65" t="s">
        <v>213</v>
      </c>
      <c r="B186" s="45"/>
      <c r="C186" s="7"/>
      <c r="D186" s="7"/>
      <c r="E186" s="46">
        <f t="shared" si="55"/>
        <v>0</v>
      </c>
      <c r="F186" s="57">
        <v>254602.6</v>
      </c>
      <c r="G186" s="7"/>
      <c r="H186" s="46">
        <f t="shared" si="56"/>
        <v>254602.6</v>
      </c>
      <c r="I186" s="57"/>
      <c r="J186" s="7"/>
      <c r="K186" s="46">
        <f t="shared" si="57"/>
        <v>254602.6</v>
      </c>
      <c r="L186" s="57"/>
      <c r="M186" s="7"/>
      <c r="N186" s="46">
        <f t="shared" si="58"/>
        <v>254602.6</v>
      </c>
      <c r="O186" s="128"/>
      <c r="P186" s="126">
        <f t="shared" si="43"/>
        <v>254602.6</v>
      </c>
    </row>
    <row r="187" spans="1:16" ht="12.75">
      <c r="A187" s="65" t="s">
        <v>333</v>
      </c>
      <c r="B187" s="45"/>
      <c r="C187" s="7"/>
      <c r="D187" s="7"/>
      <c r="E187" s="46"/>
      <c r="F187" s="57"/>
      <c r="G187" s="7"/>
      <c r="H187" s="46">
        <f t="shared" si="56"/>
        <v>0</v>
      </c>
      <c r="I187" s="57">
        <v>65</v>
      </c>
      <c r="J187" s="7"/>
      <c r="K187" s="46">
        <f t="shared" si="57"/>
        <v>65</v>
      </c>
      <c r="L187" s="57"/>
      <c r="M187" s="7"/>
      <c r="N187" s="46">
        <f t="shared" si="58"/>
        <v>65</v>
      </c>
      <c r="O187" s="128"/>
      <c r="P187" s="126"/>
    </row>
    <row r="188" spans="1:16" ht="12.75" hidden="1">
      <c r="A188" s="65" t="s">
        <v>239</v>
      </c>
      <c r="B188" s="45"/>
      <c r="C188" s="7"/>
      <c r="D188" s="7"/>
      <c r="E188" s="46">
        <f t="shared" si="55"/>
        <v>0</v>
      </c>
      <c r="F188" s="57"/>
      <c r="G188" s="7"/>
      <c r="H188" s="46">
        <f t="shared" si="56"/>
        <v>0</v>
      </c>
      <c r="I188" s="57"/>
      <c r="J188" s="7"/>
      <c r="K188" s="46">
        <f t="shared" si="57"/>
        <v>0</v>
      </c>
      <c r="L188" s="57"/>
      <c r="M188" s="7"/>
      <c r="N188" s="46">
        <f t="shared" si="58"/>
        <v>0</v>
      </c>
      <c r="O188" s="128"/>
      <c r="P188" s="126">
        <f t="shared" si="43"/>
        <v>0</v>
      </c>
    </row>
    <row r="189" spans="1:16" ht="12.75">
      <c r="A189" s="65" t="s">
        <v>71</v>
      </c>
      <c r="B189" s="45">
        <v>449800</v>
      </c>
      <c r="C189" s="7">
        <f>5558.2-200+11.5</f>
        <v>5369.7</v>
      </c>
      <c r="D189" s="7"/>
      <c r="E189" s="46">
        <f t="shared" si="55"/>
        <v>455169.7</v>
      </c>
      <c r="F189" s="57">
        <f>-6000+4.1</f>
        <v>-5995.9</v>
      </c>
      <c r="G189" s="7"/>
      <c r="H189" s="46">
        <f t="shared" si="56"/>
        <v>449173.8</v>
      </c>
      <c r="I189" s="57">
        <f>18706.6-2800+200.9</f>
        <v>16107.499999999998</v>
      </c>
      <c r="J189" s="7"/>
      <c r="K189" s="46">
        <f t="shared" si="57"/>
        <v>465281.3</v>
      </c>
      <c r="L189" s="57">
        <f>-4000+2.1</f>
        <v>-3997.9</v>
      </c>
      <c r="M189" s="7"/>
      <c r="N189" s="46">
        <f t="shared" si="58"/>
        <v>461283.39999999997</v>
      </c>
      <c r="O189" s="128"/>
      <c r="P189" s="126">
        <f t="shared" si="43"/>
        <v>461283.39999999997</v>
      </c>
    </row>
    <row r="190" spans="1:16" ht="12" customHeight="1" hidden="1">
      <c r="A190" s="65" t="s">
        <v>104</v>
      </c>
      <c r="B190" s="45"/>
      <c r="C190" s="7"/>
      <c r="D190" s="7"/>
      <c r="E190" s="58">
        <f t="shared" si="55"/>
        <v>0</v>
      </c>
      <c r="F190" s="57"/>
      <c r="G190" s="7"/>
      <c r="H190" s="46">
        <f t="shared" si="56"/>
        <v>0</v>
      </c>
      <c r="I190" s="57"/>
      <c r="J190" s="7"/>
      <c r="K190" s="46">
        <f t="shared" si="57"/>
        <v>0</v>
      </c>
      <c r="L190" s="57"/>
      <c r="M190" s="7"/>
      <c r="N190" s="46">
        <f t="shared" si="58"/>
        <v>0</v>
      </c>
      <c r="O190" s="128"/>
      <c r="P190" s="126">
        <f t="shared" si="43"/>
        <v>0</v>
      </c>
    </row>
    <row r="191" spans="1:16" ht="12.75">
      <c r="A191" s="72" t="s">
        <v>74</v>
      </c>
      <c r="B191" s="55">
        <f aca="true" t="shared" si="59" ref="B191:P191">SUM(B193:B203)</f>
        <v>98674.1</v>
      </c>
      <c r="C191" s="13">
        <f t="shared" si="59"/>
        <v>62875.700000000004</v>
      </c>
      <c r="D191" s="13">
        <f t="shared" si="59"/>
        <v>0</v>
      </c>
      <c r="E191" s="56">
        <f t="shared" si="59"/>
        <v>161549.80000000002</v>
      </c>
      <c r="F191" s="151">
        <f t="shared" si="59"/>
        <v>-22977.8</v>
      </c>
      <c r="G191" s="13">
        <f t="shared" si="59"/>
        <v>0</v>
      </c>
      <c r="H191" s="56">
        <f t="shared" si="59"/>
        <v>138572</v>
      </c>
      <c r="I191" s="151">
        <f t="shared" si="59"/>
        <v>7625</v>
      </c>
      <c r="J191" s="13">
        <f t="shared" si="59"/>
        <v>0</v>
      </c>
      <c r="K191" s="56">
        <f t="shared" si="59"/>
        <v>146197</v>
      </c>
      <c r="L191" s="155">
        <f t="shared" si="59"/>
        <v>9694.8</v>
      </c>
      <c r="M191" s="13">
        <f t="shared" si="59"/>
        <v>0</v>
      </c>
      <c r="N191" s="56">
        <f t="shared" si="59"/>
        <v>155891.8</v>
      </c>
      <c r="O191" s="134"/>
      <c r="P191" s="122">
        <f t="shared" si="59"/>
        <v>155891.8</v>
      </c>
    </row>
    <row r="192" spans="1:16" ht="12.75">
      <c r="A192" s="63" t="s">
        <v>38</v>
      </c>
      <c r="B192" s="47"/>
      <c r="C192" s="8"/>
      <c r="D192" s="8"/>
      <c r="E192" s="48"/>
      <c r="F192" s="149"/>
      <c r="G192" s="8"/>
      <c r="H192" s="48"/>
      <c r="I192" s="149"/>
      <c r="J192" s="8"/>
      <c r="K192" s="48"/>
      <c r="L192" s="149"/>
      <c r="M192" s="8"/>
      <c r="N192" s="48"/>
      <c r="O192" s="128"/>
      <c r="P192" s="126"/>
    </row>
    <row r="193" spans="1:16" ht="12.75">
      <c r="A193" s="64" t="s">
        <v>75</v>
      </c>
      <c r="B193" s="45">
        <v>15000</v>
      </c>
      <c r="C193" s="7"/>
      <c r="D193" s="7"/>
      <c r="E193" s="46">
        <f>B193+C193+D193</f>
        <v>15000</v>
      </c>
      <c r="F193" s="57"/>
      <c r="G193" s="7"/>
      <c r="H193" s="46">
        <f>E193+F193+G193</f>
        <v>15000</v>
      </c>
      <c r="I193" s="57">
        <f>1000+2800+1050</f>
        <v>4850</v>
      </c>
      <c r="J193" s="7"/>
      <c r="K193" s="46">
        <f>H193+I193+J193</f>
        <v>19850</v>
      </c>
      <c r="L193" s="57">
        <f>-1000-1263.5</f>
        <v>-2263.5</v>
      </c>
      <c r="M193" s="7"/>
      <c r="N193" s="46">
        <f>K193+L193+M193</f>
        <v>17586.5</v>
      </c>
      <c r="O193" s="128"/>
      <c r="P193" s="126">
        <f t="shared" si="43"/>
        <v>17586.5</v>
      </c>
    </row>
    <row r="194" spans="1:16" ht="12.75">
      <c r="A194" s="65" t="s">
        <v>105</v>
      </c>
      <c r="B194" s="45">
        <v>67500</v>
      </c>
      <c r="C194" s="7">
        <v>18113.4</v>
      </c>
      <c r="D194" s="7"/>
      <c r="E194" s="46">
        <f aca="true" t="shared" si="60" ref="E194:E203">B194+C194+D194</f>
        <v>85613.4</v>
      </c>
      <c r="F194" s="57">
        <v>899.5</v>
      </c>
      <c r="G194" s="7"/>
      <c r="H194" s="46">
        <f aca="true" t="shared" si="61" ref="H194:H203">E194+F194+G194</f>
        <v>86512.9</v>
      </c>
      <c r="I194" s="57">
        <f>985.3+875.5+615.1-200.9</f>
        <v>2275</v>
      </c>
      <c r="J194" s="7"/>
      <c r="K194" s="46">
        <f aca="true" t="shared" si="62" ref="K194:K203">H194+I194+J194</f>
        <v>88787.9</v>
      </c>
      <c r="L194" s="57">
        <f>6879.9+4000</f>
        <v>10879.9</v>
      </c>
      <c r="M194" s="7"/>
      <c r="N194" s="46">
        <f aca="true" t="shared" si="63" ref="N194:N203">K194+L194+M194</f>
        <v>99667.79999999999</v>
      </c>
      <c r="O194" s="128"/>
      <c r="P194" s="126">
        <f t="shared" si="43"/>
        <v>99667.79999999999</v>
      </c>
    </row>
    <row r="195" spans="1:16" ht="12.75" hidden="1">
      <c r="A195" s="65" t="s">
        <v>345</v>
      </c>
      <c r="B195" s="45"/>
      <c r="C195" s="7"/>
      <c r="D195" s="7"/>
      <c r="E195" s="46"/>
      <c r="F195" s="57"/>
      <c r="G195" s="7"/>
      <c r="H195" s="46"/>
      <c r="I195" s="57"/>
      <c r="J195" s="7"/>
      <c r="K195" s="46">
        <f t="shared" si="62"/>
        <v>0</v>
      </c>
      <c r="L195" s="57"/>
      <c r="M195" s="7"/>
      <c r="N195" s="46"/>
      <c r="O195" s="128"/>
      <c r="P195" s="126"/>
    </row>
    <row r="196" spans="1:16" ht="12.75">
      <c r="A196" s="65" t="s">
        <v>348</v>
      </c>
      <c r="B196" s="45"/>
      <c r="C196" s="7"/>
      <c r="D196" s="7"/>
      <c r="E196" s="46">
        <f t="shared" si="60"/>
        <v>0</v>
      </c>
      <c r="F196" s="57"/>
      <c r="G196" s="7"/>
      <c r="H196" s="46">
        <f t="shared" si="61"/>
        <v>0</v>
      </c>
      <c r="I196" s="57">
        <v>500</v>
      </c>
      <c r="J196" s="7"/>
      <c r="K196" s="46">
        <f t="shared" si="62"/>
        <v>500</v>
      </c>
      <c r="L196" s="57"/>
      <c r="M196" s="7"/>
      <c r="N196" s="46">
        <f t="shared" si="63"/>
        <v>500</v>
      </c>
      <c r="O196" s="128"/>
      <c r="P196" s="126">
        <f t="shared" si="43"/>
        <v>500</v>
      </c>
    </row>
    <row r="197" spans="1:16" ht="12.75" hidden="1">
      <c r="A197" s="65" t="s">
        <v>106</v>
      </c>
      <c r="B197" s="45"/>
      <c r="C197" s="7"/>
      <c r="D197" s="7"/>
      <c r="E197" s="46">
        <f t="shared" si="60"/>
        <v>0</v>
      </c>
      <c r="F197" s="57"/>
      <c r="G197" s="7"/>
      <c r="H197" s="46">
        <f t="shared" si="61"/>
        <v>0</v>
      </c>
      <c r="I197" s="57"/>
      <c r="J197" s="7"/>
      <c r="K197" s="46">
        <f t="shared" si="62"/>
        <v>0</v>
      </c>
      <c r="L197" s="57"/>
      <c r="M197" s="7"/>
      <c r="N197" s="46">
        <f t="shared" si="63"/>
        <v>0</v>
      </c>
      <c r="O197" s="128"/>
      <c r="P197" s="126">
        <f t="shared" si="43"/>
        <v>0</v>
      </c>
    </row>
    <row r="198" spans="1:16" ht="12.75">
      <c r="A198" s="65" t="s">
        <v>231</v>
      </c>
      <c r="B198" s="45"/>
      <c r="C198" s="7">
        <v>44762.3</v>
      </c>
      <c r="D198" s="7"/>
      <c r="E198" s="46">
        <f t="shared" si="60"/>
        <v>44762.3</v>
      </c>
      <c r="F198" s="57">
        <v>-23877.3</v>
      </c>
      <c r="G198" s="7"/>
      <c r="H198" s="46">
        <f t="shared" si="61"/>
        <v>20885.000000000004</v>
      </c>
      <c r="I198" s="57"/>
      <c r="J198" s="7"/>
      <c r="K198" s="46">
        <f t="shared" si="62"/>
        <v>20885.000000000004</v>
      </c>
      <c r="L198" s="57">
        <v>-185.1</v>
      </c>
      <c r="M198" s="7"/>
      <c r="N198" s="46">
        <f t="shared" si="63"/>
        <v>20699.900000000005</v>
      </c>
      <c r="O198" s="128"/>
      <c r="P198" s="126">
        <f t="shared" si="43"/>
        <v>20699.900000000005</v>
      </c>
    </row>
    <row r="199" spans="1:16" ht="12.75" hidden="1">
      <c r="A199" s="65" t="s">
        <v>107</v>
      </c>
      <c r="B199" s="45"/>
      <c r="C199" s="7"/>
      <c r="D199" s="7"/>
      <c r="E199" s="46">
        <f t="shared" si="60"/>
        <v>0</v>
      </c>
      <c r="F199" s="57"/>
      <c r="G199" s="7"/>
      <c r="H199" s="46">
        <f t="shared" si="61"/>
        <v>0</v>
      </c>
      <c r="I199" s="57"/>
      <c r="J199" s="7"/>
      <c r="K199" s="46">
        <f t="shared" si="62"/>
        <v>0</v>
      </c>
      <c r="L199" s="158"/>
      <c r="M199" s="7"/>
      <c r="N199" s="46">
        <f t="shared" si="63"/>
        <v>0</v>
      </c>
      <c r="O199" s="128"/>
      <c r="P199" s="126">
        <f t="shared" si="43"/>
        <v>0</v>
      </c>
    </row>
    <row r="200" spans="1:16" ht="12.75" hidden="1">
      <c r="A200" s="65" t="s">
        <v>239</v>
      </c>
      <c r="B200" s="45"/>
      <c r="C200" s="7"/>
      <c r="D200" s="7"/>
      <c r="E200" s="46">
        <f t="shared" si="60"/>
        <v>0</v>
      </c>
      <c r="F200" s="57"/>
      <c r="G200" s="7"/>
      <c r="H200" s="46">
        <f t="shared" si="61"/>
        <v>0</v>
      </c>
      <c r="I200" s="57"/>
      <c r="J200" s="7"/>
      <c r="K200" s="46">
        <f t="shared" si="62"/>
        <v>0</v>
      </c>
      <c r="L200" s="158"/>
      <c r="M200" s="7"/>
      <c r="N200" s="46">
        <f t="shared" si="63"/>
        <v>0</v>
      </c>
      <c r="O200" s="128"/>
      <c r="P200" s="126">
        <f t="shared" si="43"/>
        <v>0</v>
      </c>
    </row>
    <row r="201" spans="1:16" ht="12.75" hidden="1">
      <c r="A201" s="64" t="s">
        <v>108</v>
      </c>
      <c r="B201" s="45"/>
      <c r="C201" s="7"/>
      <c r="D201" s="7"/>
      <c r="E201" s="46">
        <f t="shared" si="60"/>
        <v>0</v>
      </c>
      <c r="F201" s="57"/>
      <c r="G201" s="7"/>
      <c r="H201" s="46">
        <f t="shared" si="61"/>
        <v>0</v>
      </c>
      <c r="I201" s="57"/>
      <c r="J201" s="7"/>
      <c r="K201" s="46">
        <f t="shared" si="62"/>
        <v>0</v>
      </c>
      <c r="L201" s="152"/>
      <c r="M201" s="10"/>
      <c r="N201" s="50">
        <f t="shared" si="63"/>
        <v>0</v>
      </c>
      <c r="O201" s="141"/>
      <c r="P201" s="142">
        <f t="shared" si="43"/>
        <v>0</v>
      </c>
    </row>
    <row r="202" spans="1:16" ht="12.75" hidden="1">
      <c r="A202" s="65" t="s">
        <v>103</v>
      </c>
      <c r="B202" s="45"/>
      <c r="C202" s="7"/>
      <c r="D202" s="7"/>
      <c r="E202" s="46">
        <f t="shared" si="60"/>
        <v>0</v>
      </c>
      <c r="F202" s="57"/>
      <c r="G202" s="7"/>
      <c r="H202" s="46">
        <f t="shared" si="61"/>
        <v>0</v>
      </c>
      <c r="I202" s="57"/>
      <c r="J202" s="7"/>
      <c r="K202" s="46">
        <f t="shared" si="62"/>
        <v>0</v>
      </c>
      <c r="L202" s="57"/>
      <c r="M202" s="7"/>
      <c r="N202" s="46">
        <f t="shared" si="63"/>
        <v>0</v>
      </c>
      <c r="O202" s="128"/>
      <c r="P202" s="126">
        <f t="shared" si="43"/>
        <v>0</v>
      </c>
    </row>
    <row r="203" spans="1:16" ht="12.75">
      <c r="A203" s="68" t="s">
        <v>287</v>
      </c>
      <c r="B203" s="49">
        <v>16174.1</v>
      </c>
      <c r="C203" s="10"/>
      <c r="D203" s="10"/>
      <c r="E203" s="50">
        <f t="shared" si="60"/>
        <v>16174.1</v>
      </c>
      <c r="F203" s="152"/>
      <c r="G203" s="10"/>
      <c r="H203" s="50">
        <f t="shared" si="61"/>
        <v>16174.1</v>
      </c>
      <c r="I203" s="152"/>
      <c r="J203" s="10"/>
      <c r="K203" s="50">
        <f t="shared" si="62"/>
        <v>16174.1</v>
      </c>
      <c r="L203" s="152">
        <v>1263.5</v>
      </c>
      <c r="M203" s="10"/>
      <c r="N203" s="50">
        <f t="shared" si="63"/>
        <v>17437.6</v>
      </c>
      <c r="O203" s="141"/>
      <c r="P203" s="142">
        <f t="shared" si="43"/>
        <v>17437.6</v>
      </c>
    </row>
    <row r="204" spans="1:16" ht="12.75">
      <c r="A204" s="62" t="s">
        <v>109</v>
      </c>
      <c r="B204" s="43">
        <f aca="true" t="shared" si="64" ref="B204:H204">B205+B211</f>
        <v>4417.3</v>
      </c>
      <c r="C204" s="6">
        <f t="shared" si="64"/>
        <v>2655.8</v>
      </c>
      <c r="D204" s="6">
        <f t="shared" si="64"/>
        <v>0</v>
      </c>
      <c r="E204" s="44">
        <f t="shared" si="64"/>
        <v>7073.1</v>
      </c>
      <c r="F204" s="101">
        <f t="shared" si="64"/>
        <v>1657</v>
      </c>
      <c r="G204" s="6">
        <f t="shared" si="64"/>
        <v>0</v>
      </c>
      <c r="H204" s="44">
        <f t="shared" si="64"/>
        <v>8730.1</v>
      </c>
      <c r="I204" s="101">
        <f aca="true" t="shared" si="65" ref="I204:N204">I205+I211</f>
        <v>4400</v>
      </c>
      <c r="J204" s="6">
        <f t="shared" si="65"/>
        <v>0</v>
      </c>
      <c r="K204" s="44">
        <f t="shared" si="65"/>
        <v>13130.100000000002</v>
      </c>
      <c r="L204" s="97">
        <f t="shared" si="65"/>
        <v>3104</v>
      </c>
      <c r="M204" s="6">
        <f t="shared" si="65"/>
        <v>0</v>
      </c>
      <c r="N204" s="44">
        <f t="shared" si="65"/>
        <v>16234.100000000002</v>
      </c>
      <c r="O204" s="129"/>
      <c r="P204" s="110">
        <f>P205+P211</f>
        <v>16174.100000000002</v>
      </c>
    </row>
    <row r="205" spans="1:16" ht="12.75">
      <c r="A205" s="71" t="s">
        <v>68</v>
      </c>
      <c r="B205" s="53">
        <f aca="true" t="shared" si="66" ref="B205:H205">SUM(B207:B210)</f>
        <v>4417.3</v>
      </c>
      <c r="C205" s="12">
        <f t="shared" si="66"/>
        <v>2655.8</v>
      </c>
      <c r="D205" s="12">
        <f t="shared" si="66"/>
        <v>0</v>
      </c>
      <c r="E205" s="54">
        <f t="shared" si="66"/>
        <v>7073.1</v>
      </c>
      <c r="F205" s="102">
        <f t="shared" si="66"/>
        <v>1657</v>
      </c>
      <c r="G205" s="12">
        <f t="shared" si="66"/>
        <v>0</v>
      </c>
      <c r="H205" s="54">
        <f t="shared" si="66"/>
        <v>8730.1</v>
      </c>
      <c r="I205" s="102">
        <f aca="true" t="shared" si="67" ref="I205:N205">SUM(I207:I210)</f>
        <v>3534.8</v>
      </c>
      <c r="J205" s="12">
        <f t="shared" si="67"/>
        <v>0</v>
      </c>
      <c r="K205" s="54">
        <f t="shared" si="67"/>
        <v>12264.900000000001</v>
      </c>
      <c r="L205" s="153">
        <f t="shared" si="67"/>
        <v>1196</v>
      </c>
      <c r="M205" s="12">
        <f t="shared" si="67"/>
        <v>0</v>
      </c>
      <c r="N205" s="54">
        <f t="shared" si="67"/>
        <v>13460.900000000001</v>
      </c>
      <c r="O205" s="133"/>
      <c r="P205" s="111">
        <f>SUM(P207:P210)</f>
        <v>13460.900000000001</v>
      </c>
    </row>
    <row r="206" spans="1:16" ht="12.75">
      <c r="A206" s="67" t="s">
        <v>38</v>
      </c>
      <c r="B206" s="45"/>
      <c r="C206" s="7"/>
      <c r="D206" s="7"/>
      <c r="E206" s="44"/>
      <c r="F206" s="57"/>
      <c r="G206" s="7"/>
      <c r="H206" s="44"/>
      <c r="I206" s="57"/>
      <c r="J206" s="7"/>
      <c r="K206" s="44"/>
      <c r="L206" s="57"/>
      <c r="M206" s="7"/>
      <c r="N206" s="44"/>
      <c r="O206" s="128"/>
      <c r="P206" s="126"/>
    </row>
    <row r="207" spans="1:16" ht="12.75">
      <c r="A207" s="64" t="s">
        <v>71</v>
      </c>
      <c r="B207" s="45">
        <v>4417.3</v>
      </c>
      <c r="C207" s="7">
        <v>50</v>
      </c>
      <c r="D207" s="7"/>
      <c r="E207" s="46">
        <f>B207+C207+D207</f>
        <v>4467.3</v>
      </c>
      <c r="F207" s="57">
        <f>450+1007</f>
        <v>1457</v>
      </c>
      <c r="G207" s="7"/>
      <c r="H207" s="46">
        <f>E207+F207+G207</f>
        <v>5924.3</v>
      </c>
      <c r="I207" s="57">
        <f>91.4+100</f>
        <v>191.4</v>
      </c>
      <c r="J207" s="7"/>
      <c r="K207" s="46">
        <f>H207+I207+J207</f>
        <v>6115.7</v>
      </c>
      <c r="L207" s="57">
        <f>-60+300</f>
        <v>240</v>
      </c>
      <c r="M207" s="7"/>
      <c r="N207" s="46">
        <f>K207+L207+M207</f>
        <v>6355.7</v>
      </c>
      <c r="O207" s="128"/>
      <c r="P207" s="126">
        <f t="shared" si="43"/>
        <v>6355.7</v>
      </c>
    </row>
    <row r="208" spans="1:16" ht="12.75">
      <c r="A208" s="65" t="s">
        <v>88</v>
      </c>
      <c r="B208" s="45"/>
      <c r="C208" s="7"/>
      <c r="D208" s="7"/>
      <c r="E208" s="46">
        <f>B208+C208+D208</f>
        <v>0</v>
      </c>
      <c r="F208" s="57">
        <v>200</v>
      </c>
      <c r="G208" s="7"/>
      <c r="H208" s="46">
        <f>E208+F208+G208</f>
        <v>200</v>
      </c>
      <c r="I208" s="57"/>
      <c r="J208" s="7"/>
      <c r="K208" s="46">
        <f>H208+I208+J208</f>
        <v>200</v>
      </c>
      <c r="L208" s="57"/>
      <c r="M208" s="7"/>
      <c r="N208" s="46">
        <f>K208+L208+M208</f>
        <v>200</v>
      </c>
      <c r="O208" s="128"/>
      <c r="P208" s="126">
        <f t="shared" si="43"/>
        <v>200</v>
      </c>
    </row>
    <row r="209" spans="1:16" ht="12.75">
      <c r="A209" s="65" t="s">
        <v>105</v>
      </c>
      <c r="B209" s="45"/>
      <c r="C209" s="7">
        <f>1425.8+1000+180</f>
        <v>2605.8</v>
      </c>
      <c r="D209" s="7"/>
      <c r="E209" s="46">
        <f>B209+C209+D209</f>
        <v>2605.8</v>
      </c>
      <c r="F209" s="57"/>
      <c r="G209" s="7"/>
      <c r="H209" s="46">
        <f>E209+F209+G209</f>
        <v>2605.8</v>
      </c>
      <c r="I209" s="57">
        <f>400+3034.8-91.4</f>
        <v>3343.4</v>
      </c>
      <c r="J209" s="7"/>
      <c r="K209" s="46">
        <f>H209+I209+J209</f>
        <v>5949.200000000001</v>
      </c>
      <c r="L209" s="57">
        <v>956</v>
      </c>
      <c r="M209" s="7"/>
      <c r="N209" s="46">
        <f>K209+L209+M209</f>
        <v>6905.200000000001</v>
      </c>
      <c r="O209" s="141"/>
      <c r="P209" s="142">
        <f t="shared" si="43"/>
        <v>6905.200000000001</v>
      </c>
    </row>
    <row r="210" spans="1:16" ht="12.75" hidden="1">
      <c r="A210" s="74" t="s">
        <v>90</v>
      </c>
      <c r="B210" s="45"/>
      <c r="C210" s="7"/>
      <c r="D210" s="7"/>
      <c r="E210" s="46">
        <f>B210+C210+D210</f>
        <v>0</v>
      </c>
      <c r="F210" s="57"/>
      <c r="G210" s="7"/>
      <c r="H210" s="46">
        <f>E210+F210+G210</f>
        <v>0</v>
      </c>
      <c r="I210" s="57"/>
      <c r="J210" s="7"/>
      <c r="K210" s="46">
        <f>H210+I210+J210</f>
        <v>0</v>
      </c>
      <c r="L210" s="57"/>
      <c r="M210" s="7"/>
      <c r="N210" s="46">
        <f>K210+L210+M210</f>
        <v>0</v>
      </c>
      <c r="O210" s="128"/>
      <c r="P210" s="126">
        <f t="shared" si="43"/>
        <v>0</v>
      </c>
    </row>
    <row r="211" spans="1:16" ht="12.75">
      <c r="A211" s="72" t="s">
        <v>74</v>
      </c>
      <c r="B211" s="55">
        <f>B214+B213</f>
        <v>0</v>
      </c>
      <c r="C211" s="13">
        <f>C214</f>
        <v>0</v>
      </c>
      <c r="D211" s="13"/>
      <c r="E211" s="56">
        <f>E214</f>
        <v>0</v>
      </c>
      <c r="F211" s="155"/>
      <c r="G211" s="13"/>
      <c r="H211" s="56">
        <f>H214</f>
        <v>0</v>
      </c>
      <c r="I211" s="55">
        <f>I214</f>
        <v>865.2</v>
      </c>
      <c r="J211" s="8"/>
      <c r="K211" s="48">
        <f>K214+K213</f>
        <v>865.2</v>
      </c>
      <c r="L211" s="149">
        <f>L214+L213</f>
        <v>1908</v>
      </c>
      <c r="M211" s="8">
        <f>M214</f>
        <v>0</v>
      </c>
      <c r="N211" s="48">
        <f>N214+N213</f>
        <v>2773.2</v>
      </c>
      <c r="O211" s="131"/>
      <c r="P211" s="59">
        <f>P214</f>
        <v>2713.2</v>
      </c>
    </row>
    <row r="212" spans="1:16" ht="12.75">
      <c r="A212" s="63" t="s">
        <v>38</v>
      </c>
      <c r="B212" s="45"/>
      <c r="C212" s="7"/>
      <c r="D212" s="7"/>
      <c r="E212" s="46"/>
      <c r="F212" s="57"/>
      <c r="G212" s="7"/>
      <c r="H212" s="46"/>
      <c r="I212" s="57"/>
      <c r="J212" s="7"/>
      <c r="K212" s="46"/>
      <c r="L212" s="57"/>
      <c r="M212" s="7"/>
      <c r="N212" s="46"/>
      <c r="O212" s="128"/>
      <c r="P212" s="126"/>
    </row>
    <row r="213" spans="1:16" ht="12.75">
      <c r="A213" s="64" t="s">
        <v>75</v>
      </c>
      <c r="B213" s="45"/>
      <c r="C213" s="7"/>
      <c r="D213" s="7"/>
      <c r="E213" s="46"/>
      <c r="F213" s="57"/>
      <c r="G213" s="7"/>
      <c r="H213" s="46"/>
      <c r="I213" s="57"/>
      <c r="J213" s="7"/>
      <c r="K213" s="46"/>
      <c r="L213" s="57">
        <v>60</v>
      </c>
      <c r="M213" s="7"/>
      <c r="N213" s="46">
        <f>K213+L213+M213</f>
        <v>60</v>
      </c>
      <c r="O213" s="128"/>
      <c r="P213" s="126"/>
    </row>
    <row r="214" spans="1:16" ht="12.75">
      <c r="A214" s="75" t="s">
        <v>105</v>
      </c>
      <c r="B214" s="49"/>
      <c r="C214" s="10"/>
      <c r="D214" s="10"/>
      <c r="E214" s="50"/>
      <c r="F214" s="152"/>
      <c r="G214" s="10"/>
      <c r="H214" s="50"/>
      <c r="I214" s="152">
        <v>865.2</v>
      </c>
      <c r="J214" s="10"/>
      <c r="K214" s="50">
        <f>H214+I214+J214</f>
        <v>865.2</v>
      </c>
      <c r="L214" s="152">
        <v>1848</v>
      </c>
      <c r="M214" s="10"/>
      <c r="N214" s="50">
        <f>K214+L214+M214</f>
        <v>2713.2</v>
      </c>
      <c r="O214" s="141"/>
      <c r="P214" s="142">
        <f t="shared" si="43"/>
        <v>2713.2</v>
      </c>
    </row>
    <row r="215" spans="1:16" ht="12.75">
      <c r="A215" s="66" t="s">
        <v>110</v>
      </c>
      <c r="B215" s="47">
        <f aca="true" t="shared" si="68" ref="B215:K215">B216+B221</f>
        <v>29670</v>
      </c>
      <c r="C215" s="8">
        <f t="shared" si="68"/>
        <v>13658.9</v>
      </c>
      <c r="D215" s="8">
        <f>D216+D221</f>
        <v>0</v>
      </c>
      <c r="E215" s="48">
        <f t="shared" si="68"/>
        <v>43328.9</v>
      </c>
      <c r="F215" s="148">
        <f>F216+F221</f>
        <v>5042.699999999999</v>
      </c>
      <c r="G215" s="8">
        <f>G216+G221</f>
        <v>0</v>
      </c>
      <c r="H215" s="48">
        <f t="shared" si="68"/>
        <v>48371.6</v>
      </c>
      <c r="I215" s="148">
        <f>I216+I221</f>
        <v>11413.8</v>
      </c>
      <c r="J215" s="8">
        <f>J216+J221</f>
        <v>0</v>
      </c>
      <c r="K215" s="48">
        <f t="shared" si="68"/>
        <v>59785.399999999994</v>
      </c>
      <c r="L215" s="149">
        <f>L216+L221</f>
        <v>10300.6</v>
      </c>
      <c r="M215" s="8">
        <f>M216+M221</f>
        <v>0</v>
      </c>
      <c r="N215" s="48">
        <f>N216+N221</f>
        <v>70086</v>
      </c>
      <c r="O215" s="131"/>
      <c r="P215" s="59">
        <f>P216+P221</f>
        <v>70086</v>
      </c>
    </row>
    <row r="216" spans="1:16" ht="12.75">
      <c r="A216" s="71" t="s">
        <v>68</v>
      </c>
      <c r="B216" s="53">
        <f aca="true" t="shared" si="69" ref="B216:K216">SUM(B218:B220)</f>
        <v>26670</v>
      </c>
      <c r="C216" s="12">
        <f t="shared" si="69"/>
        <v>0</v>
      </c>
      <c r="D216" s="12">
        <f>SUM(D218:D220)</f>
        <v>0</v>
      </c>
      <c r="E216" s="54">
        <f t="shared" si="69"/>
        <v>26670</v>
      </c>
      <c r="F216" s="102">
        <f>SUM(F218:F220)</f>
        <v>1340.9</v>
      </c>
      <c r="G216" s="12">
        <f>SUM(G218:G220)</f>
        <v>0</v>
      </c>
      <c r="H216" s="54">
        <f t="shared" si="69"/>
        <v>28010.9</v>
      </c>
      <c r="I216" s="102">
        <f>SUM(I218:I220)</f>
        <v>779.0999999999999</v>
      </c>
      <c r="J216" s="12">
        <f>SUM(J218:J220)</f>
        <v>0</v>
      </c>
      <c r="K216" s="54">
        <f t="shared" si="69"/>
        <v>28790</v>
      </c>
      <c r="L216" s="153">
        <f>SUM(L218:L220)</f>
        <v>1353.5</v>
      </c>
      <c r="M216" s="12">
        <f>SUM(M218:M220)</f>
        <v>0</v>
      </c>
      <c r="N216" s="54">
        <f>SUM(N218:N220)</f>
        <v>30143.5</v>
      </c>
      <c r="O216" s="133"/>
      <c r="P216" s="111">
        <f>SUM(P218:P220)</f>
        <v>30143.5</v>
      </c>
    </row>
    <row r="217" spans="1:16" ht="12.75">
      <c r="A217" s="67" t="s">
        <v>38</v>
      </c>
      <c r="B217" s="45"/>
      <c r="C217" s="7"/>
      <c r="D217" s="7"/>
      <c r="E217" s="44"/>
      <c r="F217" s="57"/>
      <c r="G217" s="7"/>
      <c r="H217" s="44"/>
      <c r="I217" s="57"/>
      <c r="J217" s="7"/>
      <c r="K217" s="44"/>
      <c r="L217" s="57"/>
      <c r="M217" s="7"/>
      <c r="N217" s="44"/>
      <c r="O217" s="128"/>
      <c r="P217" s="126"/>
    </row>
    <row r="218" spans="1:16" ht="12.75">
      <c r="A218" s="65" t="s">
        <v>71</v>
      </c>
      <c r="B218" s="45">
        <v>4670</v>
      </c>
      <c r="C218" s="7"/>
      <c r="D218" s="7"/>
      <c r="E218" s="46">
        <f>B218+C218+D218</f>
        <v>4670</v>
      </c>
      <c r="F218" s="57">
        <f>700+595+45.9</f>
        <v>1340.9</v>
      </c>
      <c r="G218" s="7"/>
      <c r="H218" s="46">
        <f>E218+F218+G218</f>
        <v>6010.9</v>
      </c>
      <c r="I218" s="57">
        <f>1029.1-50-200</f>
        <v>779.0999999999999</v>
      </c>
      <c r="J218" s="7"/>
      <c r="K218" s="46">
        <f>H218+I218+J218</f>
        <v>6790</v>
      </c>
      <c r="L218" s="57"/>
      <c r="M218" s="7"/>
      <c r="N218" s="46">
        <f>K218+L218+M218</f>
        <v>6790</v>
      </c>
      <c r="O218" s="128"/>
      <c r="P218" s="126">
        <f t="shared" si="43"/>
        <v>6790</v>
      </c>
    </row>
    <row r="219" spans="1:16" ht="12.75">
      <c r="A219" s="65" t="s">
        <v>105</v>
      </c>
      <c r="B219" s="45"/>
      <c r="C219" s="7"/>
      <c r="D219" s="7"/>
      <c r="E219" s="46">
        <f>B219+C219+D219</f>
        <v>0</v>
      </c>
      <c r="F219" s="57"/>
      <c r="G219" s="7"/>
      <c r="H219" s="46"/>
      <c r="I219" s="57"/>
      <c r="J219" s="7"/>
      <c r="K219" s="46"/>
      <c r="L219" s="57">
        <f>1252+101.5</f>
        <v>1353.5</v>
      </c>
      <c r="M219" s="7"/>
      <c r="N219" s="46">
        <f>K219+L219+M219</f>
        <v>1353.5</v>
      </c>
      <c r="O219" s="128"/>
      <c r="P219" s="126">
        <f t="shared" si="43"/>
        <v>1353.5</v>
      </c>
    </row>
    <row r="220" spans="1:16" ht="12.75">
      <c r="A220" s="65" t="s">
        <v>111</v>
      </c>
      <c r="B220" s="45">
        <v>22000</v>
      </c>
      <c r="C220" s="7"/>
      <c r="D220" s="7"/>
      <c r="E220" s="46">
        <f>B220+C220+D220</f>
        <v>22000</v>
      </c>
      <c r="F220" s="57"/>
      <c r="G220" s="7"/>
      <c r="H220" s="46">
        <f>E220+F220+G220</f>
        <v>22000</v>
      </c>
      <c r="I220" s="57"/>
      <c r="J220" s="7"/>
      <c r="K220" s="46">
        <f>H220+I220+J220</f>
        <v>22000</v>
      </c>
      <c r="L220" s="57"/>
      <c r="M220" s="7"/>
      <c r="N220" s="46">
        <f>K220+L220+M220</f>
        <v>22000</v>
      </c>
      <c r="O220" s="128"/>
      <c r="P220" s="126">
        <f aca="true" t="shared" si="70" ref="P220:P283">N220+O220</f>
        <v>22000</v>
      </c>
    </row>
    <row r="221" spans="1:16" ht="12.75">
      <c r="A221" s="72" t="s">
        <v>74</v>
      </c>
      <c r="B221" s="55">
        <f>B225+B223+B224</f>
        <v>3000</v>
      </c>
      <c r="C221" s="13">
        <f aca="true" t="shared" si="71" ref="C221:N221">C225+C223</f>
        <v>13658.9</v>
      </c>
      <c r="D221" s="13">
        <f>D225+D223</f>
        <v>0</v>
      </c>
      <c r="E221" s="56">
        <f t="shared" si="71"/>
        <v>16658.9</v>
      </c>
      <c r="F221" s="151">
        <f t="shared" si="71"/>
        <v>3701.7999999999993</v>
      </c>
      <c r="G221" s="13">
        <f t="shared" si="71"/>
        <v>0</v>
      </c>
      <c r="H221" s="56">
        <f t="shared" si="71"/>
        <v>20360.699999999997</v>
      </c>
      <c r="I221" s="151">
        <f t="shared" si="71"/>
        <v>10634.699999999999</v>
      </c>
      <c r="J221" s="13">
        <f t="shared" si="71"/>
        <v>0</v>
      </c>
      <c r="K221" s="56">
        <f t="shared" si="71"/>
        <v>30995.399999999994</v>
      </c>
      <c r="L221" s="155">
        <f t="shared" si="71"/>
        <v>8947.1</v>
      </c>
      <c r="M221" s="13">
        <f t="shared" si="71"/>
        <v>0</v>
      </c>
      <c r="N221" s="56">
        <f t="shared" si="71"/>
        <v>39942.49999999999</v>
      </c>
      <c r="O221" s="134"/>
      <c r="P221" s="122">
        <f>P225+P223+P224</f>
        <v>39942.49999999999</v>
      </c>
    </row>
    <row r="222" spans="1:16" ht="12.75">
      <c r="A222" s="63" t="s">
        <v>38</v>
      </c>
      <c r="B222" s="47"/>
      <c r="C222" s="8"/>
      <c r="D222" s="8"/>
      <c r="E222" s="48"/>
      <c r="F222" s="149"/>
      <c r="G222" s="8"/>
      <c r="H222" s="48"/>
      <c r="I222" s="149"/>
      <c r="J222" s="8"/>
      <c r="K222" s="48"/>
      <c r="L222" s="149"/>
      <c r="M222" s="8"/>
      <c r="N222" s="48"/>
      <c r="O222" s="128"/>
      <c r="P222" s="126"/>
    </row>
    <row r="223" spans="1:16" ht="12.75">
      <c r="A223" s="65" t="s">
        <v>105</v>
      </c>
      <c r="B223" s="45"/>
      <c r="C223" s="7">
        <v>13658.9</v>
      </c>
      <c r="D223" s="8"/>
      <c r="E223" s="46">
        <f>B223+C223+D223</f>
        <v>13658.9</v>
      </c>
      <c r="F223" s="57">
        <f>223.4+4178.4</f>
        <v>4401.799999999999</v>
      </c>
      <c r="G223" s="8"/>
      <c r="H223" s="46">
        <f>E223+F223+G223</f>
        <v>18060.699999999997</v>
      </c>
      <c r="I223" s="57">
        <f>8656+1960.4+18.3</f>
        <v>10634.699999999999</v>
      </c>
      <c r="J223" s="8"/>
      <c r="K223" s="46">
        <f>H223+I223+J223</f>
        <v>28695.399999999994</v>
      </c>
      <c r="L223" s="57">
        <f>691.7+6401.1+364.2+1490.1</f>
        <v>8947.1</v>
      </c>
      <c r="M223" s="8"/>
      <c r="N223" s="46">
        <f>K223+L223+M223</f>
        <v>37642.49999999999</v>
      </c>
      <c r="O223" s="128"/>
      <c r="P223" s="126">
        <f t="shared" si="70"/>
        <v>37642.49999999999</v>
      </c>
    </row>
    <row r="224" spans="1:16" ht="12.75" hidden="1">
      <c r="A224" s="65" t="s">
        <v>285</v>
      </c>
      <c r="B224" s="45"/>
      <c r="C224" s="7"/>
      <c r="D224" s="8"/>
      <c r="E224" s="46">
        <f>B224+C224+D224</f>
        <v>0</v>
      </c>
      <c r="F224" s="149"/>
      <c r="G224" s="8"/>
      <c r="H224" s="46"/>
      <c r="I224" s="149"/>
      <c r="J224" s="8"/>
      <c r="K224" s="46"/>
      <c r="L224" s="149"/>
      <c r="M224" s="8"/>
      <c r="N224" s="46">
        <f>K224+L224+M224</f>
        <v>0</v>
      </c>
      <c r="O224" s="128"/>
      <c r="P224" s="126">
        <f t="shared" si="70"/>
        <v>0</v>
      </c>
    </row>
    <row r="225" spans="1:16" ht="12.75">
      <c r="A225" s="76" t="s">
        <v>75</v>
      </c>
      <c r="B225" s="49">
        <v>3000</v>
      </c>
      <c r="C225" s="10"/>
      <c r="D225" s="10"/>
      <c r="E225" s="50">
        <f>B225+C225+D225</f>
        <v>3000</v>
      </c>
      <c r="F225" s="152">
        <v>-700</v>
      </c>
      <c r="G225" s="10"/>
      <c r="H225" s="50">
        <f>E225+F225+G225</f>
        <v>2300</v>
      </c>
      <c r="I225" s="152"/>
      <c r="J225" s="10"/>
      <c r="K225" s="50">
        <f>H225+I225+J225</f>
        <v>2300</v>
      </c>
      <c r="L225" s="152"/>
      <c r="M225" s="10"/>
      <c r="N225" s="50">
        <f>K225+L225+M225</f>
        <v>2300</v>
      </c>
      <c r="O225" s="141"/>
      <c r="P225" s="142">
        <f t="shared" si="70"/>
        <v>2300</v>
      </c>
    </row>
    <row r="226" spans="1:16" ht="12.75">
      <c r="A226" s="62" t="s">
        <v>112</v>
      </c>
      <c r="B226" s="43">
        <f aca="true" t="shared" si="72" ref="B226:K226">B227+B276</f>
        <v>157603.8</v>
      </c>
      <c r="C226" s="6">
        <f t="shared" si="72"/>
        <v>498394.9</v>
      </c>
      <c r="D226" s="6">
        <f t="shared" si="72"/>
        <v>-35000</v>
      </c>
      <c r="E226" s="44">
        <f t="shared" si="72"/>
        <v>620998.7</v>
      </c>
      <c r="F226" s="101">
        <f t="shared" si="72"/>
        <v>4124.499999999994</v>
      </c>
      <c r="G226" s="6">
        <f t="shared" si="72"/>
        <v>0</v>
      </c>
      <c r="H226" s="44">
        <f t="shared" si="72"/>
        <v>625123.2</v>
      </c>
      <c r="I226" s="101">
        <f t="shared" si="72"/>
        <v>50118.99999999998</v>
      </c>
      <c r="J226" s="6">
        <f t="shared" si="72"/>
        <v>0</v>
      </c>
      <c r="K226" s="44">
        <f t="shared" si="72"/>
        <v>675242.2</v>
      </c>
      <c r="L226" s="97">
        <f>L227+L276</f>
        <v>-31838.39999999999</v>
      </c>
      <c r="M226" s="6">
        <f>M227+M276</f>
        <v>0</v>
      </c>
      <c r="N226" s="44">
        <f>N227+N276</f>
        <v>643403.8</v>
      </c>
      <c r="O226" s="129"/>
      <c r="P226" s="110">
        <f>P227+P276</f>
        <v>590555.7000000001</v>
      </c>
    </row>
    <row r="227" spans="1:16" ht="12.75">
      <c r="A227" s="71" t="s">
        <v>68</v>
      </c>
      <c r="B227" s="53">
        <f aca="true" t="shared" si="73" ref="B227:K227">SUM(B229:B266)+B268</f>
        <v>75317.5</v>
      </c>
      <c r="C227" s="12">
        <f t="shared" si="73"/>
        <v>222310.59999999998</v>
      </c>
      <c r="D227" s="12">
        <f t="shared" si="73"/>
        <v>-20000</v>
      </c>
      <c r="E227" s="54">
        <f t="shared" si="73"/>
        <v>277628.1</v>
      </c>
      <c r="F227" s="102">
        <f t="shared" si="73"/>
        <v>482.9999999999991</v>
      </c>
      <c r="G227" s="12">
        <f t="shared" si="73"/>
        <v>0</v>
      </c>
      <c r="H227" s="54">
        <f t="shared" si="73"/>
        <v>278111.1</v>
      </c>
      <c r="I227" s="102">
        <f t="shared" si="73"/>
        <v>85090.69999999998</v>
      </c>
      <c r="J227" s="12">
        <f t="shared" si="73"/>
        <v>0</v>
      </c>
      <c r="K227" s="54">
        <f t="shared" si="73"/>
        <v>363201.8</v>
      </c>
      <c r="L227" s="153">
        <f>SUM(L229:L266)+L268</f>
        <v>3317.7000000000003</v>
      </c>
      <c r="M227" s="12">
        <f>SUM(M229:M266)+M268</f>
        <v>0</v>
      </c>
      <c r="N227" s="54">
        <f>SUM(N229:N266)+N268</f>
        <v>366519.50000000006</v>
      </c>
      <c r="O227" s="133"/>
      <c r="P227" s="111">
        <f>SUM(P229:P266)+P268</f>
        <v>315147.4</v>
      </c>
    </row>
    <row r="228" spans="1:16" ht="12.75">
      <c r="A228" s="63" t="s">
        <v>38</v>
      </c>
      <c r="B228" s="47"/>
      <c r="C228" s="8"/>
      <c r="D228" s="8"/>
      <c r="E228" s="48"/>
      <c r="F228" s="149"/>
      <c r="G228" s="8"/>
      <c r="H228" s="48"/>
      <c r="I228" s="149"/>
      <c r="J228" s="8"/>
      <c r="K228" s="48"/>
      <c r="L228" s="149"/>
      <c r="M228" s="8"/>
      <c r="N228" s="48"/>
      <c r="O228" s="128"/>
      <c r="P228" s="126"/>
    </row>
    <row r="229" spans="1:16" ht="12.75">
      <c r="A229" s="65" t="s">
        <v>71</v>
      </c>
      <c r="B229" s="45">
        <v>3729.3</v>
      </c>
      <c r="C229" s="7">
        <f>1500</f>
        <v>1500</v>
      </c>
      <c r="D229" s="7"/>
      <c r="E229" s="46">
        <f>B229+C229+D229</f>
        <v>5229.3</v>
      </c>
      <c r="F229" s="57">
        <f>62.4+5312.2</f>
        <v>5374.599999999999</v>
      </c>
      <c r="G229" s="7"/>
      <c r="H229" s="46">
        <f>E229+F229+G229</f>
        <v>10603.9</v>
      </c>
      <c r="I229" s="158">
        <f>64+2371+1000</f>
        <v>3435</v>
      </c>
      <c r="J229" s="7"/>
      <c r="K229" s="46">
        <f>H229+I229+J229</f>
        <v>14038.9</v>
      </c>
      <c r="L229" s="158"/>
      <c r="M229" s="7"/>
      <c r="N229" s="46">
        <f>K229+L229+M229</f>
        <v>14038.9</v>
      </c>
      <c r="O229" s="128"/>
      <c r="P229" s="126">
        <f t="shared" si="70"/>
        <v>14038.9</v>
      </c>
    </row>
    <row r="230" spans="1:16" ht="12.75">
      <c r="A230" s="65" t="s">
        <v>210</v>
      </c>
      <c r="B230" s="45">
        <v>5693.8</v>
      </c>
      <c r="C230" s="7">
        <f>4000+787.7</f>
        <v>4787.7</v>
      </c>
      <c r="D230" s="7"/>
      <c r="E230" s="46">
        <f aca="true" t="shared" si="74" ref="E230:E275">B230+C230+D230</f>
        <v>10481.5</v>
      </c>
      <c r="F230" s="57">
        <v>-3000</v>
      </c>
      <c r="G230" s="7"/>
      <c r="H230" s="46">
        <f aca="true" t="shared" si="75" ref="H230:H267">E230+F230+G230</f>
        <v>7481.5</v>
      </c>
      <c r="I230" s="57">
        <f>1905.6-2371+2600</f>
        <v>2134.6</v>
      </c>
      <c r="J230" s="7"/>
      <c r="K230" s="46">
        <f aca="true" t="shared" si="76" ref="K230:K275">H230+I230+J230</f>
        <v>9616.1</v>
      </c>
      <c r="L230" s="57"/>
      <c r="M230" s="7"/>
      <c r="N230" s="46">
        <f>K230+L230+M230</f>
        <v>9616.1</v>
      </c>
      <c r="O230" s="128"/>
      <c r="P230" s="126">
        <f t="shared" si="70"/>
        <v>9616.1</v>
      </c>
    </row>
    <row r="231" spans="1:16" ht="12.75">
      <c r="A231" s="74" t="s">
        <v>113</v>
      </c>
      <c r="B231" s="45">
        <v>1100</v>
      </c>
      <c r="C231" s="7"/>
      <c r="D231" s="7"/>
      <c r="E231" s="46">
        <f t="shared" si="74"/>
        <v>1100</v>
      </c>
      <c r="F231" s="57"/>
      <c r="G231" s="7"/>
      <c r="H231" s="46">
        <f t="shared" si="75"/>
        <v>1100</v>
      </c>
      <c r="I231" s="57"/>
      <c r="J231" s="7"/>
      <c r="K231" s="46">
        <f t="shared" si="76"/>
        <v>1100</v>
      </c>
      <c r="L231" s="57"/>
      <c r="M231" s="7"/>
      <c r="N231" s="46">
        <f>K231+L231+M231</f>
        <v>1100</v>
      </c>
      <c r="O231" s="128"/>
      <c r="P231" s="126">
        <f t="shared" si="70"/>
        <v>1100</v>
      </c>
    </row>
    <row r="232" spans="1:16" ht="12.75" hidden="1">
      <c r="A232" s="65" t="s">
        <v>206</v>
      </c>
      <c r="B232" s="45"/>
      <c r="C232" s="7"/>
      <c r="D232" s="7"/>
      <c r="E232" s="46">
        <f t="shared" si="74"/>
        <v>0</v>
      </c>
      <c r="F232" s="57"/>
      <c r="G232" s="7"/>
      <c r="H232" s="46">
        <f t="shared" si="75"/>
        <v>0</v>
      </c>
      <c r="I232" s="57"/>
      <c r="J232" s="7"/>
      <c r="K232" s="46">
        <f t="shared" si="76"/>
        <v>0</v>
      </c>
      <c r="L232" s="57"/>
      <c r="M232" s="7"/>
      <c r="N232" s="46">
        <f aca="true" t="shared" si="77" ref="N232:N244">K232+L232+M232</f>
        <v>0</v>
      </c>
      <c r="O232" s="128"/>
      <c r="P232" s="126">
        <f t="shared" si="70"/>
        <v>0</v>
      </c>
    </row>
    <row r="233" spans="1:16" ht="12.75">
      <c r="A233" s="74" t="s">
        <v>295</v>
      </c>
      <c r="B233" s="45"/>
      <c r="C233" s="7">
        <v>39690.8</v>
      </c>
      <c r="D233" s="7"/>
      <c r="E233" s="46">
        <f t="shared" si="74"/>
        <v>39690.8</v>
      </c>
      <c r="F233" s="57"/>
      <c r="G233" s="7"/>
      <c r="H233" s="46">
        <f t="shared" si="75"/>
        <v>39690.8</v>
      </c>
      <c r="I233" s="57"/>
      <c r="J233" s="7"/>
      <c r="K233" s="46">
        <f t="shared" si="76"/>
        <v>39690.8</v>
      </c>
      <c r="L233" s="57">
        <v>4.8</v>
      </c>
      <c r="M233" s="7"/>
      <c r="N233" s="46">
        <f t="shared" si="77"/>
        <v>39695.600000000006</v>
      </c>
      <c r="O233" s="128"/>
      <c r="P233" s="126">
        <f t="shared" si="70"/>
        <v>39695.600000000006</v>
      </c>
    </row>
    <row r="234" spans="1:16" ht="12.75">
      <c r="A234" s="74" t="s">
        <v>207</v>
      </c>
      <c r="B234" s="45"/>
      <c r="C234" s="7">
        <f>7624.7</f>
        <v>7624.7</v>
      </c>
      <c r="D234" s="7"/>
      <c r="E234" s="46">
        <f t="shared" si="74"/>
        <v>7624.7</v>
      </c>
      <c r="F234" s="57"/>
      <c r="G234" s="7"/>
      <c r="H234" s="46">
        <f t="shared" si="75"/>
        <v>7624.7</v>
      </c>
      <c r="I234" s="57">
        <f>10899.3+7317</f>
        <v>18216.3</v>
      </c>
      <c r="J234" s="7"/>
      <c r="K234" s="46">
        <f t="shared" si="76"/>
        <v>25841</v>
      </c>
      <c r="L234" s="57"/>
      <c r="M234" s="7"/>
      <c r="N234" s="46">
        <f t="shared" si="77"/>
        <v>25841</v>
      </c>
      <c r="O234" s="128"/>
      <c r="P234" s="126">
        <f t="shared" si="70"/>
        <v>25841</v>
      </c>
    </row>
    <row r="235" spans="1:16" ht="12.75">
      <c r="A235" s="74" t="s">
        <v>296</v>
      </c>
      <c r="B235" s="45"/>
      <c r="C235" s="7">
        <v>48.5</v>
      </c>
      <c r="D235" s="7"/>
      <c r="E235" s="46">
        <f t="shared" si="74"/>
        <v>48.5</v>
      </c>
      <c r="F235" s="57"/>
      <c r="G235" s="7"/>
      <c r="H235" s="46">
        <f t="shared" si="75"/>
        <v>48.5</v>
      </c>
      <c r="I235" s="57"/>
      <c r="J235" s="7"/>
      <c r="K235" s="46">
        <f t="shared" si="76"/>
        <v>48.5</v>
      </c>
      <c r="L235" s="57"/>
      <c r="M235" s="7"/>
      <c r="N235" s="46">
        <f t="shared" si="77"/>
        <v>48.5</v>
      </c>
      <c r="O235" s="128"/>
      <c r="P235" s="126">
        <f t="shared" si="70"/>
        <v>48.5</v>
      </c>
    </row>
    <row r="236" spans="1:16" ht="12.75">
      <c r="A236" s="74" t="s">
        <v>208</v>
      </c>
      <c r="B236" s="45"/>
      <c r="C236" s="7"/>
      <c r="D236" s="7"/>
      <c r="E236" s="46">
        <f t="shared" si="74"/>
        <v>0</v>
      </c>
      <c r="F236" s="57">
        <v>163</v>
      </c>
      <c r="G236" s="7"/>
      <c r="H236" s="46">
        <f t="shared" si="75"/>
        <v>163</v>
      </c>
      <c r="I236" s="57"/>
      <c r="J236" s="7"/>
      <c r="K236" s="46">
        <f t="shared" si="76"/>
        <v>163</v>
      </c>
      <c r="L236" s="57">
        <f>12.4+210.7</f>
        <v>223.1</v>
      </c>
      <c r="M236" s="7"/>
      <c r="N236" s="46">
        <f t="shared" si="77"/>
        <v>386.1</v>
      </c>
      <c r="O236" s="128"/>
      <c r="P236" s="126">
        <f t="shared" si="70"/>
        <v>386.1</v>
      </c>
    </row>
    <row r="237" spans="1:16" ht="12.75">
      <c r="A237" s="74" t="s">
        <v>298</v>
      </c>
      <c r="B237" s="45"/>
      <c r="C237" s="7">
        <v>601.5</v>
      </c>
      <c r="D237" s="7"/>
      <c r="E237" s="46">
        <f t="shared" si="74"/>
        <v>601.5</v>
      </c>
      <c r="F237" s="57"/>
      <c r="G237" s="7"/>
      <c r="H237" s="46">
        <f t="shared" si="75"/>
        <v>601.5</v>
      </c>
      <c r="I237" s="57"/>
      <c r="J237" s="7"/>
      <c r="K237" s="46">
        <f t="shared" si="76"/>
        <v>601.5</v>
      </c>
      <c r="L237" s="57"/>
      <c r="M237" s="7"/>
      <c r="N237" s="46">
        <f t="shared" si="77"/>
        <v>601.5</v>
      </c>
      <c r="O237" s="128"/>
      <c r="P237" s="126">
        <f t="shared" si="70"/>
        <v>601.5</v>
      </c>
    </row>
    <row r="238" spans="1:16" ht="12.75" hidden="1">
      <c r="A238" s="74" t="s">
        <v>235</v>
      </c>
      <c r="B238" s="45"/>
      <c r="C238" s="7"/>
      <c r="D238" s="7"/>
      <c r="E238" s="46">
        <f t="shared" si="74"/>
        <v>0</v>
      </c>
      <c r="F238" s="57"/>
      <c r="G238" s="7"/>
      <c r="H238" s="46">
        <f t="shared" si="75"/>
        <v>0</v>
      </c>
      <c r="I238" s="57"/>
      <c r="J238" s="7"/>
      <c r="K238" s="46">
        <f t="shared" si="76"/>
        <v>0</v>
      </c>
      <c r="L238" s="57"/>
      <c r="M238" s="7"/>
      <c r="N238" s="46">
        <f t="shared" si="77"/>
        <v>0</v>
      </c>
      <c r="O238" s="128"/>
      <c r="P238" s="126">
        <f t="shared" si="70"/>
        <v>0</v>
      </c>
    </row>
    <row r="239" spans="1:16" ht="12.75">
      <c r="A239" s="74" t="s">
        <v>297</v>
      </c>
      <c r="B239" s="45"/>
      <c r="C239" s="7">
        <v>75.7</v>
      </c>
      <c r="D239" s="7"/>
      <c r="E239" s="46">
        <f t="shared" si="74"/>
        <v>75.7</v>
      </c>
      <c r="F239" s="57"/>
      <c r="G239" s="7"/>
      <c r="H239" s="46">
        <f t="shared" si="75"/>
        <v>75.7</v>
      </c>
      <c r="I239" s="57"/>
      <c r="J239" s="7"/>
      <c r="K239" s="46">
        <f t="shared" si="76"/>
        <v>75.7</v>
      </c>
      <c r="L239" s="57"/>
      <c r="M239" s="7"/>
      <c r="N239" s="46">
        <f t="shared" si="77"/>
        <v>75.7</v>
      </c>
      <c r="O239" s="128"/>
      <c r="P239" s="126">
        <f t="shared" si="70"/>
        <v>75.7</v>
      </c>
    </row>
    <row r="240" spans="1:16" ht="12.75">
      <c r="A240" s="74" t="s">
        <v>256</v>
      </c>
      <c r="B240" s="45"/>
      <c r="C240" s="7">
        <v>147.5</v>
      </c>
      <c r="D240" s="7"/>
      <c r="E240" s="46">
        <f t="shared" si="74"/>
        <v>147.5</v>
      </c>
      <c r="F240" s="57"/>
      <c r="G240" s="7"/>
      <c r="H240" s="46">
        <f t="shared" si="75"/>
        <v>147.5</v>
      </c>
      <c r="I240" s="57"/>
      <c r="J240" s="7"/>
      <c r="K240" s="46">
        <f t="shared" si="76"/>
        <v>147.5</v>
      </c>
      <c r="L240" s="57"/>
      <c r="M240" s="7"/>
      <c r="N240" s="46">
        <f t="shared" si="77"/>
        <v>147.5</v>
      </c>
      <c r="O240" s="128"/>
      <c r="P240" s="126">
        <f t="shared" si="70"/>
        <v>147.5</v>
      </c>
    </row>
    <row r="241" spans="1:16" ht="12.75">
      <c r="A241" s="74" t="s">
        <v>299</v>
      </c>
      <c r="B241" s="45"/>
      <c r="C241" s="7">
        <v>93.6</v>
      </c>
      <c r="D241" s="7"/>
      <c r="E241" s="46">
        <f t="shared" si="74"/>
        <v>93.6</v>
      </c>
      <c r="F241" s="57"/>
      <c r="G241" s="7"/>
      <c r="H241" s="46">
        <f t="shared" si="75"/>
        <v>93.6</v>
      </c>
      <c r="I241" s="57"/>
      <c r="J241" s="7"/>
      <c r="K241" s="46">
        <f t="shared" si="76"/>
        <v>93.6</v>
      </c>
      <c r="L241" s="57"/>
      <c r="M241" s="7"/>
      <c r="N241" s="46">
        <f t="shared" si="77"/>
        <v>93.6</v>
      </c>
      <c r="O241" s="128"/>
      <c r="P241" s="126">
        <f t="shared" si="70"/>
        <v>93.6</v>
      </c>
    </row>
    <row r="242" spans="1:16" ht="12.75" hidden="1">
      <c r="A242" s="74" t="s">
        <v>240</v>
      </c>
      <c r="B242" s="45"/>
      <c r="C242" s="7"/>
      <c r="D242" s="7"/>
      <c r="E242" s="46">
        <f t="shared" si="74"/>
        <v>0</v>
      </c>
      <c r="F242" s="57"/>
      <c r="G242" s="7"/>
      <c r="H242" s="46">
        <f t="shared" si="75"/>
        <v>0</v>
      </c>
      <c r="I242" s="57"/>
      <c r="J242" s="7"/>
      <c r="K242" s="46">
        <f t="shared" si="76"/>
        <v>0</v>
      </c>
      <c r="L242" s="57"/>
      <c r="M242" s="7"/>
      <c r="N242" s="46">
        <f t="shared" si="77"/>
        <v>0</v>
      </c>
      <c r="O242" s="128"/>
      <c r="P242" s="126">
        <f t="shared" si="70"/>
        <v>0</v>
      </c>
    </row>
    <row r="243" spans="1:16" ht="12.75">
      <c r="A243" s="74" t="s">
        <v>300</v>
      </c>
      <c r="B243" s="45"/>
      <c r="C243" s="7">
        <v>186.4</v>
      </c>
      <c r="D243" s="7"/>
      <c r="E243" s="46">
        <f t="shared" si="74"/>
        <v>186.4</v>
      </c>
      <c r="F243" s="57"/>
      <c r="G243" s="7"/>
      <c r="H243" s="46">
        <f t="shared" si="75"/>
        <v>186.4</v>
      </c>
      <c r="I243" s="57"/>
      <c r="J243" s="7"/>
      <c r="K243" s="46">
        <f t="shared" si="76"/>
        <v>186.4</v>
      </c>
      <c r="L243" s="57"/>
      <c r="M243" s="7"/>
      <c r="N243" s="46">
        <f t="shared" si="77"/>
        <v>186.4</v>
      </c>
      <c r="O243" s="128"/>
      <c r="P243" s="126">
        <f t="shared" si="70"/>
        <v>186.4</v>
      </c>
    </row>
    <row r="244" spans="1:16" ht="12.75" hidden="1">
      <c r="A244" s="74" t="s">
        <v>241</v>
      </c>
      <c r="B244" s="45"/>
      <c r="C244" s="7"/>
      <c r="D244" s="7"/>
      <c r="E244" s="46">
        <f t="shared" si="74"/>
        <v>0</v>
      </c>
      <c r="F244" s="57"/>
      <c r="G244" s="7"/>
      <c r="H244" s="46">
        <f t="shared" si="75"/>
        <v>0</v>
      </c>
      <c r="I244" s="57"/>
      <c r="J244" s="7"/>
      <c r="K244" s="46">
        <f t="shared" si="76"/>
        <v>0</v>
      </c>
      <c r="L244" s="57"/>
      <c r="M244" s="7"/>
      <c r="N244" s="46">
        <f t="shared" si="77"/>
        <v>0</v>
      </c>
      <c r="O244" s="128"/>
      <c r="P244" s="126">
        <f t="shared" si="70"/>
        <v>0</v>
      </c>
    </row>
    <row r="245" spans="1:16" ht="12.75" hidden="1">
      <c r="A245" s="64" t="s">
        <v>114</v>
      </c>
      <c r="B245" s="45"/>
      <c r="C245" s="7"/>
      <c r="D245" s="7"/>
      <c r="E245" s="46">
        <f t="shared" si="74"/>
        <v>0</v>
      </c>
      <c r="F245" s="57"/>
      <c r="G245" s="7"/>
      <c r="H245" s="46">
        <f t="shared" si="75"/>
        <v>0</v>
      </c>
      <c r="I245" s="57"/>
      <c r="J245" s="7"/>
      <c r="K245" s="46">
        <f t="shared" si="76"/>
        <v>0</v>
      </c>
      <c r="L245" s="57"/>
      <c r="M245" s="7"/>
      <c r="N245" s="46">
        <f>K245+L245+M245</f>
        <v>0</v>
      </c>
      <c r="O245" s="128"/>
      <c r="P245" s="126">
        <f t="shared" si="70"/>
        <v>0</v>
      </c>
    </row>
    <row r="246" spans="1:16" ht="12.75" hidden="1">
      <c r="A246" s="64" t="s">
        <v>115</v>
      </c>
      <c r="B246" s="45"/>
      <c r="C246" s="7"/>
      <c r="D246" s="7"/>
      <c r="E246" s="46">
        <f t="shared" si="74"/>
        <v>0</v>
      </c>
      <c r="F246" s="57"/>
      <c r="G246" s="7"/>
      <c r="H246" s="46">
        <f t="shared" si="75"/>
        <v>0</v>
      </c>
      <c r="I246" s="57"/>
      <c r="J246" s="7"/>
      <c r="K246" s="46">
        <f t="shared" si="76"/>
        <v>0</v>
      </c>
      <c r="L246" s="57"/>
      <c r="M246" s="7"/>
      <c r="N246" s="46">
        <f>K246+L246+M246</f>
        <v>0</v>
      </c>
      <c r="O246" s="128"/>
      <c r="P246" s="126">
        <f t="shared" si="70"/>
        <v>0</v>
      </c>
    </row>
    <row r="247" spans="1:16" ht="12.75" hidden="1">
      <c r="A247" s="74" t="s">
        <v>116</v>
      </c>
      <c r="B247" s="45"/>
      <c r="C247" s="7"/>
      <c r="D247" s="7"/>
      <c r="E247" s="46">
        <f t="shared" si="74"/>
        <v>0</v>
      </c>
      <c r="F247" s="57"/>
      <c r="G247" s="7"/>
      <c r="H247" s="46">
        <f t="shared" si="75"/>
        <v>0</v>
      </c>
      <c r="I247" s="57"/>
      <c r="J247" s="7"/>
      <c r="K247" s="46">
        <f t="shared" si="76"/>
        <v>0</v>
      </c>
      <c r="L247" s="57"/>
      <c r="M247" s="7"/>
      <c r="N247" s="46">
        <f>K247+L247+M247</f>
        <v>0</v>
      </c>
      <c r="O247" s="128"/>
      <c r="P247" s="126">
        <f t="shared" si="70"/>
        <v>0</v>
      </c>
    </row>
    <row r="248" spans="1:16" ht="12.75" hidden="1">
      <c r="A248" s="74" t="s">
        <v>226</v>
      </c>
      <c r="B248" s="45"/>
      <c r="C248" s="7"/>
      <c r="D248" s="7"/>
      <c r="E248" s="46">
        <f t="shared" si="74"/>
        <v>0</v>
      </c>
      <c r="F248" s="57"/>
      <c r="G248" s="7"/>
      <c r="H248" s="46">
        <f t="shared" si="75"/>
        <v>0</v>
      </c>
      <c r="I248" s="57"/>
      <c r="J248" s="7"/>
      <c r="K248" s="46">
        <f t="shared" si="76"/>
        <v>0</v>
      </c>
      <c r="L248" s="57"/>
      <c r="M248" s="7"/>
      <c r="N248" s="46">
        <f>K248+L248+M248</f>
        <v>0</v>
      </c>
      <c r="O248" s="128"/>
      <c r="P248" s="126">
        <f t="shared" si="70"/>
        <v>0</v>
      </c>
    </row>
    <row r="249" spans="1:16" ht="12.75">
      <c r="A249" s="65" t="s">
        <v>301</v>
      </c>
      <c r="B249" s="45"/>
      <c r="C249" s="7">
        <f>38917.5+715.9</f>
        <v>39633.4</v>
      </c>
      <c r="D249" s="7"/>
      <c r="E249" s="46">
        <f t="shared" si="74"/>
        <v>39633.4</v>
      </c>
      <c r="F249" s="57">
        <f>-24.6+194.4+49</f>
        <v>218.8</v>
      </c>
      <c r="G249" s="7"/>
      <c r="H249" s="46">
        <f t="shared" si="75"/>
        <v>39852.200000000004</v>
      </c>
      <c r="I249" s="57">
        <v>46.1</v>
      </c>
      <c r="J249" s="7"/>
      <c r="K249" s="46">
        <f t="shared" si="76"/>
        <v>39898.3</v>
      </c>
      <c r="L249" s="57"/>
      <c r="M249" s="7"/>
      <c r="N249" s="46">
        <f aca="true" t="shared" si="78" ref="N249:N270">K249+L249+M249</f>
        <v>39898.3</v>
      </c>
      <c r="O249" s="128"/>
      <c r="P249" s="126">
        <f t="shared" si="70"/>
        <v>39898.3</v>
      </c>
    </row>
    <row r="250" spans="1:16" ht="12.75" hidden="1">
      <c r="A250" s="65" t="s">
        <v>221</v>
      </c>
      <c r="B250" s="45"/>
      <c r="C250" s="7"/>
      <c r="D250" s="7"/>
      <c r="E250" s="46">
        <f t="shared" si="74"/>
        <v>0</v>
      </c>
      <c r="F250" s="57"/>
      <c r="G250" s="7"/>
      <c r="H250" s="46">
        <f t="shared" si="75"/>
        <v>0</v>
      </c>
      <c r="I250" s="57"/>
      <c r="J250" s="7"/>
      <c r="K250" s="46">
        <f t="shared" si="76"/>
        <v>0</v>
      </c>
      <c r="L250" s="57"/>
      <c r="M250" s="7"/>
      <c r="N250" s="46">
        <f t="shared" si="78"/>
        <v>0</v>
      </c>
      <c r="O250" s="128"/>
      <c r="P250" s="126">
        <f t="shared" si="70"/>
        <v>0</v>
      </c>
    </row>
    <row r="251" spans="1:16" ht="12.75">
      <c r="A251" s="65" t="s">
        <v>306</v>
      </c>
      <c r="B251" s="45"/>
      <c r="C251" s="7">
        <v>30728</v>
      </c>
      <c r="D251" s="7"/>
      <c r="E251" s="46">
        <f t="shared" si="74"/>
        <v>30728</v>
      </c>
      <c r="F251" s="57"/>
      <c r="G251" s="7"/>
      <c r="H251" s="46">
        <f t="shared" si="75"/>
        <v>30728</v>
      </c>
      <c r="I251" s="57"/>
      <c r="J251" s="7"/>
      <c r="K251" s="46">
        <f t="shared" si="76"/>
        <v>30728</v>
      </c>
      <c r="L251" s="57"/>
      <c r="M251" s="7"/>
      <c r="N251" s="46">
        <f t="shared" si="78"/>
        <v>30728</v>
      </c>
      <c r="O251" s="128"/>
      <c r="P251" s="126">
        <f t="shared" si="70"/>
        <v>30728</v>
      </c>
    </row>
    <row r="252" spans="1:16" ht="12.75">
      <c r="A252" s="65" t="s">
        <v>339</v>
      </c>
      <c r="B252" s="45"/>
      <c r="C252" s="7"/>
      <c r="D252" s="7"/>
      <c r="E252" s="46"/>
      <c r="F252" s="57"/>
      <c r="G252" s="7"/>
      <c r="H252" s="46">
        <f t="shared" si="75"/>
        <v>0</v>
      </c>
      <c r="I252" s="57">
        <f>662.4+33629.1</f>
        <v>34291.5</v>
      </c>
      <c r="J252" s="7"/>
      <c r="K252" s="46">
        <f t="shared" si="76"/>
        <v>34291.5</v>
      </c>
      <c r="L252" s="57">
        <v>2086</v>
      </c>
      <c r="M252" s="7"/>
      <c r="N252" s="46">
        <f t="shared" si="78"/>
        <v>36377.5</v>
      </c>
      <c r="O252" s="128"/>
      <c r="P252" s="126"/>
    </row>
    <row r="253" spans="1:16" ht="12.75">
      <c r="A253" s="74" t="s">
        <v>302</v>
      </c>
      <c r="B253" s="45"/>
      <c r="C253" s="7">
        <v>11587.3</v>
      </c>
      <c r="D253" s="7"/>
      <c r="E253" s="46">
        <f t="shared" si="74"/>
        <v>11587.3</v>
      </c>
      <c r="F253" s="57">
        <f>20.1+1.1</f>
        <v>21.200000000000003</v>
      </c>
      <c r="G253" s="7"/>
      <c r="H253" s="46">
        <f t="shared" si="75"/>
        <v>11608.5</v>
      </c>
      <c r="I253" s="57">
        <v>332.2</v>
      </c>
      <c r="J253" s="7"/>
      <c r="K253" s="46">
        <f t="shared" si="76"/>
        <v>11940.7</v>
      </c>
      <c r="L253" s="57"/>
      <c r="M253" s="7"/>
      <c r="N253" s="46">
        <f t="shared" si="78"/>
        <v>11940.7</v>
      </c>
      <c r="O253" s="128"/>
      <c r="P253" s="126">
        <f t="shared" si="70"/>
        <v>11940.7</v>
      </c>
    </row>
    <row r="254" spans="1:16" ht="12.75" hidden="1">
      <c r="A254" s="74" t="s">
        <v>234</v>
      </c>
      <c r="B254" s="45"/>
      <c r="C254" s="7"/>
      <c r="D254" s="7"/>
      <c r="E254" s="46">
        <f t="shared" si="74"/>
        <v>0</v>
      </c>
      <c r="F254" s="57"/>
      <c r="G254" s="7"/>
      <c r="H254" s="46">
        <f t="shared" si="75"/>
        <v>0</v>
      </c>
      <c r="I254" s="57"/>
      <c r="J254" s="7"/>
      <c r="K254" s="46">
        <f t="shared" si="76"/>
        <v>0</v>
      </c>
      <c r="L254" s="57"/>
      <c r="M254" s="7"/>
      <c r="N254" s="46">
        <f t="shared" si="78"/>
        <v>0</v>
      </c>
      <c r="O254" s="128"/>
      <c r="P254" s="126">
        <f t="shared" si="70"/>
        <v>0</v>
      </c>
    </row>
    <row r="255" spans="1:16" ht="12.75">
      <c r="A255" s="74" t="s">
        <v>307</v>
      </c>
      <c r="B255" s="45"/>
      <c r="C255" s="7">
        <v>13121.8</v>
      </c>
      <c r="D255" s="7"/>
      <c r="E255" s="46">
        <f t="shared" si="74"/>
        <v>13121.8</v>
      </c>
      <c r="F255" s="57"/>
      <c r="G255" s="7"/>
      <c r="H255" s="46">
        <f t="shared" si="75"/>
        <v>13121.8</v>
      </c>
      <c r="I255" s="57"/>
      <c r="J255" s="7"/>
      <c r="K255" s="46">
        <f t="shared" si="76"/>
        <v>13121.8</v>
      </c>
      <c r="L255" s="57"/>
      <c r="M255" s="7"/>
      <c r="N255" s="46">
        <f t="shared" si="78"/>
        <v>13121.8</v>
      </c>
      <c r="O255" s="128"/>
      <c r="P255" s="126">
        <f t="shared" si="70"/>
        <v>13121.8</v>
      </c>
    </row>
    <row r="256" spans="1:16" ht="12.75">
      <c r="A256" s="74" t="s">
        <v>340</v>
      </c>
      <c r="B256" s="45"/>
      <c r="C256" s="7"/>
      <c r="D256" s="7"/>
      <c r="E256" s="46"/>
      <c r="F256" s="57"/>
      <c r="G256" s="7"/>
      <c r="H256" s="46">
        <f t="shared" si="75"/>
        <v>0</v>
      </c>
      <c r="I256" s="57">
        <f>830+8865.5</f>
        <v>9695.5</v>
      </c>
      <c r="J256" s="7"/>
      <c r="K256" s="46">
        <f t="shared" si="76"/>
        <v>9695.5</v>
      </c>
      <c r="L256" s="57">
        <v>502.5</v>
      </c>
      <c r="M256" s="7"/>
      <c r="N256" s="46">
        <f t="shared" si="78"/>
        <v>10198</v>
      </c>
      <c r="O256" s="128"/>
      <c r="P256" s="126"/>
    </row>
    <row r="257" spans="1:16" ht="12.75">
      <c r="A257" s="74" t="s">
        <v>303</v>
      </c>
      <c r="B257" s="45"/>
      <c r="C257" s="7">
        <f>29737.5+1363.2</f>
        <v>31100.7</v>
      </c>
      <c r="D257" s="7"/>
      <c r="E257" s="46">
        <f t="shared" si="74"/>
        <v>31100.7</v>
      </c>
      <c r="F257" s="57">
        <f>808.9+66.8</f>
        <v>875.6999999999999</v>
      </c>
      <c r="G257" s="7"/>
      <c r="H257" s="46">
        <f t="shared" si="75"/>
        <v>31976.4</v>
      </c>
      <c r="I257" s="57">
        <v>67.9</v>
      </c>
      <c r="J257" s="7"/>
      <c r="K257" s="46">
        <f t="shared" si="76"/>
        <v>32044.300000000003</v>
      </c>
      <c r="L257" s="57">
        <v>143.9</v>
      </c>
      <c r="M257" s="7"/>
      <c r="N257" s="46">
        <f t="shared" si="78"/>
        <v>32188.200000000004</v>
      </c>
      <c r="O257" s="128"/>
      <c r="P257" s="126">
        <f t="shared" si="70"/>
        <v>32188.200000000004</v>
      </c>
    </row>
    <row r="258" spans="1:16" ht="12.75">
      <c r="A258" s="74" t="s">
        <v>220</v>
      </c>
      <c r="B258" s="45"/>
      <c r="C258" s="7">
        <f>5989.2</f>
        <v>5989.2</v>
      </c>
      <c r="D258" s="7"/>
      <c r="E258" s="46">
        <f t="shared" si="74"/>
        <v>5989.2</v>
      </c>
      <c r="F258" s="57"/>
      <c r="G258" s="7"/>
      <c r="H258" s="46">
        <f t="shared" si="75"/>
        <v>5989.2</v>
      </c>
      <c r="I258" s="57"/>
      <c r="J258" s="7"/>
      <c r="K258" s="46">
        <f t="shared" si="76"/>
        <v>5989.2</v>
      </c>
      <c r="L258" s="57"/>
      <c r="M258" s="7"/>
      <c r="N258" s="46">
        <f t="shared" si="78"/>
        <v>5989.2</v>
      </c>
      <c r="O258" s="128"/>
      <c r="P258" s="126">
        <f t="shared" si="70"/>
        <v>5989.2</v>
      </c>
    </row>
    <row r="259" spans="1:16" ht="12.75" customHeight="1" thickBot="1">
      <c r="A259" s="193" t="s">
        <v>308</v>
      </c>
      <c r="B259" s="188"/>
      <c r="C259" s="189">
        <v>16327.4</v>
      </c>
      <c r="D259" s="189"/>
      <c r="E259" s="190">
        <f t="shared" si="74"/>
        <v>16327.4</v>
      </c>
      <c r="F259" s="191"/>
      <c r="G259" s="189"/>
      <c r="H259" s="190">
        <f t="shared" si="75"/>
        <v>16327.4</v>
      </c>
      <c r="I259" s="191"/>
      <c r="J259" s="189"/>
      <c r="K259" s="190">
        <f t="shared" si="76"/>
        <v>16327.4</v>
      </c>
      <c r="L259" s="191"/>
      <c r="M259" s="189"/>
      <c r="N259" s="190">
        <f t="shared" si="78"/>
        <v>16327.4</v>
      </c>
      <c r="O259" s="128"/>
      <c r="P259" s="126">
        <f t="shared" si="70"/>
        <v>16327.4</v>
      </c>
    </row>
    <row r="260" spans="1:16" ht="12.75">
      <c r="A260" s="74" t="s">
        <v>341</v>
      </c>
      <c r="B260" s="45"/>
      <c r="C260" s="7"/>
      <c r="D260" s="7"/>
      <c r="E260" s="46">
        <f t="shared" si="74"/>
        <v>0</v>
      </c>
      <c r="F260" s="57"/>
      <c r="G260" s="7"/>
      <c r="H260" s="46">
        <f t="shared" si="75"/>
        <v>0</v>
      </c>
      <c r="I260" s="57">
        <f>811.8+11081.8</f>
        <v>11893.599999999999</v>
      </c>
      <c r="J260" s="7"/>
      <c r="K260" s="46">
        <f t="shared" si="76"/>
        <v>11893.599999999999</v>
      </c>
      <c r="L260" s="57">
        <v>782.4</v>
      </c>
      <c r="M260" s="7"/>
      <c r="N260" s="46">
        <f t="shared" si="78"/>
        <v>12675.999999999998</v>
      </c>
      <c r="O260" s="128"/>
      <c r="P260" s="126">
        <f t="shared" si="70"/>
        <v>12675.999999999998</v>
      </c>
    </row>
    <row r="261" spans="1:16" ht="12.75">
      <c r="A261" s="74" t="s">
        <v>342</v>
      </c>
      <c r="B261" s="45"/>
      <c r="C261" s="7"/>
      <c r="D261" s="7"/>
      <c r="E261" s="46"/>
      <c r="F261" s="57"/>
      <c r="G261" s="7"/>
      <c r="H261" s="46"/>
      <c r="I261" s="57">
        <v>4484.6</v>
      </c>
      <c r="J261" s="7"/>
      <c r="K261" s="46">
        <f t="shared" si="76"/>
        <v>4484.6</v>
      </c>
      <c r="L261" s="57"/>
      <c r="M261" s="7"/>
      <c r="N261" s="46">
        <f t="shared" si="78"/>
        <v>4484.6</v>
      </c>
      <c r="O261" s="128"/>
      <c r="P261" s="126"/>
    </row>
    <row r="262" spans="1:16" ht="12.75">
      <c r="A262" s="74" t="s">
        <v>343</v>
      </c>
      <c r="B262" s="45"/>
      <c r="C262" s="7"/>
      <c r="D262" s="7"/>
      <c r="E262" s="46"/>
      <c r="F262" s="57"/>
      <c r="G262" s="7"/>
      <c r="H262" s="46"/>
      <c r="I262" s="57">
        <v>159.4</v>
      </c>
      <c r="J262" s="7"/>
      <c r="K262" s="46">
        <f t="shared" si="76"/>
        <v>159.4</v>
      </c>
      <c r="L262" s="57"/>
      <c r="M262" s="7"/>
      <c r="N262" s="46">
        <f t="shared" si="78"/>
        <v>159.4</v>
      </c>
      <c r="O262" s="128"/>
      <c r="P262" s="126"/>
    </row>
    <row r="263" spans="1:16" ht="12.75">
      <c r="A263" s="74" t="s">
        <v>344</v>
      </c>
      <c r="B263" s="45"/>
      <c r="C263" s="7"/>
      <c r="D263" s="7"/>
      <c r="E263" s="46"/>
      <c r="F263" s="57"/>
      <c r="G263" s="7"/>
      <c r="H263" s="46"/>
      <c r="I263" s="57">
        <v>152.6</v>
      </c>
      <c r="J263" s="7"/>
      <c r="K263" s="46">
        <f t="shared" si="76"/>
        <v>152.6</v>
      </c>
      <c r="L263" s="57"/>
      <c r="M263" s="7"/>
      <c r="N263" s="46">
        <f t="shared" si="78"/>
        <v>152.6</v>
      </c>
      <c r="O263" s="128"/>
      <c r="P263" s="126"/>
    </row>
    <row r="264" spans="1:16" ht="12.75">
      <c r="A264" s="65" t="s">
        <v>265</v>
      </c>
      <c r="B264" s="45"/>
      <c r="C264" s="7"/>
      <c r="D264" s="7"/>
      <c r="E264" s="46">
        <f t="shared" si="74"/>
        <v>0</v>
      </c>
      <c r="F264" s="57">
        <v>1006.9</v>
      </c>
      <c r="G264" s="7"/>
      <c r="H264" s="46">
        <f t="shared" si="75"/>
        <v>1006.9</v>
      </c>
      <c r="I264" s="57"/>
      <c r="J264" s="7"/>
      <c r="K264" s="46">
        <f t="shared" si="76"/>
        <v>1006.9</v>
      </c>
      <c r="L264" s="57"/>
      <c r="M264" s="7"/>
      <c r="N264" s="46">
        <f t="shared" si="78"/>
        <v>1006.9</v>
      </c>
      <c r="O264" s="128"/>
      <c r="P264" s="126">
        <f t="shared" si="70"/>
        <v>1006.9</v>
      </c>
    </row>
    <row r="265" spans="1:16" ht="12.75">
      <c r="A265" s="65" t="s">
        <v>117</v>
      </c>
      <c r="B265" s="61">
        <v>18000</v>
      </c>
      <c r="C265" s="7"/>
      <c r="D265" s="7">
        <v>-18000</v>
      </c>
      <c r="E265" s="46">
        <f t="shared" si="74"/>
        <v>0</v>
      </c>
      <c r="F265" s="57"/>
      <c r="G265" s="7"/>
      <c r="H265" s="46">
        <f t="shared" si="75"/>
        <v>0</v>
      </c>
      <c r="I265" s="57"/>
      <c r="J265" s="7"/>
      <c r="K265" s="46">
        <f t="shared" si="76"/>
        <v>0</v>
      </c>
      <c r="L265" s="57"/>
      <c r="M265" s="7"/>
      <c r="N265" s="46">
        <f t="shared" si="78"/>
        <v>0</v>
      </c>
      <c r="O265" s="128"/>
      <c r="P265" s="126">
        <f t="shared" si="70"/>
        <v>0</v>
      </c>
    </row>
    <row r="266" spans="1:16" ht="12.75">
      <c r="A266" s="65" t="s">
        <v>105</v>
      </c>
      <c r="B266" s="61">
        <v>17150</v>
      </c>
      <c r="C266" s="7">
        <f>51.3+16765.8-3750+6999.3</f>
        <v>20066.399999999998</v>
      </c>
      <c r="D266" s="7"/>
      <c r="E266" s="46">
        <f t="shared" si="74"/>
        <v>37216.399999999994</v>
      </c>
      <c r="F266" s="57">
        <f>1111-5312.2-2000</f>
        <v>-6201.2</v>
      </c>
      <c r="G266" s="7"/>
      <c r="H266" s="46">
        <f t="shared" si="75"/>
        <v>31015.199999999993</v>
      </c>
      <c r="I266" s="57">
        <f>2.4-75+254</f>
        <v>181.4</v>
      </c>
      <c r="J266" s="7"/>
      <c r="K266" s="46">
        <f t="shared" si="76"/>
        <v>31196.599999999995</v>
      </c>
      <c r="L266" s="158">
        <f>-425</f>
        <v>-425</v>
      </c>
      <c r="M266" s="7"/>
      <c r="N266" s="46">
        <f t="shared" si="78"/>
        <v>30771.599999999995</v>
      </c>
      <c r="O266" s="128"/>
      <c r="P266" s="126">
        <f t="shared" si="70"/>
        <v>30771.599999999995</v>
      </c>
    </row>
    <row r="267" spans="1:16" ht="12.75">
      <c r="A267" s="65" t="s">
        <v>203</v>
      </c>
      <c r="B267" s="61">
        <v>7500</v>
      </c>
      <c r="C267" s="7">
        <v>16765.8</v>
      </c>
      <c r="D267" s="7"/>
      <c r="E267" s="46">
        <f t="shared" si="74"/>
        <v>24265.8</v>
      </c>
      <c r="F267" s="57">
        <v>1111</v>
      </c>
      <c r="G267" s="7"/>
      <c r="H267" s="46">
        <f t="shared" si="75"/>
        <v>25376.8</v>
      </c>
      <c r="I267" s="57">
        <v>254</v>
      </c>
      <c r="J267" s="7"/>
      <c r="K267" s="46">
        <f t="shared" si="76"/>
        <v>25630.8</v>
      </c>
      <c r="L267" s="57"/>
      <c r="M267" s="7"/>
      <c r="N267" s="46">
        <f t="shared" si="78"/>
        <v>25630.8</v>
      </c>
      <c r="O267" s="128"/>
      <c r="P267" s="126">
        <f t="shared" si="70"/>
        <v>25630.8</v>
      </c>
    </row>
    <row r="268" spans="1:16" ht="12.75">
      <c r="A268" s="65" t="s">
        <v>321</v>
      </c>
      <c r="B268" s="61">
        <f>SUM(B269:B275)</f>
        <v>29644.399999999998</v>
      </c>
      <c r="C268" s="7">
        <f>SUM(C269:C275)</f>
        <v>-1000</v>
      </c>
      <c r="D268" s="7">
        <f>SUM(D269:D275)</f>
        <v>-2000</v>
      </c>
      <c r="E268" s="46">
        <f t="shared" si="74"/>
        <v>26644.399999999998</v>
      </c>
      <c r="F268" s="61">
        <f>SUM(F269:F275)</f>
        <v>2024</v>
      </c>
      <c r="G268" s="7"/>
      <c r="H268" s="46">
        <f>SUM(H269:H275)</f>
        <v>28668.399999999998</v>
      </c>
      <c r="I268" s="57"/>
      <c r="J268" s="7"/>
      <c r="K268" s="46">
        <f t="shared" si="76"/>
        <v>28668.399999999998</v>
      </c>
      <c r="L268" s="57"/>
      <c r="M268" s="7"/>
      <c r="N268" s="46">
        <f t="shared" si="78"/>
        <v>28668.399999999998</v>
      </c>
      <c r="O268" s="128"/>
      <c r="P268" s="126">
        <f t="shared" si="70"/>
        <v>28668.399999999998</v>
      </c>
    </row>
    <row r="269" spans="1:16" ht="12.75">
      <c r="A269" s="65" t="s">
        <v>204</v>
      </c>
      <c r="B269" s="45">
        <v>5248.6</v>
      </c>
      <c r="C269" s="7"/>
      <c r="D269" s="7"/>
      <c r="E269" s="46">
        <f t="shared" si="74"/>
        <v>5248.6</v>
      </c>
      <c r="F269" s="57">
        <v>-1476</v>
      </c>
      <c r="G269" s="7"/>
      <c r="H269" s="46">
        <f aca="true" t="shared" si="79" ref="H269:H275">SUM(E269:G269)</f>
        <v>3772.6000000000004</v>
      </c>
      <c r="I269" s="57"/>
      <c r="J269" s="7"/>
      <c r="K269" s="46">
        <f t="shared" si="76"/>
        <v>3772.6000000000004</v>
      </c>
      <c r="L269" s="57"/>
      <c r="M269" s="7"/>
      <c r="N269" s="46">
        <f t="shared" si="78"/>
        <v>3772.6000000000004</v>
      </c>
      <c r="O269" s="128"/>
      <c r="P269" s="126">
        <f t="shared" si="70"/>
        <v>3772.6000000000004</v>
      </c>
    </row>
    <row r="270" spans="1:16" ht="12.75">
      <c r="A270" s="65" t="s">
        <v>118</v>
      </c>
      <c r="B270" s="45">
        <v>4496.2</v>
      </c>
      <c r="C270" s="7">
        <v>2500</v>
      </c>
      <c r="D270" s="7"/>
      <c r="E270" s="46">
        <f t="shared" si="74"/>
        <v>6996.2</v>
      </c>
      <c r="F270" s="57">
        <v>500</v>
      </c>
      <c r="G270" s="7"/>
      <c r="H270" s="46">
        <f t="shared" si="79"/>
        <v>7496.2</v>
      </c>
      <c r="I270" s="57"/>
      <c r="J270" s="7"/>
      <c r="K270" s="46">
        <f t="shared" si="76"/>
        <v>7496.2</v>
      </c>
      <c r="L270" s="57"/>
      <c r="M270" s="7"/>
      <c r="N270" s="46">
        <f t="shared" si="78"/>
        <v>7496.2</v>
      </c>
      <c r="O270" s="128"/>
      <c r="P270" s="126">
        <f t="shared" si="70"/>
        <v>7496.2</v>
      </c>
    </row>
    <row r="271" spans="1:16" ht="12.75">
      <c r="A271" s="65" t="s">
        <v>119</v>
      </c>
      <c r="B271" s="45">
        <v>2604</v>
      </c>
      <c r="C271" s="9">
        <v>-500</v>
      </c>
      <c r="D271" s="7"/>
      <c r="E271" s="46">
        <f t="shared" si="74"/>
        <v>2104</v>
      </c>
      <c r="F271" s="57"/>
      <c r="G271" s="7"/>
      <c r="H271" s="46">
        <f t="shared" si="79"/>
        <v>2104</v>
      </c>
      <c r="I271" s="57"/>
      <c r="J271" s="7"/>
      <c r="K271" s="46">
        <f t="shared" si="76"/>
        <v>2104</v>
      </c>
      <c r="L271" s="57"/>
      <c r="M271" s="7"/>
      <c r="N271" s="46">
        <f>SUM(K271:M271)</f>
        <v>2104</v>
      </c>
      <c r="O271" s="128"/>
      <c r="P271" s="126">
        <f t="shared" si="70"/>
        <v>2104</v>
      </c>
    </row>
    <row r="272" spans="1:16" ht="12.75">
      <c r="A272" s="65" t="s">
        <v>120</v>
      </c>
      <c r="B272" s="45">
        <v>1395.9</v>
      </c>
      <c r="C272" s="7"/>
      <c r="D272" s="7"/>
      <c r="E272" s="46">
        <f t="shared" si="74"/>
        <v>1395.9</v>
      </c>
      <c r="F272" s="57"/>
      <c r="G272" s="7"/>
      <c r="H272" s="46">
        <f t="shared" si="79"/>
        <v>1395.9</v>
      </c>
      <c r="I272" s="57"/>
      <c r="J272" s="7"/>
      <c r="K272" s="46">
        <f t="shared" si="76"/>
        <v>1395.9</v>
      </c>
      <c r="L272" s="57"/>
      <c r="M272" s="7"/>
      <c r="N272" s="46">
        <f>SUM(K272:M272)</f>
        <v>1395.9</v>
      </c>
      <c r="O272" s="128"/>
      <c r="P272" s="126">
        <f t="shared" si="70"/>
        <v>1395.9</v>
      </c>
    </row>
    <row r="273" spans="1:16" ht="12.75">
      <c r="A273" s="65" t="s">
        <v>121</v>
      </c>
      <c r="B273" s="45">
        <v>9380</v>
      </c>
      <c r="C273" s="7"/>
      <c r="D273" s="7"/>
      <c r="E273" s="46">
        <f t="shared" si="74"/>
        <v>9380</v>
      </c>
      <c r="F273" s="57">
        <v>3000</v>
      </c>
      <c r="G273" s="7"/>
      <c r="H273" s="46">
        <f t="shared" si="79"/>
        <v>12380</v>
      </c>
      <c r="I273" s="57"/>
      <c r="J273" s="7"/>
      <c r="K273" s="46">
        <f t="shared" si="76"/>
        <v>12380</v>
      </c>
      <c r="L273" s="57"/>
      <c r="M273" s="7"/>
      <c r="N273" s="46">
        <f>SUM(K273:M273)</f>
        <v>12380</v>
      </c>
      <c r="O273" s="128"/>
      <c r="P273" s="126">
        <f t="shared" si="70"/>
        <v>12380</v>
      </c>
    </row>
    <row r="274" spans="1:16" ht="12.75" hidden="1">
      <c r="A274" s="65" t="s">
        <v>122</v>
      </c>
      <c r="B274" s="45"/>
      <c r="C274" s="7"/>
      <c r="D274" s="7"/>
      <c r="E274" s="46">
        <f t="shared" si="74"/>
        <v>0</v>
      </c>
      <c r="F274" s="57"/>
      <c r="G274" s="7"/>
      <c r="H274" s="46">
        <f t="shared" si="79"/>
        <v>0</v>
      </c>
      <c r="I274" s="57"/>
      <c r="J274" s="7"/>
      <c r="K274" s="46">
        <f t="shared" si="76"/>
        <v>0</v>
      </c>
      <c r="L274" s="57"/>
      <c r="M274" s="7"/>
      <c r="N274" s="46">
        <f>SUM(K274:M274)</f>
        <v>0</v>
      </c>
      <c r="O274" s="128"/>
      <c r="P274" s="126">
        <f t="shared" si="70"/>
        <v>0</v>
      </c>
    </row>
    <row r="275" spans="1:16" ht="12.75">
      <c r="A275" s="65" t="s">
        <v>123</v>
      </c>
      <c r="B275" s="45">
        <v>6519.7</v>
      </c>
      <c r="C275" s="7">
        <v>-3000</v>
      </c>
      <c r="D275" s="7">
        <v>-2000</v>
      </c>
      <c r="E275" s="46">
        <f t="shared" si="74"/>
        <v>1519.6999999999998</v>
      </c>
      <c r="F275" s="57"/>
      <c r="G275" s="7"/>
      <c r="H275" s="46">
        <f t="shared" si="79"/>
        <v>1519.6999999999998</v>
      </c>
      <c r="I275" s="57"/>
      <c r="J275" s="7"/>
      <c r="K275" s="46">
        <f t="shared" si="76"/>
        <v>1519.6999999999998</v>
      </c>
      <c r="L275" s="57"/>
      <c r="M275" s="7"/>
      <c r="N275" s="46">
        <f>SUM(K275:M275)</f>
        <v>1519.6999999999998</v>
      </c>
      <c r="O275" s="128"/>
      <c r="P275" s="126">
        <f t="shared" si="70"/>
        <v>1519.6999999999998</v>
      </c>
    </row>
    <row r="276" spans="1:16" ht="12.75">
      <c r="A276" s="72" t="s">
        <v>74</v>
      </c>
      <c r="B276" s="55">
        <f aca="true" t="shared" si="80" ref="B276:P276">SUM(B278:B294)</f>
        <v>82286.3</v>
      </c>
      <c r="C276" s="13">
        <f t="shared" si="80"/>
        <v>276084.30000000005</v>
      </c>
      <c r="D276" s="13">
        <f t="shared" si="80"/>
        <v>-15000</v>
      </c>
      <c r="E276" s="56">
        <f t="shared" si="80"/>
        <v>343370.60000000003</v>
      </c>
      <c r="F276" s="151">
        <f t="shared" si="80"/>
        <v>3641.4999999999945</v>
      </c>
      <c r="G276" s="13">
        <f t="shared" si="80"/>
        <v>0</v>
      </c>
      <c r="H276" s="56">
        <f t="shared" si="80"/>
        <v>347012.10000000003</v>
      </c>
      <c r="I276" s="151">
        <f t="shared" si="80"/>
        <v>-34971.700000000004</v>
      </c>
      <c r="J276" s="13">
        <f t="shared" si="80"/>
        <v>0</v>
      </c>
      <c r="K276" s="56">
        <f t="shared" si="80"/>
        <v>312040.4</v>
      </c>
      <c r="L276" s="155">
        <f t="shared" si="80"/>
        <v>-35156.09999999999</v>
      </c>
      <c r="M276" s="13">
        <f t="shared" si="80"/>
        <v>0</v>
      </c>
      <c r="N276" s="56">
        <f t="shared" si="80"/>
        <v>276884.30000000005</v>
      </c>
      <c r="O276" s="134"/>
      <c r="P276" s="122">
        <f t="shared" si="80"/>
        <v>275408.30000000005</v>
      </c>
    </row>
    <row r="277" spans="1:16" ht="12.75">
      <c r="A277" s="74" t="s">
        <v>38</v>
      </c>
      <c r="B277" s="45"/>
      <c r="C277" s="7"/>
      <c r="D277" s="7"/>
      <c r="E277" s="46"/>
      <c r="F277" s="57"/>
      <c r="G277" s="7"/>
      <c r="H277" s="46"/>
      <c r="I277" s="57"/>
      <c r="J277" s="7"/>
      <c r="K277" s="46"/>
      <c r="L277" s="57"/>
      <c r="M277" s="7"/>
      <c r="N277" s="46"/>
      <c r="O277" s="128"/>
      <c r="P277" s="126"/>
    </row>
    <row r="278" spans="1:16" ht="12.75" hidden="1">
      <c r="A278" s="65" t="s">
        <v>124</v>
      </c>
      <c r="B278" s="45"/>
      <c r="C278" s="7"/>
      <c r="D278" s="7"/>
      <c r="E278" s="46">
        <f>B278+C278+D278</f>
        <v>0</v>
      </c>
      <c r="F278" s="57"/>
      <c r="G278" s="7"/>
      <c r="H278" s="46">
        <f>E278+F278+G278</f>
        <v>0</v>
      </c>
      <c r="I278" s="57"/>
      <c r="J278" s="7"/>
      <c r="K278" s="46">
        <f>H278+I278+J278</f>
        <v>0</v>
      </c>
      <c r="L278" s="57"/>
      <c r="M278" s="7"/>
      <c r="N278" s="46">
        <f>K278+L278+M278</f>
        <v>0</v>
      </c>
      <c r="O278" s="128"/>
      <c r="P278" s="126">
        <f t="shared" si="70"/>
        <v>0</v>
      </c>
    </row>
    <row r="279" spans="1:16" ht="12.75">
      <c r="A279" s="65" t="s">
        <v>215</v>
      </c>
      <c r="B279" s="45"/>
      <c r="C279" s="7"/>
      <c r="D279" s="7"/>
      <c r="E279" s="46">
        <f aca="true" t="shared" si="81" ref="E279:E294">B279+C279+D279</f>
        <v>0</v>
      </c>
      <c r="F279" s="57">
        <v>3000</v>
      </c>
      <c r="G279" s="7"/>
      <c r="H279" s="46">
        <f aca="true" t="shared" si="82" ref="H279:H294">E279+F279+G279</f>
        <v>3000</v>
      </c>
      <c r="I279" s="57">
        <v>-1905.6</v>
      </c>
      <c r="J279" s="7"/>
      <c r="K279" s="46">
        <f aca="true" t="shared" si="83" ref="K279:K294">H279+I279+J279</f>
        <v>1094.4</v>
      </c>
      <c r="L279" s="57"/>
      <c r="M279" s="7"/>
      <c r="N279" s="46">
        <f aca="true" t="shared" si="84" ref="N279:N294">K279+L279+M279</f>
        <v>1094.4</v>
      </c>
      <c r="O279" s="128"/>
      <c r="P279" s="126">
        <f t="shared" si="70"/>
        <v>1094.4</v>
      </c>
    </row>
    <row r="280" spans="1:16" ht="12.75">
      <c r="A280" s="74" t="s">
        <v>295</v>
      </c>
      <c r="B280" s="45"/>
      <c r="C280" s="7">
        <v>2097.2</v>
      </c>
      <c r="D280" s="7"/>
      <c r="E280" s="46">
        <f t="shared" si="81"/>
        <v>2097.2</v>
      </c>
      <c r="F280" s="57"/>
      <c r="G280" s="7"/>
      <c r="H280" s="46">
        <f t="shared" si="82"/>
        <v>2097.2</v>
      </c>
      <c r="I280" s="57"/>
      <c r="J280" s="7"/>
      <c r="K280" s="46">
        <f t="shared" si="83"/>
        <v>2097.2</v>
      </c>
      <c r="L280" s="57"/>
      <c r="M280" s="7"/>
      <c r="N280" s="46">
        <f t="shared" si="84"/>
        <v>2097.2</v>
      </c>
      <c r="O280" s="128"/>
      <c r="P280" s="126">
        <f t="shared" si="70"/>
        <v>2097.2</v>
      </c>
    </row>
    <row r="281" spans="1:16" ht="12.75">
      <c r="A281" s="74" t="s">
        <v>304</v>
      </c>
      <c r="B281" s="45"/>
      <c r="C281" s="7">
        <v>1844</v>
      </c>
      <c r="D281" s="7"/>
      <c r="E281" s="46">
        <f t="shared" si="81"/>
        <v>1844</v>
      </c>
      <c r="F281" s="57">
        <f>24.6+1+260.6+83.8+0.2</f>
        <v>370.20000000000005</v>
      </c>
      <c r="G281" s="7"/>
      <c r="H281" s="46">
        <f t="shared" si="82"/>
        <v>2214.2</v>
      </c>
      <c r="I281" s="57">
        <v>3.4</v>
      </c>
      <c r="J281" s="7"/>
      <c r="K281" s="46">
        <f t="shared" si="83"/>
        <v>2217.6</v>
      </c>
      <c r="L281" s="57"/>
      <c r="M281" s="7"/>
      <c r="N281" s="46">
        <f t="shared" si="84"/>
        <v>2217.6</v>
      </c>
      <c r="O281" s="128"/>
      <c r="P281" s="126">
        <f t="shared" si="70"/>
        <v>2217.6</v>
      </c>
    </row>
    <row r="282" spans="1:16" ht="12.75">
      <c r="A282" s="65" t="s">
        <v>306</v>
      </c>
      <c r="B282" s="45"/>
      <c r="C282" s="7">
        <v>5853.7</v>
      </c>
      <c r="D282" s="7"/>
      <c r="E282" s="46">
        <f t="shared" si="81"/>
        <v>5853.7</v>
      </c>
      <c r="F282" s="57"/>
      <c r="G282" s="7"/>
      <c r="H282" s="46">
        <f t="shared" si="82"/>
        <v>5853.7</v>
      </c>
      <c r="I282" s="57"/>
      <c r="J282" s="7"/>
      <c r="K282" s="46">
        <f t="shared" si="83"/>
        <v>5853.7</v>
      </c>
      <c r="L282" s="57"/>
      <c r="M282" s="7"/>
      <c r="N282" s="46">
        <f t="shared" si="84"/>
        <v>5853.7</v>
      </c>
      <c r="O282" s="128"/>
      <c r="P282" s="126">
        <f t="shared" si="70"/>
        <v>5853.7</v>
      </c>
    </row>
    <row r="283" spans="1:16" ht="12.75">
      <c r="A283" s="74" t="s">
        <v>309</v>
      </c>
      <c r="B283" s="45"/>
      <c r="C283" s="7">
        <v>1867.3</v>
      </c>
      <c r="D283" s="7"/>
      <c r="E283" s="46">
        <f t="shared" si="81"/>
        <v>1867.3</v>
      </c>
      <c r="F283" s="57"/>
      <c r="G283" s="7"/>
      <c r="H283" s="46">
        <f t="shared" si="82"/>
        <v>1867.3</v>
      </c>
      <c r="I283" s="57">
        <v>95</v>
      </c>
      <c r="J283" s="7"/>
      <c r="K283" s="46">
        <f t="shared" si="83"/>
        <v>1962.3</v>
      </c>
      <c r="L283" s="57"/>
      <c r="M283" s="7"/>
      <c r="N283" s="46">
        <f t="shared" si="84"/>
        <v>1962.3</v>
      </c>
      <c r="O283" s="128"/>
      <c r="P283" s="126">
        <f t="shared" si="70"/>
        <v>1962.3</v>
      </c>
    </row>
    <row r="284" spans="1:16" ht="12.75">
      <c r="A284" s="74" t="s">
        <v>307</v>
      </c>
      <c r="B284" s="45"/>
      <c r="C284" s="7">
        <v>180</v>
      </c>
      <c r="D284" s="7"/>
      <c r="E284" s="46">
        <f t="shared" si="81"/>
        <v>180</v>
      </c>
      <c r="F284" s="57"/>
      <c r="G284" s="7"/>
      <c r="H284" s="46">
        <f t="shared" si="82"/>
        <v>180</v>
      </c>
      <c r="I284" s="57"/>
      <c r="J284" s="7"/>
      <c r="K284" s="46">
        <f t="shared" si="83"/>
        <v>180</v>
      </c>
      <c r="L284" s="57"/>
      <c r="M284" s="7"/>
      <c r="N284" s="46">
        <f t="shared" si="84"/>
        <v>180</v>
      </c>
      <c r="O284" s="128"/>
      <c r="P284" s="126">
        <f aca="true" t="shared" si="85" ref="P284:P351">N284+O284</f>
        <v>180</v>
      </c>
    </row>
    <row r="285" spans="1:16" ht="12.75">
      <c r="A285" s="74" t="s">
        <v>305</v>
      </c>
      <c r="B285" s="45"/>
      <c r="C285" s="7">
        <v>2191</v>
      </c>
      <c r="D285" s="7"/>
      <c r="E285" s="46">
        <f t="shared" si="81"/>
        <v>2191</v>
      </c>
      <c r="F285" s="57">
        <v>4.6</v>
      </c>
      <c r="G285" s="7"/>
      <c r="H285" s="46">
        <f t="shared" si="82"/>
        <v>2195.6</v>
      </c>
      <c r="I285" s="57"/>
      <c r="J285" s="7"/>
      <c r="K285" s="46">
        <f t="shared" si="83"/>
        <v>2195.6</v>
      </c>
      <c r="L285" s="57">
        <v>14.4</v>
      </c>
      <c r="M285" s="7"/>
      <c r="N285" s="46">
        <f t="shared" si="84"/>
        <v>2210</v>
      </c>
      <c r="O285" s="128"/>
      <c r="P285" s="126">
        <f t="shared" si="85"/>
        <v>2210</v>
      </c>
    </row>
    <row r="286" spans="1:16" ht="12.75">
      <c r="A286" s="74" t="s">
        <v>308</v>
      </c>
      <c r="B286" s="45"/>
      <c r="C286" s="7">
        <v>300</v>
      </c>
      <c r="D286" s="7"/>
      <c r="E286" s="46">
        <f t="shared" si="81"/>
        <v>300</v>
      </c>
      <c r="F286" s="57"/>
      <c r="G286" s="7"/>
      <c r="H286" s="46">
        <f t="shared" si="82"/>
        <v>300</v>
      </c>
      <c r="I286" s="57"/>
      <c r="J286" s="7"/>
      <c r="K286" s="46">
        <f t="shared" si="83"/>
        <v>300</v>
      </c>
      <c r="L286" s="57"/>
      <c r="M286" s="7"/>
      <c r="N286" s="46">
        <f t="shared" si="84"/>
        <v>300</v>
      </c>
      <c r="O286" s="128"/>
      <c r="P286" s="126">
        <f t="shared" si="85"/>
        <v>300</v>
      </c>
    </row>
    <row r="287" spans="1:16" ht="12.75" hidden="1">
      <c r="A287" s="65" t="s">
        <v>93</v>
      </c>
      <c r="B287" s="45"/>
      <c r="C287" s="7"/>
      <c r="D287" s="7"/>
      <c r="E287" s="46">
        <f t="shared" si="81"/>
        <v>0</v>
      </c>
      <c r="F287" s="57"/>
      <c r="G287" s="7"/>
      <c r="H287" s="46">
        <f t="shared" si="82"/>
        <v>0</v>
      </c>
      <c r="I287" s="57"/>
      <c r="J287" s="7"/>
      <c r="K287" s="46">
        <f t="shared" si="83"/>
        <v>0</v>
      </c>
      <c r="L287" s="57"/>
      <c r="M287" s="7"/>
      <c r="N287" s="46">
        <f t="shared" si="84"/>
        <v>0</v>
      </c>
      <c r="O287" s="128"/>
      <c r="P287" s="126">
        <f t="shared" si="85"/>
        <v>0</v>
      </c>
    </row>
    <row r="288" spans="1:16" ht="12.75" hidden="1">
      <c r="A288" s="65" t="s">
        <v>75</v>
      </c>
      <c r="B288" s="45"/>
      <c r="C288" s="7"/>
      <c r="D288" s="7"/>
      <c r="E288" s="46">
        <f t="shared" si="81"/>
        <v>0</v>
      </c>
      <c r="F288" s="57"/>
      <c r="G288" s="7"/>
      <c r="H288" s="46">
        <f t="shared" si="82"/>
        <v>0</v>
      </c>
      <c r="I288" s="57"/>
      <c r="J288" s="7"/>
      <c r="K288" s="46">
        <f t="shared" si="83"/>
        <v>0</v>
      </c>
      <c r="L288" s="57"/>
      <c r="M288" s="7"/>
      <c r="N288" s="46">
        <f t="shared" si="84"/>
        <v>0</v>
      </c>
      <c r="O288" s="128"/>
      <c r="P288" s="126">
        <f t="shared" si="85"/>
        <v>0</v>
      </c>
    </row>
    <row r="289" spans="1:16" ht="12.75" hidden="1">
      <c r="A289" s="74" t="s">
        <v>257</v>
      </c>
      <c r="B289" s="45"/>
      <c r="C289" s="7"/>
      <c r="D289" s="7"/>
      <c r="E289" s="46">
        <f t="shared" si="81"/>
        <v>0</v>
      </c>
      <c r="F289" s="57"/>
      <c r="G289" s="7"/>
      <c r="H289" s="46">
        <f t="shared" si="82"/>
        <v>0</v>
      </c>
      <c r="I289" s="57"/>
      <c r="J289" s="7"/>
      <c r="K289" s="46">
        <f t="shared" si="83"/>
        <v>0</v>
      </c>
      <c r="L289" s="57"/>
      <c r="M289" s="7"/>
      <c r="N289" s="46">
        <f t="shared" si="84"/>
        <v>0</v>
      </c>
      <c r="O289" s="128"/>
      <c r="P289" s="126">
        <f t="shared" si="85"/>
        <v>0</v>
      </c>
    </row>
    <row r="290" spans="1:16" ht="12.75" hidden="1">
      <c r="A290" s="74" t="s">
        <v>276</v>
      </c>
      <c r="B290" s="45"/>
      <c r="C290" s="7"/>
      <c r="D290" s="7"/>
      <c r="E290" s="46">
        <f t="shared" si="81"/>
        <v>0</v>
      </c>
      <c r="F290" s="57"/>
      <c r="G290" s="7"/>
      <c r="H290" s="46">
        <f t="shared" si="82"/>
        <v>0</v>
      </c>
      <c r="I290" s="57"/>
      <c r="J290" s="7"/>
      <c r="K290" s="46">
        <f t="shared" si="83"/>
        <v>0</v>
      </c>
      <c r="L290" s="57"/>
      <c r="M290" s="7"/>
      <c r="N290" s="46">
        <f t="shared" si="84"/>
        <v>0</v>
      </c>
      <c r="O290" s="128"/>
      <c r="P290" s="126">
        <f t="shared" si="85"/>
        <v>0</v>
      </c>
    </row>
    <row r="291" spans="1:16" ht="12.75">
      <c r="A291" s="74" t="s">
        <v>322</v>
      </c>
      <c r="B291" s="45"/>
      <c r="C291" s="7">
        <v>500</v>
      </c>
      <c r="D291" s="7">
        <v>2000</v>
      </c>
      <c r="E291" s="46">
        <f t="shared" si="81"/>
        <v>2500</v>
      </c>
      <c r="F291" s="57"/>
      <c r="G291" s="7"/>
      <c r="H291" s="46">
        <f t="shared" si="82"/>
        <v>2500</v>
      </c>
      <c r="I291" s="57"/>
      <c r="J291" s="7"/>
      <c r="K291" s="46">
        <f t="shared" si="83"/>
        <v>2500</v>
      </c>
      <c r="L291" s="57"/>
      <c r="M291" s="7"/>
      <c r="N291" s="46">
        <f t="shared" si="84"/>
        <v>2500</v>
      </c>
      <c r="O291" s="128"/>
      <c r="P291" s="126">
        <f t="shared" si="85"/>
        <v>2500</v>
      </c>
    </row>
    <row r="292" spans="1:16" ht="12.75">
      <c r="A292" s="74" t="s">
        <v>329</v>
      </c>
      <c r="B292" s="45"/>
      <c r="C292" s="7"/>
      <c r="D292" s="7"/>
      <c r="E292" s="46">
        <f t="shared" si="81"/>
        <v>0</v>
      </c>
      <c r="F292" s="57">
        <v>1476</v>
      </c>
      <c r="G292" s="7"/>
      <c r="H292" s="46">
        <f t="shared" si="82"/>
        <v>1476</v>
      </c>
      <c r="I292" s="57"/>
      <c r="J292" s="7"/>
      <c r="K292" s="46">
        <f t="shared" si="83"/>
        <v>1476</v>
      </c>
      <c r="L292" s="57"/>
      <c r="M292" s="7"/>
      <c r="N292" s="46">
        <f t="shared" si="84"/>
        <v>1476</v>
      </c>
      <c r="O292" s="128"/>
      <c r="P292" s="126"/>
    </row>
    <row r="293" spans="1:16" ht="12.75">
      <c r="A293" s="65" t="s">
        <v>117</v>
      </c>
      <c r="B293" s="61">
        <v>17000</v>
      </c>
      <c r="C293" s="7"/>
      <c r="D293" s="7">
        <v>-17000</v>
      </c>
      <c r="E293" s="46">
        <f t="shared" si="81"/>
        <v>0</v>
      </c>
      <c r="F293" s="57"/>
      <c r="G293" s="7"/>
      <c r="H293" s="46">
        <f t="shared" si="82"/>
        <v>0</v>
      </c>
      <c r="I293" s="57"/>
      <c r="J293" s="7"/>
      <c r="K293" s="46">
        <f t="shared" si="83"/>
        <v>0</v>
      </c>
      <c r="L293" s="57"/>
      <c r="M293" s="7"/>
      <c r="N293" s="46">
        <f t="shared" si="84"/>
        <v>0</v>
      </c>
      <c r="O293" s="128"/>
      <c r="P293" s="126">
        <f t="shared" si="85"/>
        <v>0</v>
      </c>
    </row>
    <row r="294" spans="1:16" ht="12.75">
      <c r="A294" s="68" t="s">
        <v>105</v>
      </c>
      <c r="B294" s="49">
        <f>65286.3</f>
        <v>65286.3</v>
      </c>
      <c r="C294" s="10">
        <f>951.2+656.2-394.5-411.7+2500-1202.7-968.1-355.1-3008.4-2080.8+145581+82513.8+1701.5+38.3+792-1000-1188-562.8+10391.6-114.8+3679+17229.3+6504.1</f>
        <v>261251.10000000003</v>
      </c>
      <c r="D294" s="10"/>
      <c r="E294" s="50">
        <f t="shared" si="81"/>
        <v>326537.4</v>
      </c>
      <c r="F294" s="152">
        <f>304.5+954.2+589.7+6799.2+7137.9+2510.3+808.1-9576.2+90.3-708.2-1-1.6-2012.5-17.6-223.4-416.3-45.9-761.6-134.4-37.4-546.6-96.5-2772.4-3127.6-21.6-867.1-153-55.3-535-1090.5-982.7-504-951.7-84-999.9-111.1-306-54+1700-4178.4+1012.8+1832.3-89.8-15.8-393.6-69.5+6119.8-3018-1000+3001.5+1890.3</f>
        <v>-1209.300000000005</v>
      </c>
      <c r="G294" s="10"/>
      <c r="H294" s="50">
        <f t="shared" si="82"/>
        <v>325328.10000000003</v>
      </c>
      <c r="I294" s="152">
        <f>1324.8+9683.4+1398.1+936.8+805.3+502.6+5996.9+675.5-8656-875.5-400-24-1289-87.9-207.5-198.1-311.2-54.9-690.5-121.8-1835.8-124.6-3607-318.3-55.3-5569.1-3981.6-4855-62.3-11-48-278-49-581.1-102.6-910.7-2066.1-230.6-40.7-1248.9-6422.4-18.3-3308.5-382-1509.2-880.3-155.4-970.8-200-739.1-130.4-3900+5124+3507.2+951.8+1058.6+3127.6-2.4+1188+5571.8+223.6-9491.3-1931.1-1847.8-1871.2-839.5-148.2-1498.8-101.7</f>
        <v>-33164.50000000001</v>
      </c>
      <c r="J294" s="10"/>
      <c r="K294" s="50">
        <f t="shared" si="83"/>
        <v>292163.60000000003</v>
      </c>
      <c r="L294" s="152">
        <f>1386.8+908.2+9704.9+355.7-691.7-55.3-3.3-7690.9-678.6-572.9-10502.8-263.8-1945.3-218.2-581.7-102.6-82.4-14.6-7653.1-465.7-12168.7-2131.5-2513.2-1338.5-151.6-68.2-12.1-765-135+50.7+3805.4+1911.2-327.2+644.5-2804</f>
        <v>-35170.49999999999</v>
      </c>
      <c r="M294" s="10"/>
      <c r="N294" s="50">
        <f t="shared" si="84"/>
        <v>256993.10000000003</v>
      </c>
      <c r="O294" s="141"/>
      <c r="P294" s="142">
        <f t="shared" si="85"/>
        <v>256993.10000000003</v>
      </c>
    </row>
    <row r="295" spans="1:16" ht="12.75">
      <c r="A295" s="62" t="s">
        <v>125</v>
      </c>
      <c r="B295" s="43">
        <f aca="true" t="shared" si="86" ref="B295:K295">B296+B342</f>
        <v>356854</v>
      </c>
      <c r="C295" s="6">
        <f t="shared" si="86"/>
        <v>4409330.4</v>
      </c>
      <c r="D295" s="6">
        <f>D296+D342</f>
        <v>24633.5</v>
      </c>
      <c r="E295" s="44">
        <f t="shared" si="86"/>
        <v>4790817.900000001</v>
      </c>
      <c r="F295" s="101">
        <f>F296+F342</f>
        <v>93879.90000000001</v>
      </c>
      <c r="G295" s="6">
        <f>G296+G342</f>
        <v>-91955.3</v>
      </c>
      <c r="H295" s="44">
        <f t="shared" si="86"/>
        <v>4792742.500000001</v>
      </c>
      <c r="I295" s="101">
        <f>I296+I342</f>
        <v>124400.00000000001</v>
      </c>
      <c r="J295" s="6">
        <f>J296+J342</f>
        <v>0</v>
      </c>
      <c r="K295" s="44">
        <f t="shared" si="86"/>
        <v>4917142.5</v>
      </c>
      <c r="L295" s="97">
        <f>L296+L342</f>
        <v>89653.29999999999</v>
      </c>
      <c r="M295" s="6">
        <f>M296+M342</f>
        <v>0</v>
      </c>
      <c r="N295" s="44">
        <f>N296+N342</f>
        <v>5006795.8</v>
      </c>
      <c r="O295" s="129"/>
      <c r="P295" s="110">
        <f>P296+P342</f>
        <v>4958652.899999999</v>
      </c>
    </row>
    <row r="296" spans="1:16" ht="12.75">
      <c r="A296" s="71" t="s">
        <v>68</v>
      </c>
      <c r="B296" s="53">
        <f aca="true" t="shared" si="87" ref="B296:H296">SUM(B298:B341)</f>
        <v>345504</v>
      </c>
      <c r="C296" s="12">
        <f t="shared" si="87"/>
        <v>4391872.2</v>
      </c>
      <c r="D296" s="12">
        <f t="shared" si="87"/>
        <v>5873.5</v>
      </c>
      <c r="E296" s="54">
        <f t="shared" si="87"/>
        <v>4743249.700000001</v>
      </c>
      <c r="F296" s="102">
        <f t="shared" si="87"/>
        <v>85168.20000000001</v>
      </c>
      <c r="G296" s="12">
        <f t="shared" si="87"/>
        <v>-92153.3</v>
      </c>
      <c r="H296" s="54">
        <f t="shared" si="87"/>
        <v>4736264.600000001</v>
      </c>
      <c r="I296" s="102">
        <f aca="true" t="shared" si="88" ref="I296:N296">SUM(I298:I341)</f>
        <v>89197.90000000001</v>
      </c>
      <c r="J296" s="12">
        <f t="shared" si="88"/>
        <v>0</v>
      </c>
      <c r="K296" s="54">
        <f t="shared" si="88"/>
        <v>4825462.5</v>
      </c>
      <c r="L296" s="153">
        <f t="shared" si="88"/>
        <v>54820.6</v>
      </c>
      <c r="M296" s="12">
        <f t="shared" si="88"/>
        <v>0</v>
      </c>
      <c r="N296" s="54">
        <f t="shared" si="88"/>
        <v>4880283.1</v>
      </c>
      <c r="O296" s="133"/>
      <c r="P296" s="111">
        <f>SUM(P298:P341)</f>
        <v>4832182.199999999</v>
      </c>
    </row>
    <row r="297" spans="1:16" ht="12.75">
      <c r="A297" s="63" t="s">
        <v>38</v>
      </c>
      <c r="B297" s="45"/>
      <c r="C297" s="7"/>
      <c r="D297" s="7"/>
      <c r="E297" s="46"/>
      <c r="F297" s="57"/>
      <c r="G297" s="7"/>
      <c r="H297" s="46"/>
      <c r="I297" s="57"/>
      <c r="J297" s="7"/>
      <c r="K297" s="46"/>
      <c r="L297" s="57"/>
      <c r="M297" s="7"/>
      <c r="N297" s="46"/>
      <c r="O297" s="128"/>
      <c r="P297" s="126"/>
    </row>
    <row r="298" spans="1:16" ht="12.75">
      <c r="A298" s="69" t="s">
        <v>101</v>
      </c>
      <c r="B298" s="45">
        <v>323675</v>
      </c>
      <c r="C298" s="7"/>
      <c r="D298" s="7">
        <v>6379.4</v>
      </c>
      <c r="E298" s="46">
        <f>B298+C298+D298</f>
        <v>330054.4</v>
      </c>
      <c r="F298" s="57">
        <f>1060+504</f>
        <v>1564</v>
      </c>
      <c r="G298" s="7">
        <v>222.2</v>
      </c>
      <c r="H298" s="46">
        <f>E298+F298+G298</f>
        <v>331840.60000000003</v>
      </c>
      <c r="I298" s="57">
        <f>500+100+365+10960.9</f>
        <v>11925.9</v>
      </c>
      <c r="J298" s="7"/>
      <c r="K298" s="46">
        <f>H298+I298+J298</f>
        <v>343766.50000000006</v>
      </c>
      <c r="L298" s="57">
        <f>913+865.5+425.9+104+250</f>
        <v>2558.4</v>
      </c>
      <c r="M298" s="7"/>
      <c r="N298" s="46">
        <f>K298+L298+M298</f>
        <v>346324.9000000001</v>
      </c>
      <c r="O298" s="128"/>
      <c r="P298" s="126">
        <f t="shared" si="85"/>
        <v>346324.9000000001</v>
      </c>
    </row>
    <row r="299" spans="1:16" ht="12.75">
      <c r="A299" s="69" t="s">
        <v>126</v>
      </c>
      <c r="B299" s="45"/>
      <c r="C299" s="7"/>
      <c r="D299" s="7"/>
      <c r="E299" s="46"/>
      <c r="F299" s="57"/>
      <c r="G299" s="7"/>
      <c r="H299" s="46"/>
      <c r="I299" s="57"/>
      <c r="J299" s="7"/>
      <c r="K299" s="46"/>
      <c r="L299" s="57"/>
      <c r="M299" s="7"/>
      <c r="N299" s="46"/>
      <c r="O299" s="128"/>
      <c r="P299" s="126"/>
    </row>
    <row r="300" spans="1:16" ht="12.75">
      <c r="A300" s="69" t="s">
        <v>127</v>
      </c>
      <c r="B300" s="45"/>
      <c r="C300" s="7">
        <v>1618846</v>
      </c>
      <c r="D300" s="7"/>
      <c r="E300" s="46">
        <f aca="true" t="shared" si="89" ref="E300:E341">B300+C300+D300</f>
        <v>1618846</v>
      </c>
      <c r="F300" s="57"/>
      <c r="G300" s="7">
        <v>-34479.5</v>
      </c>
      <c r="H300" s="46">
        <f aca="true" t="shared" si="90" ref="H300:H341">E300+F300+G300</f>
        <v>1584366.5</v>
      </c>
      <c r="I300" s="57"/>
      <c r="J300" s="7"/>
      <c r="K300" s="46">
        <f aca="true" t="shared" si="91" ref="K300:K341">H300+I300+J300</f>
        <v>1584366.5</v>
      </c>
      <c r="L300" s="57">
        <v>-55</v>
      </c>
      <c r="M300" s="7"/>
      <c r="N300" s="46">
        <f aca="true" t="shared" si="92" ref="N300:N341">K300+L300+M300</f>
        <v>1584311.5</v>
      </c>
      <c r="O300" s="128"/>
      <c r="P300" s="126">
        <f t="shared" si="85"/>
        <v>1584311.5</v>
      </c>
    </row>
    <row r="301" spans="1:16" ht="12.75">
      <c r="A301" s="69" t="s">
        <v>128</v>
      </c>
      <c r="B301" s="45"/>
      <c r="C301" s="7">
        <v>50600</v>
      </c>
      <c r="D301" s="7"/>
      <c r="E301" s="46">
        <f t="shared" si="89"/>
        <v>50600</v>
      </c>
      <c r="F301" s="57">
        <v>50000</v>
      </c>
      <c r="G301" s="7"/>
      <c r="H301" s="46">
        <f t="shared" si="90"/>
        <v>100600</v>
      </c>
      <c r="I301" s="57">
        <v>47510</v>
      </c>
      <c r="J301" s="7"/>
      <c r="K301" s="46">
        <f t="shared" si="91"/>
        <v>148110</v>
      </c>
      <c r="L301" s="57">
        <v>46990</v>
      </c>
      <c r="M301" s="7"/>
      <c r="N301" s="46">
        <f t="shared" si="92"/>
        <v>195100</v>
      </c>
      <c r="O301" s="128"/>
      <c r="P301" s="126">
        <f t="shared" si="85"/>
        <v>195100</v>
      </c>
    </row>
    <row r="302" spans="1:16" ht="12.75">
      <c r="A302" s="69" t="s">
        <v>129</v>
      </c>
      <c r="B302" s="45"/>
      <c r="C302" s="9">
        <v>2714370</v>
      </c>
      <c r="D302" s="7"/>
      <c r="E302" s="46">
        <f t="shared" si="89"/>
        <v>2714370</v>
      </c>
      <c r="F302" s="57"/>
      <c r="G302" s="7">
        <v>-57851.5</v>
      </c>
      <c r="H302" s="46">
        <f t="shared" si="90"/>
        <v>2656518.5</v>
      </c>
      <c r="I302" s="57"/>
      <c r="J302" s="7"/>
      <c r="K302" s="46">
        <f t="shared" si="91"/>
        <v>2656518.5</v>
      </c>
      <c r="L302" s="57">
        <v>55</v>
      </c>
      <c r="M302" s="7"/>
      <c r="N302" s="46">
        <f t="shared" si="92"/>
        <v>2656573.5</v>
      </c>
      <c r="O302" s="128"/>
      <c r="P302" s="126">
        <f t="shared" si="85"/>
        <v>2656573.5</v>
      </c>
    </row>
    <row r="303" spans="1:16" ht="12.75">
      <c r="A303" s="69" t="s">
        <v>130</v>
      </c>
      <c r="B303" s="45"/>
      <c r="C303" s="7">
        <v>341.6</v>
      </c>
      <c r="D303" s="7"/>
      <c r="E303" s="46">
        <f t="shared" si="89"/>
        <v>341.6</v>
      </c>
      <c r="F303" s="57"/>
      <c r="G303" s="7"/>
      <c r="H303" s="46">
        <f t="shared" si="90"/>
        <v>341.6</v>
      </c>
      <c r="I303" s="57"/>
      <c r="J303" s="7"/>
      <c r="K303" s="46">
        <f t="shared" si="91"/>
        <v>341.6</v>
      </c>
      <c r="L303" s="57"/>
      <c r="M303" s="7"/>
      <c r="N303" s="46">
        <f t="shared" si="92"/>
        <v>341.6</v>
      </c>
      <c r="O303" s="128"/>
      <c r="P303" s="126">
        <f t="shared" si="85"/>
        <v>341.6</v>
      </c>
    </row>
    <row r="304" spans="1:16" ht="12.75" hidden="1">
      <c r="A304" s="69" t="s">
        <v>131</v>
      </c>
      <c r="B304" s="45"/>
      <c r="C304" s="7"/>
      <c r="D304" s="7"/>
      <c r="E304" s="46">
        <f t="shared" si="89"/>
        <v>0</v>
      </c>
      <c r="F304" s="57"/>
      <c r="G304" s="7"/>
      <c r="H304" s="46">
        <f t="shared" si="90"/>
        <v>0</v>
      </c>
      <c r="I304" s="57"/>
      <c r="J304" s="7"/>
      <c r="K304" s="46">
        <f t="shared" si="91"/>
        <v>0</v>
      </c>
      <c r="L304" s="57"/>
      <c r="M304" s="7"/>
      <c r="N304" s="46">
        <f t="shared" si="92"/>
        <v>0</v>
      </c>
      <c r="O304" s="128"/>
      <c r="P304" s="126">
        <f t="shared" si="85"/>
        <v>0</v>
      </c>
    </row>
    <row r="305" spans="1:16" ht="12.75" hidden="1">
      <c r="A305" s="69" t="s">
        <v>269</v>
      </c>
      <c r="B305" s="45"/>
      <c r="C305" s="7"/>
      <c r="D305" s="7"/>
      <c r="E305" s="46">
        <f t="shared" si="89"/>
        <v>0</v>
      </c>
      <c r="F305" s="57"/>
      <c r="G305" s="7"/>
      <c r="H305" s="46">
        <f t="shared" si="90"/>
        <v>0</v>
      </c>
      <c r="I305" s="57"/>
      <c r="J305" s="7"/>
      <c r="K305" s="46">
        <f t="shared" si="91"/>
        <v>0</v>
      </c>
      <c r="L305" s="57"/>
      <c r="M305" s="7"/>
      <c r="N305" s="46">
        <f t="shared" si="92"/>
        <v>0</v>
      </c>
      <c r="O305" s="128"/>
      <c r="P305" s="126">
        <f t="shared" si="85"/>
        <v>0</v>
      </c>
    </row>
    <row r="306" spans="1:16" ht="12.75" hidden="1">
      <c r="A306" s="69" t="s">
        <v>132</v>
      </c>
      <c r="B306" s="45"/>
      <c r="C306" s="7"/>
      <c r="D306" s="7"/>
      <c r="E306" s="46">
        <f t="shared" si="89"/>
        <v>0</v>
      </c>
      <c r="F306" s="57"/>
      <c r="G306" s="7"/>
      <c r="H306" s="46">
        <f t="shared" si="90"/>
        <v>0</v>
      </c>
      <c r="I306" s="57"/>
      <c r="J306" s="7"/>
      <c r="K306" s="46">
        <f t="shared" si="91"/>
        <v>0</v>
      </c>
      <c r="L306" s="57"/>
      <c r="M306" s="7"/>
      <c r="N306" s="46">
        <f t="shared" si="92"/>
        <v>0</v>
      </c>
      <c r="O306" s="128"/>
      <c r="P306" s="126">
        <f t="shared" si="85"/>
        <v>0</v>
      </c>
    </row>
    <row r="307" spans="1:16" ht="12.75" hidden="1">
      <c r="A307" s="69" t="s">
        <v>209</v>
      </c>
      <c r="B307" s="45"/>
      <c r="C307" s="7"/>
      <c r="D307" s="7"/>
      <c r="E307" s="46">
        <f t="shared" si="89"/>
        <v>0</v>
      </c>
      <c r="F307" s="57"/>
      <c r="G307" s="7"/>
      <c r="H307" s="46">
        <f t="shared" si="90"/>
        <v>0</v>
      </c>
      <c r="I307" s="57"/>
      <c r="J307" s="7"/>
      <c r="K307" s="46">
        <f t="shared" si="91"/>
        <v>0</v>
      </c>
      <c r="L307" s="57"/>
      <c r="M307" s="7"/>
      <c r="N307" s="46">
        <f t="shared" si="92"/>
        <v>0</v>
      </c>
      <c r="O307" s="128"/>
      <c r="P307" s="126">
        <f t="shared" si="85"/>
        <v>0</v>
      </c>
    </row>
    <row r="308" spans="1:16" ht="12.75" hidden="1">
      <c r="A308" s="69" t="s">
        <v>133</v>
      </c>
      <c r="B308" s="45"/>
      <c r="C308" s="7"/>
      <c r="D308" s="7"/>
      <c r="E308" s="46">
        <f t="shared" si="89"/>
        <v>0</v>
      </c>
      <c r="F308" s="57"/>
      <c r="G308" s="7"/>
      <c r="H308" s="46">
        <f t="shared" si="90"/>
        <v>0</v>
      </c>
      <c r="I308" s="57"/>
      <c r="J308" s="7"/>
      <c r="K308" s="46">
        <f t="shared" si="91"/>
        <v>0</v>
      </c>
      <c r="L308" s="57"/>
      <c r="M308" s="7"/>
      <c r="N308" s="46">
        <f t="shared" si="92"/>
        <v>0</v>
      </c>
      <c r="O308" s="128"/>
      <c r="P308" s="126">
        <f t="shared" si="85"/>
        <v>0</v>
      </c>
    </row>
    <row r="309" spans="1:16" ht="12.75">
      <c r="A309" s="69" t="s">
        <v>134</v>
      </c>
      <c r="B309" s="45"/>
      <c r="C309" s="7"/>
      <c r="D309" s="7"/>
      <c r="E309" s="46">
        <f t="shared" si="89"/>
        <v>0</v>
      </c>
      <c r="F309" s="57">
        <f>3865.7+3761.5+213.8</f>
        <v>7841</v>
      </c>
      <c r="G309" s="7"/>
      <c r="H309" s="46">
        <f t="shared" si="90"/>
        <v>7841</v>
      </c>
      <c r="I309" s="57">
        <v>1326.5</v>
      </c>
      <c r="J309" s="7"/>
      <c r="K309" s="46">
        <f t="shared" si="91"/>
        <v>9167.5</v>
      </c>
      <c r="L309" s="57"/>
      <c r="M309" s="7"/>
      <c r="N309" s="46">
        <f t="shared" si="92"/>
        <v>9167.5</v>
      </c>
      <c r="O309" s="128"/>
      <c r="P309" s="126">
        <f t="shared" si="85"/>
        <v>9167.5</v>
      </c>
    </row>
    <row r="310" spans="1:16" ht="12.75" hidden="1">
      <c r="A310" s="69" t="s">
        <v>264</v>
      </c>
      <c r="B310" s="45"/>
      <c r="C310" s="7"/>
      <c r="D310" s="7"/>
      <c r="E310" s="46">
        <f t="shared" si="89"/>
        <v>0</v>
      </c>
      <c r="F310" s="158"/>
      <c r="G310" s="7"/>
      <c r="H310" s="46">
        <f t="shared" si="90"/>
        <v>0</v>
      </c>
      <c r="I310" s="57"/>
      <c r="J310" s="7"/>
      <c r="K310" s="46">
        <f t="shared" si="91"/>
        <v>0</v>
      </c>
      <c r="L310" s="57"/>
      <c r="M310" s="7"/>
      <c r="N310" s="46">
        <f t="shared" si="92"/>
        <v>0</v>
      </c>
      <c r="O310" s="128"/>
      <c r="P310" s="126">
        <f t="shared" si="85"/>
        <v>0</v>
      </c>
    </row>
    <row r="311" spans="1:16" ht="12.75" hidden="1">
      <c r="A311" s="87" t="s">
        <v>260</v>
      </c>
      <c r="B311" s="45"/>
      <c r="C311" s="7"/>
      <c r="D311" s="7"/>
      <c r="E311" s="46">
        <f t="shared" si="89"/>
        <v>0</v>
      </c>
      <c r="F311" s="57"/>
      <c r="G311" s="7"/>
      <c r="H311" s="46">
        <f t="shared" si="90"/>
        <v>0</v>
      </c>
      <c r="I311" s="57"/>
      <c r="J311" s="7"/>
      <c r="K311" s="46">
        <f t="shared" si="91"/>
        <v>0</v>
      </c>
      <c r="L311" s="57"/>
      <c r="M311" s="7"/>
      <c r="N311" s="46">
        <f t="shared" si="92"/>
        <v>0</v>
      </c>
      <c r="O311" s="128"/>
      <c r="P311" s="126">
        <f t="shared" si="85"/>
        <v>0</v>
      </c>
    </row>
    <row r="312" spans="1:16" ht="12.75">
      <c r="A312" s="87" t="s">
        <v>278</v>
      </c>
      <c r="B312" s="45"/>
      <c r="C312" s="7"/>
      <c r="D312" s="7"/>
      <c r="E312" s="46">
        <f t="shared" si="89"/>
        <v>0</v>
      </c>
      <c r="F312" s="57"/>
      <c r="G312" s="7"/>
      <c r="H312" s="46">
        <f t="shared" si="90"/>
        <v>0</v>
      </c>
      <c r="I312" s="57"/>
      <c r="J312" s="7"/>
      <c r="K312" s="46">
        <f t="shared" si="91"/>
        <v>0</v>
      </c>
      <c r="L312" s="57">
        <v>773.7</v>
      </c>
      <c r="M312" s="7"/>
      <c r="N312" s="46">
        <f t="shared" si="92"/>
        <v>773.7</v>
      </c>
      <c r="O312" s="128"/>
      <c r="P312" s="126">
        <f t="shared" si="85"/>
        <v>773.7</v>
      </c>
    </row>
    <row r="313" spans="1:16" ht="12.75">
      <c r="A313" s="69" t="s">
        <v>259</v>
      </c>
      <c r="B313" s="45"/>
      <c r="C313" s="7"/>
      <c r="D313" s="7"/>
      <c r="E313" s="46">
        <f t="shared" si="89"/>
        <v>0</v>
      </c>
      <c r="F313" s="57"/>
      <c r="G313" s="7"/>
      <c r="H313" s="46">
        <f t="shared" si="90"/>
        <v>0</v>
      </c>
      <c r="I313" s="57">
        <v>1040</v>
      </c>
      <c r="J313" s="7"/>
      <c r="K313" s="46">
        <f t="shared" si="91"/>
        <v>1040</v>
      </c>
      <c r="L313" s="57"/>
      <c r="M313" s="7"/>
      <c r="N313" s="46">
        <f t="shared" si="92"/>
        <v>1040</v>
      </c>
      <c r="O313" s="128"/>
      <c r="P313" s="126">
        <f t="shared" si="85"/>
        <v>1040</v>
      </c>
    </row>
    <row r="314" spans="1:16" ht="12.75">
      <c r="A314" s="87" t="s">
        <v>335</v>
      </c>
      <c r="B314" s="45"/>
      <c r="C314" s="7"/>
      <c r="D314" s="7"/>
      <c r="E314" s="46"/>
      <c r="F314" s="57"/>
      <c r="G314" s="7"/>
      <c r="H314" s="46">
        <f t="shared" si="90"/>
        <v>0</v>
      </c>
      <c r="I314" s="57">
        <v>32.4</v>
      </c>
      <c r="J314" s="7"/>
      <c r="K314" s="46">
        <f t="shared" si="91"/>
        <v>32.4</v>
      </c>
      <c r="L314" s="57"/>
      <c r="M314" s="7"/>
      <c r="N314" s="46">
        <f t="shared" si="92"/>
        <v>32.4</v>
      </c>
      <c r="O314" s="128"/>
      <c r="P314" s="126"/>
    </row>
    <row r="315" spans="1:16" ht="12.75">
      <c r="A315" s="87" t="s">
        <v>336</v>
      </c>
      <c r="B315" s="45"/>
      <c r="C315" s="7"/>
      <c r="D315" s="7"/>
      <c r="E315" s="46">
        <f t="shared" si="89"/>
        <v>0</v>
      </c>
      <c r="F315" s="57"/>
      <c r="G315" s="7"/>
      <c r="H315" s="46">
        <f t="shared" si="90"/>
        <v>0</v>
      </c>
      <c r="I315" s="57">
        <v>58.6</v>
      </c>
      <c r="J315" s="7"/>
      <c r="K315" s="46">
        <f t="shared" si="91"/>
        <v>58.6</v>
      </c>
      <c r="L315" s="57"/>
      <c r="M315" s="7"/>
      <c r="N315" s="46">
        <f t="shared" si="92"/>
        <v>58.6</v>
      </c>
      <c r="O315" s="128"/>
      <c r="P315" s="126">
        <f t="shared" si="85"/>
        <v>58.6</v>
      </c>
    </row>
    <row r="316" spans="1:16" ht="12.75">
      <c r="A316" s="87" t="s">
        <v>277</v>
      </c>
      <c r="B316" s="45"/>
      <c r="C316" s="7"/>
      <c r="D316" s="7"/>
      <c r="E316" s="46">
        <f t="shared" si="89"/>
        <v>0</v>
      </c>
      <c r="F316" s="57">
        <v>1438.3</v>
      </c>
      <c r="G316" s="7"/>
      <c r="H316" s="46">
        <f t="shared" si="90"/>
        <v>1438.3</v>
      </c>
      <c r="I316" s="57"/>
      <c r="J316" s="7"/>
      <c r="K316" s="46">
        <f t="shared" si="91"/>
        <v>1438.3</v>
      </c>
      <c r="L316" s="57"/>
      <c r="M316" s="7"/>
      <c r="N316" s="46">
        <f t="shared" si="92"/>
        <v>1438.3</v>
      </c>
      <c r="O316" s="128"/>
      <c r="P316" s="126">
        <f t="shared" si="85"/>
        <v>1438.3</v>
      </c>
    </row>
    <row r="317" spans="1:16" ht="12.75" hidden="1">
      <c r="A317" s="67" t="s">
        <v>279</v>
      </c>
      <c r="B317" s="45"/>
      <c r="C317" s="7"/>
      <c r="D317" s="7"/>
      <c r="E317" s="46">
        <f t="shared" si="89"/>
        <v>0</v>
      </c>
      <c r="F317" s="57"/>
      <c r="G317" s="7"/>
      <c r="H317" s="46">
        <f t="shared" si="90"/>
        <v>0</v>
      </c>
      <c r="I317" s="57"/>
      <c r="J317" s="7"/>
      <c r="K317" s="46">
        <f t="shared" si="91"/>
        <v>0</v>
      </c>
      <c r="L317" s="57"/>
      <c r="M317" s="7"/>
      <c r="N317" s="46">
        <f t="shared" si="92"/>
        <v>0</v>
      </c>
      <c r="O317" s="128"/>
      <c r="P317" s="126">
        <f t="shared" si="85"/>
        <v>0</v>
      </c>
    </row>
    <row r="318" spans="1:16" ht="12.75">
      <c r="A318" s="87" t="s">
        <v>332</v>
      </c>
      <c r="B318" s="45"/>
      <c r="C318" s="7"/>
      <c r="D318" s="7"/>
      <c r="E318" s="46">
        <f t="shared" si="89"/>
        <v>0</v>
      </c>
      <c r="F318" s="57">
        <v>158.9</v>
      </c>
      <c r="G318" s="7"/>
      <c r="H318" s="46">
        <f t="shared" si="90"/>
        <v>158.9</v>
      </c>
      <c r="I318" s="57">
        <v>-59.5</v>
      </c>
      <c r="J318" s="7"/>
      <c r="K318" s="46">
        <f t="shared" si="91"/>
        <v>99.4</v>
      </c>
      <c r="L318" s="57"/>
      <c r="M318" s="7"/>
      <c r="N318" s="46">
        <f t="shared" si="92"/>
        <v>99.4</v>
      </c>
      <c r="O318" s="128"/>
      <c r="P318" s="126">
        <f t="shared" si="85"/>
        <v>99.4</v>
      </c>
    </row>
    <row r="319" spans="1:16" ht="12.75" hidden="1">
      <c r="A319" s="69" t="s">
        <v>237</v>
      </c>
      <c r="B319" s="45"/>
      <c r="C319" s="7"/>
      <c r="D319" s="7"/>
      <c r="E319" s="46">
        <f t="shared" si="89"/>
        <v>0</v>
      </c>
      <c r="F319" s="57"/>
      <c r="G319" s="7"/>
      <c r="H319" s="46">
        <f t="shared" si="90"/>
        <v>0</v>
      </c>
      <c r="I319" s="57"/>
      <c r="J319" s="7"/>
      <c r="K319" s="46">
        <f t="shared" si="91"/>
        <v>0</v>
      </c>
      <c r="L319" s="57"/>
      <c r="M319" s="7"/>
      <c r="N319" s="46">
        <f t="shared" si="92"/>
        <v>0</v>
      </c>
      <c r="O319" s="128"/>
      <c r="P319" s="126">
        <f t="shared" si="85"/>
        <v>0</v>
      </c>
    </row>
    <row r="320" spans="1:16" ht="12.75" hidden="1">
      <c r="A320" s="69" t="s">
        <v>218</v>
      </c>
      <c r="B320" s="45"/>
      <c r="C320" s="7"/>
      <c r="D320" s="7"/>
      <c r="E320" s="46">
        <f t="shared" si="89"/>
        <v>0</v>
      </c>
      <c r="F320" s="57"/>
      <c r="G320" s="7"/>
      <c r="H320" s="46">
        <f t="shared" si="90"/>
        <v>0</v>
      </c>
      <c r="I320" s="57"/>
      <c r="J320" s="7"/>
      <c r="K320" s="46">
        <f t="shared" si="91"/>
        <v>0</v>
      </c>
      <c r="L320" s="57"/>
      <c r="M320" s="7"/>
      <c r="N320" s="46">
        <f t="shared" si="92"/>
        <v>0</v>
      </c>
      <c r="O320" s="128"/>
      <c r="P320" s="126">
        <f t="shared" si="85"/>
        <v>0</v>
      </c>
    </row>
    <row r="321" spans="1:16" ht="12.75" hidden="1">
      <c r="A321" s="69" t="s">
        <v>135</v>
      </c>
      <c r="B321" s="45"/>
      <c r="C321" s="7"/>
      <c r="D321" s="7"/>
      <c r="E321" s="46">
        <f t="shared" si="89"/>
        <v>0</v>
      </c>
      <c r="F321" s="57"/>
      <c r="G321" s="7"/>
      <c r="H321" s="46">
        <f t="shared" si="90"/>
        <v>0</v>
      </c>
      <c r="I321" s="57"/>
      <c r="J321" s="7"/>
      <c r="K321" s="46">
        <f t="shared" si="91"/>
        <v>0</v>
      </c>
      <c r="L321" s="57"/>
      <c r="M321" s="7"/>
      <c r="N321" s="46">
        <f t="shared" si="92"/>
        <v>0</v>
      </c>
      <c r="O321" s="128"/>
      <c r="P321" s="126">
        <f t="shared" si="85"/>
        <v>0</v>
      </c>
    </row>
    <row r="322" spans="1:16" ht="12.75" hidden="1">
      <c r="A322" s="69" t="s">
        <v>198</v>
      </c>
      <c r="B322" s="45"/>
      <c r="C322" s="7"/>
      <c r="D322" s="7"/>
      <c r="E322" s="46">
        <f t="shared" si="89"/>
        <v>0</v>
      </c>
      <c r="F322" s="57"/>
      <c r="G322" s="7"/>
      <c r="H322" s="46">
        <f t="shared" si="90"/>
        <v>0</v>
      </c>
      <c r="I322" s="57"/>
      <c r="J322" s="7"/>
      <c r="K322" s="46">
        <f t="shared" si="91"/>
        <v>0</v>
      </c>
      <c r="L322" s="57"/>
      <c r="M322" s="7"/>
      <c r="N322" s="46">
        <f t="shared" si="92"/>
        <v>0</v>
      </c>
      <c r="O322" s="128"/>
      <c r="P322" s="126">
        <f t="shared" si="85"/>
        <v>0</v>
      </c>
    </row>
    <row r="323" spans="1:16" ht="12.75" hidden="1">
      <c r="A323" s="87" t="s">
        <v>197</v>
      </c>
      <c r="B323" s="45"/>
      <c r="C323" s="7"/>
      <c r="D323" s="7"/>
      <c r="E323" s="46">
        <f t="shared" si="89"/>
        <v>0</v>
      </c>
      <c r="F323" s="57"/>
      <c r="G323" s="7"/>
      <c r="H323" s="46">
        <f t="shared" si="90"/>
        <v>0</v>
      </c>
      <c r="I323" s="57"/>
      <c r="J323" s="7"/>
      <c r="K323" s="46">
        <f t="shared" si="91"/>
        <v>0</v>
      </c>
      <c r="L323" s="57"/>
      <c r="M323" s="7"/>
      <c r="N323" s="46">
        <f t="shared" si="92"/>
        <v>0</v>
      </c>
      <c r="O323" s="128"/>
      <c r="P323" s="126">
        <f t="shared" si="85"/>
        <v>0</v>
      </c>
    </row>
    <row r="324" spans="1:16" ht="12.75" hidden="1">
      <c r="A324" s="87" t="s">
        <v>236</v>
      </c>
      <c r="B324" s="45"/>
      <c r="C324" s="7"/>
      <c r="D324" s="7"/>
      <c r="E324" s="46">
        <f t="shared" si="89"/>
        <v>0</v>
      </c>
      <c r="F324" s="57"/>
      <c r="G324" s="7"/>
      <c r="H324" s="46">
        <f t="shared" si="90"/>
        <v>0</v>
      </c>
      <c r="I324" s="57"/>
      <c r="J324" s="7"/>
      <c r="K324" s="46">
        <f t="shared" si="91"/>
        <v>0</v>
      </c>
      <c r="L324" s="57"/>
      <c r="M324" s="7"/>
      <c r="N324" s="46">
        <f t="shared" si="92"/>
        <v>0</v>
      </c>
      <c r="O324" s="128"/>
      <c r="P324" s="126">
        <f t="shared" si="85"/>
        <v>0</v>
      </c>
    </row>
    <row r="325" spans="1:16" ht="12.75">
      <c r="A325" s="69" t="s">
        <v>136</v>
      </c>
      <c r="B325" s="45"/>
      <c r="C325" s="7"/>
      <c r="D325" s="7"/>
      <c r="E325" s="46">
        <f t="shared" si="89"/>
        <v>0</v>
      </c>
      <c r="F325" s="57"/>
      <c r="G325" s="7"/>
      <c r="H325" s="46">
        <f t="shared" si="90"/>
        <v>0</v>
      </c>
      <c r="I325" s="57">
        <v>228</v>
      </c>
      <c r="J325" s="7"/>
      <c r="K325" s="46">
        <f t="shared" si="91"/>
        <v>228</v>
      </c>
      <c r="L325" s="57"/>
      <c r="M325" s="7"/>
      <c r="N325" s="46">
        <f t="shared" si="92"/>
        <v>228</v>
      </c>
      <c r="O325" s="128"/>
      <c r="P325" s="126">
        <f t="shared" si="85"/>
        <v>228</v>
      </c>
    </row>
    <row r="326" spans="1:16" ht="12.75">
      <c r="A326" s="69" t="s">
        <v>320</v>
      </c>
      <c r="B326" s="45"/>
      <c r="C326" s="7">
        <v>1166.9</v>
      </c>
      <c r="D326" s="7"/>
      <c r="E326" s="46">
        <f t="shared" si="89"/>
        <v>1166.9</v>
      </c>
      <c r="F326" s="57"/>
      <c r="G326" s="7"/>
      <c r="H326" s="46">
        <f t="shared" si="90"/>
        <v>1166.9</v>
      </c>
      <c r="I326" s="57"/>
      <c r="J326" s="7"/>
      <c r="K326" s="46">
        <f t="shared" si="91"/>
        <v>1166.9</v>
      </c>
      <c r="L326" s="57"/>
      <c r="M326" s="7"/>
      <c r="N326" s="46">
        <f t="shared" si="92"/>
        <v>1166.9</v>
      </c>
      <c r="O326" s="128"/>
      <c r="P326" s="126">
        <f t="shared" si="85"/>
        <v>1166.9</v>
      </c>
    </row>
    <row r="327" spans="1:16" ht="12.75">
      <c r="A327" s="65" t="s">
        <v>333</v>
      </c>
      <c r="B327" s="45"/>
      <c r="C327" s="7"/>
      <c r="D327" s="7"/>
      <c r="E327" s="46"/>
      <c r="F327" s="57"/>
      <c r="G327" s="7"/>
      <c r="H327" s="46">
        <f t="shared" si="90"/>
        <v>0</v>
      </c>
      <c r="I327" s="57">
        <v>390</v>
      </c>
      <c r="J327" s="7"/>
      <c r="K327" s="46">
        <f t="shared" si="91"/>
        <v>390</v>
      </c>
      <c r="L327" s="57"/>
      <c r="M327" s="7"/>
      <c r="N327" s="46">
        <f t="shared" si="92"/>
        <v>390</v>
      </c>
      <c r="O327" s="128"/>
      <c r="P327" s="126"/>
    </row>
    <row r="328" spans="1:16" ht="12.75">
      <c r="A328" s="69" t="s">
        <v>292</v>
      </c>
      <c r="B328" s="45"/>
      <c r="C328" s="7"/>
      <c r="D328" s="7">
        <v>132.3</v>
      </c>
      <c r="E328" s="46">
        <f t="shared" si="89"/>
        <v>132.3</v>
      </c>
      <c r="F328" s="57"/>
      <c r="G328" s="7"/>
      <c r="H328" s="46">
        <f t="shared" si="90"/>
        <v>132.3</v>
      </c>
      <c r="I328" s="57"/>
      <c r="J328" s="7"/>
      <c r="K328" s="46">
        <f t="shared" si="91"/>
        <v>132.3</v>
      </c>
      <c r="L328" s="57"/>
      <c r="M328" s="7"/>
      <c r="N328" s="46">
        <f t="shared" si="92"/>
        <v>132.3</v>
      </c>
      <c r="O328" s="128"/>
      <c r="P328" s="126">
        <f t="shared" si="85"/>
        <v>132.3</v>
      </c>
    </row>
    <row r="329" spans="1:16" ht="12.75">
      <c r="A329" s="69" t="s">
        <v>205</v>
      </c>
      <c r="B329" s="45"/>
      <c r="C329" s="7">
        <f>288.1+1188</f>
        <v>1476.1</v>
      </c>
      <c r="D329" s="7"/>
      <c r="E329" s="46">
        <f t="shared" si="89"/>
        <v>1476.1</v>
      </c>
      <c r="F329" s="57">
        <v>1083.4</v>
      </c>
      <c r="G329" s="7"/>
      <c r="H329" s="46">
        <f t="shared" si="90"/>
        <v>2559.5</v>
      </c>
      <c r="I329" s="57">
        <f>1171.8-1188</f>
        <v>-16.200000000000045</v>
      </c>
      <c r="J329" s="7"/>
      <c r="K329" s="46">
        <f t="shared" si="91"/>
        <v>2543.3</v>
      </c>
      <c r="L329" s="57"/>
      <c r="M329" s="7"/>
      <c r="N329" s="46">
        <f t="shared" si="92"/>
        <v>2543.3</v>
      </c>
      <c r="O329" s="128"/>
      <c r="P329" s="126">
        <f t="shared" si="85"/>
        <v>2543.3</v>
      </c>
    </row>
    <row r="330" spans="1:16" ht="12.75">
      <c r="A330" s="87" t="s">
        <v>293</v>
      </c>
      <c r="B330" s="45"/>
      <c r="C330" s="7"/>
      <c r="D330" s="7">
        <v>3167.4</v>
      </c>
      <c r="E330" s="46">
        <f t="shared" si="89"/>
        <v>3167.4</v>
      </c>
      <c r="F330" s="57"/>
      <c r="G330" s="7"/>
      <c r="H330" s="46">
        <f t="shared" si="90"/>
        <v>3167.4</v>
      </c>
      <c r="I330" s="57"/>
      <c r="J330" s="7"/>
      <c r="K330" s="46">
        <f t="shared" si="91"/>
        <v>3167.4</v>
      </c>
      <c r="L330" s="57"/>
      <c r="M330" s="7"/>
      <c r="N330" s="46">
        <f t="shared" si="92"/>
        <v>3167.4</v>
      </c>
      <c r="O330" s="128"/>
      <c r="P330" s="126">
        <f t="shared" si="85"/>
        <v>3167.4</v>
      </c>
    </row>
    <row r="331" spans="1:16" ht="12.75">
      <c r="A331" s="87" t="s">
        <v>270</v>
      </c>
      <c r="B331" s="45"/>
      <c r="C331" s="7"/>
      <c r="D331" s="7"/>
      <c r="E331" s="46">
        <f t="shared" si="89"/>
        <v>0</v>
      </c>
      <c r="F331" s="57"/>
      <c r="G331" s="7"/>
      <c r="H331" s="46">
        <f t="shared" si="90"/>
        <v>0</v>
      </c>
      <c r="I331" s="57">
        <v>2895.3</v>
      </c>
      <c r="J331" s="7"/>
      <c r="K331" s="46">
        <f t="shared" si="91"/>
        <v>2895.3</v>
      </c>
      <c r="L331" s="57"/>
      <c r="M331" s="7"/>
      <c r="N331" s="46">
        <f t="shared" si="92"/>
        <v>2895.3</v>
      </c>
      <c r="O331" s="128"/>
      <c r="P331" s="126">
        <f t="shared" si="85"/>
        <v>2895.3</v>
      </c>
    </row>
    <row r="332" spans="1:16" ht="12.75">
      <c r="A332" s="69" t="s">
        <v>219</v>
      </c>
      <c r="B332" s="45"/>
      <c r="C332" s="7">
        <f>241.7+186.5+260</f>
        <v>688.2</v>
      </c>
      <c r="D332" s="7"/>
      <c r="E332" s="46">
        <f t="shared" si="89"/>
        <v>688.2</v>
      </c>
      <c r="F332" s="57">
        <f>460.6+149.2+367.6+202.5+250.2+562.6</f>
        <v>1992.7000000000003</v>
      </c>
      <c r="G332" s="7"/>
      <c r="H332" s="46">
        <f t="shared" si="90"/>
        <v>2680.9000000000005</v>
      </c>
      <c r="I332" s="57">
        <v>1260.9</v>
      </c>
      <c r="J332" s="7"/>
      <c r="K332" s="46">
        <f t="shared" si="91"/>
        <v>3941.8000000000006</v>
      </c>
      <c r="L332" s="57"/>
      <c r="M332" s="7"/>
      <c r="N332" s="46">
        <f t="shared" si="92"/>
        <v>3941.8000000000006</v>
      </c>
      <c r="O332" s="128"/>
      <c r="P332" s="126">
        <f t="shared" si="85"/>
        <v>3941.8000000000006</v>
      </c>
    </row>
    <row r="333" spans="1:16" ht="12.75">
      <c r="A333" s="69" t="s">
        <v>319</v>
      </c>
      <c r="B333" s="45"/>
      <c r="C333" s="7">
        <v>2291.4</v>
      </c>
      <c r="D333" s="7"/>
      <c r="E333" s="46">
        <f t="shared" si="89"/>
        <v>2291.4</v>
      </c>
      <c r="F333" s="57">
        <f>1876.4+612.2+2419.2+1009.9+4291.9+2824.4+823.8+212+606.2</f>
        <v>14675.999999999998</v>
      </c>
      <c r="G333" s="7"/>
      <c r="H333" s="46">
        <f t="shared" si="90"/>
        <v>16967.399999999998</v>
      </c>
      <c r="I333" s="57">
        <f>3529.2+3600.7+584+676.8+1692.7+2943.6+2226.2+2906+1759.1+3343.3+1748.4+955</f>
        <v>25965</v>
      </c>
      <c r="J333" s="7"/>
      <c r="K333" s="46">
        <f t="shared" si="91"/>
        <v>42932.399999999994</v>
      </c>
      <c r="L333" s="57">
        <f>1121.5+1030.2+1204.1</f>
        <v>3355.7999999999997</v>
      </c>
      <c r="M333" s="7"/>
      <c r="N333" s="46">
        <f t="shared" si="92"/>
        <v>46288.2</v>
      </c>
      <c r="O333" s="128"/>
      <c r="P333" s="126"/>
    </row>
    <row r="334" spans="1:16" ht="12.75">
      <c r="A334" s="69" t="s">
        <v>224</v>
      </c>
      <c r="B334" s="45"/>
      <c r="C334" s="7"/>
      <c r="D334" s="7"/>
      <c r="E334" s="46">
        <f t="shared" si="89"/>
        <v>0</v>
      </c>
      <c r="F334" s="57">
        <v>3374.8</v>
      </c>
      <c r="G334" s="7"/>
      <c r="H334" s="46">
        <f t="shared" si="90"/>
        <v>3374.8</v>
      </c>
      <c r="I334" s="57"/>
      <c r="J334" s="7"/>
      <c r="K334" s="46">
        <f t="shared" si="91"/>
        <v>3374.8</v>
      </c>
      <c r="L334" s="57"/>
      <c r="M334" s="7"/>
      <c r="N334" s="46">
        <f t="shared" si="92"/>
        <v>3374.8</v>
      </c>
      <c r="O334" s="128"/>
      <c r="P334" s="126">
        <f t="shared" si="85"/>
        <v>3374.8</v>
      </c>
    </row>
    <row r="335" spans="1:16" ht="12.75">
      <c r="A335" s="87" t="s">
        <v>233</v>
      </c>
      <c r="B335" s="45"/>
      <c r="C335" s="7">
        <v>501.7</v>
      </c>
      <c r="D335" s="7"/>
      <c r="E335" s="46">
        <f t="shared" si="89"/>
        <v>501.7</v>
      </c>
      <c r="F335" s="57"/>
      <c r="G335" s="7"/>
      <c r="H335" s="46">
        <f t="shared" si="90"/>
        <v>501.7</v>
      </c>
      <c r="I335" s="57"/>
      <c r="J335" s="7"/>
      <c r="K335" s="46">
        <f t="shared" si="91"/>
        <v>501.7</v>
      </c>
      <c r="L335" s="57"/>
      <c r="M335" s="7"/>
      <c r="N335" s="46">
        <f t="shared" si="92"/>
        <v>501.7</v>
      </c>
      <c r="O335" s="128"/>
      <c r="P335" s="126">
        <f t="shared" si="85"/>
        <v>501.7</v>
      </c>
    </row>
    <row r="336" spans="1:16" ht="12.75">
      <c r="A336" s="87" t="s">
        <v>337</v>
      </c>
      <c r="B336" s="45"/>
      <c r="C336" s="7"/>
      <c r="D336" s="7"/>
      <c r="E336" s="46"/>
      <c r="F336" s="57"/>
      <c r="G336" s="7"/>
      <c r="H336" s="46">
        <f t="shared" si="90"/>
        <v>0</v>
      </c>
      <c r="I336" s="57">
        <v>1390.3</v>
      </c>
      <c r="J336" s="7"/>
      <c r="K336" s="46">
        <f t="shared" si="91"/>
        <v>1390.3</v>
      </c>
      <c r="L336" s="57"/>
      <c r="M336" s="7"/>
      <c r="N336" s="46">
        <f t="shared" si="92"/>
        <v>1390.3</v>
      </c>
      <c r="O336" s="128"/>
      <c r="P336" s="126"/>
    </row>
    <row r="337" spans="1:16" ht="12.75">
      <c r="A337" s="69" t="s">
        <v>243</v>
      </c>
      <c r="B337" s="45"/>
      <c r="C337" s="7">
        <f>76.8+4.5</f>
        <v>81.3</v>
      </c>
      <c r="D337" s="7"/>
      <c r="E337" s="46">
        <f t="shared" si="89"/>
        <v>81.3</v>
      </c>
      <c r="F337" s="57"/>
      <c r="G337" s="7"/>
      <c r="H337" s="46">
        <f t="shared" si="90"/>
        <v>81.3</v>
      </c>
      <c r="I337" s="57">
        <f>331.2+51</f>
        <v>382.2</v>
      </c>
      <c r="J337" s="7"/>
      <c r="K337" s="46">
        <f t="shared" si="91"/>
        <v>463.5</v>
      </c>
      <c r="L337" s="57">
        <f>2988.6</f>
        <v>2988.6</v>
      </c>
      <c r="M337" s="7"/>
      <c r="N337" s="46">
        <f t="shared" si="92"/>
        <v>3452.1</v>
      </c>
      <c r="O337" s="128"/>
      <c r="P337" s="126">
        <f t="shared" si="85"/>
        <v>3452.1</v>
      </c>
    </row>
    <row r="338" spans="1:16" ht="12.75" hidden="1">
      <c r="A338" s="69" t="s">
        <v>137</v>
      </c>
      <c r="B338" s="45"/>
      <c r="C338" s="7"/>
      <c r="D338" s="7"/>
      <c r="E338" s="46">
        <f t="shared" si="89"/>
        <v>0</v>
      </c>
      <c r="F338" s="57"/>
      <c r="G338" s="7"/>
      <c r="H338" s="46">
        <f t="shared" si="90"/>
        <v>0</v>
      </c>
      <c r="I338" s="57"/>
      <c r="J338" s="7"/>
      <c r="K338" s="46">
        <f t="shared" si="91"/>
        <v>0</v>
      </c>
      <c r="L338" s="57"/>
      <c r="M338" s="7"/>
      <c r="N338" s="46">
        <f t="shared" si="92"/>
        <v>0</v>
      </c>
      <c r="O338" s="128"/>
      <c r="P338" s="126">
        <f t="shared" si="85"/>
        <v>0</v>
      </c>
    </row>
    <row r="339" spans="1:16" ht="12.75" hidden="1">
      <c r="A339" s="69" t="s">
        <v>90</v>
      </c>
      <c r="B339" s="45"/>
      <c r="C339" s="7"/>
      <c r="D339" s="7"/>
      <c r="E339" s="46">
        <f t="shared" si="89"/>
        <v>0</v>
      </c>
      <c r="F339" s="57"/>
      <c r="G339" s="7"/>
      <c r="H339" s="46">
        <f t="shared" si="90"/>
        <v>0</v>
      </c>
      <c r="I339" s="57"/>
      <c r="J339" s="7"/>
      <c r="K339" s="46">
        <f t="shared" si="91"/>
        <v>0</v>
      </c>
      <c r="L339" s="57"/>
      <c r="M339" s="7"/>
      <c r="N339" s="46">
        <f t="shared" si="92"/>
        <v>0</v>
      </c>
      <c r="O339" s="128"/>
      <c r="P339" s="126">
        <f t="shared" si="85"/>
        <v>0</v>
      </c>
    </row>
    <row r="340" spans="1:16" ht="12.75">
      <c r="A340" s="69" t="s">
        <v>104</v>
      </c>
      <c r="B340" s="45"/>
      <c r="C340" s="7">
        <f>114.8+1394.2</f>
        <v>1509</v>
      </c>
      <c r="D340" s="7"/>
      <c r="E340" s="46">
        <f t="shared" si="89"/>
        <v>1509</v>
      </c>
      <c r="F340" s="57">
        <f>4.5+1118.6+51+365</f>
        <v>1539.1</v>
      </c>
      <c r="G340" s="7"/>
      <c r="H340" s="46">
        <f t="shared" si="90"/>
        <v>3048.1</v>
      </c>
      <c r="I340" s="57">
        <f>585.8+3252.2+73.3+417+100+605.7-51+930.8+244+221+1143</f>
        <v>7521.8</v>
      </c>
      <c r="J340" s="7"/>
      <c r="K340" s="46">
        <f t="shared" si="91"/>
        <v>10569.9</v>
      </c>
      <c r="L340" s="158">
        <f>684.3-2518.5+97+485.8+80.3-104+327.2+42.3</f>
        <v>-905.6000000000001</v>
      </c>
      <c r="M340" s="7"/>
      <c r="N340" s="46">
        <f t="shared" si="92"/>
        <v>9664.3</v>
      </c>
      <c r="O340" s="128"/>
      <c r="P340" s="126">
        <f t="shared" si="85"/>
        <v>9664.3</v>
      </c>
    </row>
    <row r="341" spans="1:16" ht="13.5" thickBot="1">
      <c r="A341" s="194" t="s">
        <v>71</v>
      </c>
      <c r="B341" s="188">
        <v>21829</v>
      </c>
      <c r="C341" s="189"/>
      <c r="D341" s="189">
        <v>-3805.6</v>
      </c>
      <c r="E341" s="190">
        <f t="shared" si="89"/>
        <v>18023.4</v>
      </c>
      <c r="F341" s="191">
        <v>1500</v>
      </c>
      <c r="G341" s="189">
        <f>-401.5+357</f>
        <v>-44.5</v>
      </c>
      <c r="H341" s="190">
        <f t="shared" si="90"/>
        <v>19478.9</v>
      </c>
      <c r="I341" s="191">
        <f>-100-12553.3</f>
        <v>-12653.3</v>
      </c>
      <c r="J341" s="189"/>
      <c r="K341" s="190">
        <f t="shared" si="91"/>
        <v>6825.600000000002</v>
      </c>
      <c r="L341" s="195">
        <f>-766.5-242.6+68.8</f>
        <v>-940.3000000000001</v>
      </c>
      <c r="M341" s="189"/>
      <c r="N341" s="190">
        <f t="shared" si="92"/>
        <v>5885.300000000002</v>
      </c>
      <c r="O341" s="128"/>
      <c r="P341" s="126">
        <f t="shared" si="85"/>
        <v>5885.300000000002</v>
      </c>
    </row>
    <row r="342" spans="1:16" ht="12.75">
      <c r="A342" s="72" t="s">
        <v>74</v>
      </c>
      <c r="B342" s="55">
        <f aca="true" t="shared" si="93" ref="B342:P342">SUM(B344:B351)</f>
        <v>11350</v>
      </c>
      <c r="C342" s="13">
        <f t="shared" si="93"/>
        <v>17458.2</v>
      </c>
      <c r="D342" s="13">
        <f t="shared" si="93"/>
        <v>18760</v>
      </c>
      <c r="E342" s="56">
        <f t="shared" si="93"/>
        <v>47568.2</v>
      </c>
      <c r="F342" s="151">
        <f t="shared" si="93"/>
        <v>8711.700000000003</v>
      </c>
      <c r="G342" s="13">
        <f t="shared" si="93"/>
        <v>198</v>
      </c>
      <c r="H342" s="56">
        <f t="shared" si="93"/>
        <v>56477.9</v>
      </c>
      <c r="I342" s="151">
        <f t="shared" si="93"/>
        <v>35202.100000000006</v>
      </c>
      <c r="J342" s="13">
        <f t="shared" si="93"/>
        <v>0</v>
      </c>
      <c r="K342" s="56">
        <f t="shared" si="93"/>
        <v>91680.00000000001</v>
      </c>
      <c r="L342" s="155">
        <f t="shared" si="93"/>
        <v>34832.7</v>
      </c>
      <c r="M342" s="13">
        <f t="shared" si="93"/>
        <v>0</v>
      </c>
      <c r="N342" s="56">
        <f t="shared" si="93"/>
        <v>126512.70000000001</v>
      </c>
      <c r="O342" s="134"/>
      <c r="P342" s="122">
        <f t="shared" si="93"/>
        <v>126470.70000000001</v>
      </c>
    </row>
    <row r="343" spans="1:16" ht="12.75">
      <c r="A343" s="67" t="s">
        <v>38</v>
      </c>
      <c r="B343" s="45"/>
      <c r="C343" s="7"/>
      <c r="D343" s="7"/>
      <c r="E343" s="46"/>
      <c r="F343" s="57"/>
      <c r="G343" s="7"/>
      <c r="H343" s="44"/>
      <c r="I343" s="57"/>
      <c r="J343" s="7"/>
      <c r="K343" s="44"/>
      <c r="L343" s="57"/>
      <c r="M343" s="7"/>
      <c r="N343" s="44"/>
      <c r="O343" s="128"/>
      <c r="P343" s="126"/>
    </row>
    <row r="344" spans="1:16" ht="12.75">
      <c r="A344" s="69" t="s">
        <v>138</v>
      </c>
      <c r="B344" s="45"/>
      <c r="C344" s="7"/>
      <c r="D344" s="7"/>
      <c r="E344" s="46">
        <f aca="true" t="shared" si="94" ref="E344:E351">B344+C344+D344</f>
        <v>0</v>
      </c>
      <c r="F344" s="57"/>
      <c r="G344" s="7">
        <v>198</v>
      </c>
      <c r="H344" s="46">
        <f aca="true" t="shared" si="95" ref="H344:H351">E344+F344+G344</f>
        <v>198</v>
      </c>
      <c r="I344" s="57"/>
      <c r="J344" s="7"/>
      <c r="K344" s="46">
        <f aca="true" t="shared" si="96" ref="K344:K351">H344+I344+J344</f>
        <v>198</v>
      </c>
      <c r="L344" s="57">
        <f>45.6+181.5</f>
        <v>227.1</v>
      </c>
      <c r="M344" s="7"/>
      <c r="N344" s="46">
        <f aca="true" t="shared" si="97" ref="N344:N351">K344+L344+M344</f>
        <v>425.1</v>
      </c>
      <c r="O344" s="128"/>
      <c r="P344" s="126">
        <f t="shared" si="85"/>
        <v>425.1</v>
      </c>
    </row>
    <row r="345" spans="1:16" ht="12.75">
      <c r="A345" s="69" t="s">
        <v>93</v>
      </c>
      <c r="B345" s="45"/>
      <c r="C345" s="7"/>
      <c r="D345" s="7"/>
      <c r="E345" s="46">
        <f t="shared" si="94"/>
        <v>0</v>
      </c>
      <c r="F345" s="57"/>
      <c r="G345" s="7"/>
      <c r="H345" s="46">
        <f t="shared" si="95"/>
        <v>0</v>
      </c>
      <c r="I345" s="57">
        <v>370</v>
      </c>
      <c r="J345" s="7"/>
      <c r="K345" s="46">
        <f t="shared" si="96"/>
        <v>370</v>
      </c>
      <c r="L345" s="57"/>
      <c r="M345" s="7"/>
      <c r="N345" s="46">
        <f t="shared" si="97"/>
        <v>370</v>
      </c>
      <c r="O345" s="128"/>
      <c r="P345" s="126">
        <f t="shared" si="85"/>
        <v>370</v>
      </c>
    </row>
    <row r="346" spans="1:16" ht="12.75" hidden="1">
      <c r="A346" s="69" t="s">
        <v>139</v>
      </c>
      <c r="B346" s="45"/>
      <c r="C346" s="7"/>
      <c r="D346" s="7"/>
      <c r="E346" s="46">
        <f t="shared" si="94"/>
        <v>0</v>
      </c>
      <c r="F346" s="57"/>
      <c r="G346" s="7"/>
      <c r="H346" s="46">
        <f t="shared" si="95"/>
        <v>0</v>
      </c>
      <c r="I346" s="57"/>
      <c r="J346" s="7"/>
      <c r="K346" s="46">
        <f t="shared" si="96"/>
        <v>0</v>
      </c>
      <c r="L346" s="57"/>
      <c r="M346" s="7"/>
      <c r="N346" s="46">
        <f t="shared" si="97"/>
        <v>0</v>
      </c>
      <c r="O346" s="128"/>
      <c r="P346" s="126">
        <f t="shared" si="85"/>
        <v>0</v>
      </c>
    </row>
    <row r="347" spans="1:16" ht="12.75" hidden="1">
      <c r="A347" s="87" t="s">
        <v>233</v>
      </c>
      <c r="B347" s="45"/>
      <c r="C347" s="7"/>
      <c r="D347" s="7"/>
      <c r="E347" s="46">
        <f t="shared" si="94"/>
        <v>0</v>
      </c>
      <c r="F347" s="57"/>
      <c r="G347" s="7"/>
      <c r="H347" s="46">
        <f t="shared" si="95"/>
        <v>0</v>
      </c>
      <c r="I347" s="57"/>
      <c r="J347" s="7"/>
      <c r="K347" s="46">
        <f t="shared" si="96"/>
        <v>0</v>
      </c>
      <c r="L347" s="57"/>
      <c r="M347" s="7"/>
      <c r="N347" s="46">
        <f t="shared" si="97"/>
        <v>0</v>
      </c>
      <c r="O347" s="128"/>
      <c r="P347" s="126">
        <f t="shared" si="85"/>
        <v>0</v>
      </c>
    </row>
    <row r="348" spans="1:16" ht="12.75">
      <c r="A348" s="87" t="s">
        <v>337</v>
      </c>
      <c r="B348" s="45"/>
      <c r="C348" s="7"/>
      <c r="D348" s="7"/>
      <c r="E348" s="46"/>
      <c r="F348" s="57"/>
      <c r="G348" s="7"/>
      <c r="H348" s="46">
        <f t="shared" si="95"/>
        <v>0</v>
      </c>
      <c r="I348" s="57">
        <v>42</v>
      </c>
      <c r="J348" s="7"/>
      <c r="K348" s="46">
        <f t="shared" si="96"/>
        <v>42</v>
      </c>
      <c r="L348" s="57"/>
      <c r="M348" s="7"/>
      <c r="N348" s="46">
        <f t="shared" si="97"/>
        <v>42</v>
      </c>
      <c r="O348" s="128"/>
      <c r="P348" s="126"/>
    </row>
    <row r="349" spans="1:16" ht="12.75">
      <c r="A349" s="69" t="s">
        <v>243</v>
      </c>
      <c r="B349" s="45"/>
      <c r="C349" s="7">
        <f>2047.9+1810.1</f>
        <v>3858</v>
      </c>
      <c r="D349" s="7"/>
      <c r="E349" s="46">
        <f t="shared" si="94"/>
        <v>3858</v>
      </c>
      <c r="F349" s="57"/>
      <c r="G349" s="7"/>
      <c r="H349" s="46">
        <f t="shared" si="95"/>
        <v>3858</v>
      </c>
      <c r="I349" s="57">
        <f>2510.1+900.7</f>
        <v>3410.8</v>
      </c>
      <c r="J349" s="7"/>
      <c r="K349" s="46">
        <f t="shared" si="96"/>
        <v>7268.8</v>
      </c>
      <c r="L349" s="57">
        <f>618.5</f>
        <v>618.5</v>
      </c>
      <c r="M349" s="7"/>
      <c r="N349" s="46">
        <f t="shared" si="97"/>
        <v>7887.3</v>
      </c>
      <c r="O349" s="128"/>
      <c r="P349" s="126">
        <f t="shared" si="85"/>
        <v>7887.3</v>
      </c>
    </row>
    <row r="350" spans="1:16" ht="12.75" hidden="1">
      <c r="A350" s="69" t="s">
        <v>75</v>
      </c>
      <c r="B350" s="45"/>
      <c r="C350" s="7"/>
      <c r="D350" s="7"/>
      <c r="E350" s="46">
        <f t="shared" si="94"/>
        <v>0</v>
      </c>
      <c r="F350" s="57"/>
      <c r="G350" s="7"/>
      <c r="H350" s="46">
        <f t="shared" si="95"/>
        <v>0</v>
      </c>
      <c r="I350" s="57"/>
      <c r="J350" s="9"/>
      <c r="K350" s="46">
        <f t="shared" si="96"/>
        <v>0</v>
      </c>
      <c r="L350" s="57"/>
      <c r="M350" s="7"/>
      <c r="N350" s="46">
        <f t="shared" si="97"/>
        <v>0</v>
      </c>
      <c r="O350" s="128"/>
      <c r="P350" s="126">
        <f t="shared" si="85"/>
        <v>0</v>
      </c>
    </row>
    <row r="351" spans="1:16" ht="12.75">
      <c r="A351" s="76" t="s">
        <v>104</v>
      </c>
      <c r="B351" s="49">
        <v>11350</v>
      </c>
      <c r="C351" s="10">
        <f>394.5+411.7+2170.8+355.1+2080.8+2100+562.8+600+4924.5</f>
        <v>13600.2</v>
      </c>
      <c r="D351" s="10">
        <v>18760</v>
      </c>
      <c r="E351" s="50">
        <f t="shared" si="94"/>
        <v>43710.2</v>
      </c>
      <c r="F351" s="152">
        <f>709.2+2030.1+462.2+896+643.1+1020.1+590.3+982.7+980.2+105.6+463.1-706.1+535.2</f>
        <v>8711.700000000003</v>
      </c>
      <c r="G351" s="10"/>
      <c r="H351" s="50">
        <f t="shared" si="95"/>
        <v>52421.9</v>
      </c>
      <c r="I351" s="152">
        <f>791.1+405.6+366.1+812.3+673.1+5624.4+8836.6+683.7+910.7+271.3+1248.9+1509.2+1035.7+275.6-2402.7-900.8-500+900+2600.2+3778.9+1871.2+987.7+1600.5</f>
        <v>31379.300000000007</v>
      </c>
      <c r="J351" s="109"/>
      <c r="K351" s="50">
        <f t="shared" si="96"/>
        <v>83801.20000000001</v>
      </c>
      <c r="L351" s="152">
        <f>58.6+8369.5+10766.6+2163.5+12168.7+1645.7+2513.2-3698.7</f>
        <v>33987.1</v>
      </c>
      <c r="M351" s="10"/>
      <c r="N351" s="50">
        <f t="shared" si="97"/>
        <v>117788.30000000002</v>
      </c>
      <c r="O351" s="141"/>
      <c r="P351" s="142">
        <f t="shared" si="85"/>
        <v>117788.30000000002</v>
      </c>
    </row>
    <row r="352" spans="1:16" ht="12.75">
      <c r="A352" s="62" t="s">
        <v>140</v>
      </c>
      <c r="B352" s="43">
        <f aca="true" t="shared" si="98" ref="B352:K352">B353+B367</f>
        <v>404981</v>
      </c>
      <c r="C352" s="6">
        <f t="shared" si="98"/>
        <v>70064</v>
      </c>
      <c r="D352" s="6">
        <f>D353+D367</f>
        <v>0</v>
      </c>
      <c r="E352" s="44">
        <f t="shared" si="98"/>
        <v>475045</v>
      </c>
      <c r="F352" s="101">
        <f>F353+F367</f>
        <v>3544.5</v>
      </c>
      <c r="G352" s="6">
        <f>G353+G367</f>
        <v>0</v>
      </c>
      <c r="H352" s="44">
        <f t="shared" si="98"/>
        <v>478589.49999999994</v>
      </c>
      <c r="I352" s="101">
        <f>I353+I367</f>
        <v>88816.6</v>
      </c>
      <c r="J352" s="6">
        <f>J353+J367</f>
        <v>0</v>
      </c>
      <c r="K352" s="44">
        <f t="shared" si="98"/>
        <v>567406.1</v>
      </c>
      <c r="L352" s="97">
        <f>L353+L367</f>
        <v>3062.1</v>
      </c>
      <c r="M352" s="6">
        <f>M353+M367</f>
        <v>0</v>
      </c>
      <c r="N352" s="44">
        <f>N353+N367</f>
        <v>570468.2</v>
      </c>
      <c r="O352" s="129"/>
      <c r="P352" s="110">
        <f>P353+P367</f>
        <v>494008.2</v>
      </c>
    </row>
    <row r="353" spans="1:16" ht="12.75">
      <c r="A353" s="71" t="s">
        <v>68</v>
      </c>
      <c r="B353" s="53">
        <f aca="true" t="shared" si="99" ref="B353:K353">SUM(B355:B366)</f>
        <v>404981</v>
      </c>
      <c r="C353" s="12">
        <f t="shared" si="99"/>
        <v>2915.7000000000003</v>
      </c>
      <c r="D353" s="12">
        <f>SUM(D355:D366)</f>
        <v>0</v>
      </c>
      <c r="E353" s="54">
        <f t="shared" si="99"/>
        <v>407896.7</v>
      </c>
      <c r="F353" s="102">
        <f>SUM(F355:F366)</f>
        <v>3205</v>
      </c>
      <c r="G353" s="12">
        <f>SUM(G355:G366)</f>
        <v>0</v>
      </c>
      <c r="H353" s="54">
        <f t="shared" si="99"/>
        <v>411101.69999999995</v>
      </c>
      <c r="I353" s="102">
        <f>SUM(I355:I366)</f>
        <v>13800.5</v>
      </c>
      <c r="J353" s="12">
        <f>SUM(J355:J366)</f>
        <v>0</v>
      </c>
      <c r="K353" s="54">
        <f t="shared" si="99"/>
        <v>424902.19999999995</v>
      </c>
      <c r="L353" s="153">
        <f>SUM(L355:L366)</f>
        <v>562.1</v>
      </c>
      <c r="M353" s="12">
        <f>SUM(M355:M366)</f>
        <v>0</v>
      </c>
      <c r="N353" s="54">
        <f>SUM(N355:N366)</f>
        <v>425464.3</v>
      </c>
      <c r="O353" s="133"/>
      <c r="P353" s="111">
        <f>SUM(P355:P366)</f>
        <v>425254.3</v>
      </c>
    </row>
    <row r="354" spans="1:16" ht="9.75" customHeight="1">
      <c r="A354" s="67" t="s">
        <v>38</v>
      </c>
      <c r="B354" s="45"/>
      <c r="C354" s="7"/>
      <c r="D354" s="7"/>
      <c r="E354" s="44"/>
      <c r="F354" s="57"/>
      <c r="G354" s="7"/>
      <c r="H354" s="44"/>
      <c r="I354" s="57"/>
      <c r="J354" s="7"/>
      <c r="K354" s="44"/>
      <c r="L354" s="57"/>
      <c r="M354" s="7"/>
      <c r="N354" s="44"/>
      <c r="O354" s="128"/>
      <c r="P354" s="126"/>
    </row>
    <row r="355" spans="1:16" ht="12.75">
      <c r="A355" s="64" t="s">
        <v>101</v>
      </c>
      <c r="B355" s="45">
        <v>218826</v>
      </c>
      <c r="C355" s="7"/>
      <c r="D355" s="7"/>
      <c r="E355" s="46">
        <f aca="true" t="shared" si="100" ref="E355:E366">B355+C355+D355</f>
        <v>218826</v>
      </c>
      <c r="F355" s="57">
        <v>860</v>
      </c>
      <c r="G355" s="7"/>
      <c r="H355" s="46">
        <f aca="true" t="shared" si="101" ref="H355:H366">E355+F355+G355</f>
        <v>219686</v>
      </c>
      <c r="I355" s="57">
        <f>-300-450</f>
        <v>-750</v>
      </c>
      <c r="J355" s="7"/>
      <c r="K355" s="46">
        <f aca="true" t="shared" si="102" ref="K355:K366">H355+I355+J355</f>
        <v>218936</v>
      </c>
      <c r="L355" s="57">
        <f>200-228+100</f>
        <v>72</v>
      </c>
      <c r="M355" s="7"/>
      <c r="N355" s="46">
        <f aca="true" t="shared" si="103" ref="N355:N366">K355+L355+M355</f>
        <v>219008</v>
      </c>
      <c r="O355" s="128"/>
      <c r="P355" s="126">
        <f aca="true" t="shared" si="104" ref="P355:P430">N355+O355</f>
        <v>219008</v>
      </c>
    </row>
    <row r="356" spans="1:16" ht="12.75">
      <c r="A356" s="69" t="s">
        <v>87</v>
      </c>
      <c r="B356" s="45">
        <v>176000</v>
      </c>
      <c r="C356" s="7"/>
      <c r="D356" s="7"/>
      <c r="E356" s="46">
        <f t="shared" si="100"/>
        <v>176000</v>
      </c>
      <c r="F356" s="57"/>
      <c r="G356" s="7"/>
      <c r="H356" s="46">
        <f t="shared" si="101"/>
        <v>176000</v>
      </c>
      <c r="I356" s="57">
        <v>10000</v>
      </c>
      <c r="J356" s="7"/>
      <c r="K356" s="46">
        <f t="shared" si="102"/>
        <v>186000</v>
      </c>
      <c r="L356" s="57"/>
      <c r="M356" s="7"/>
      <c r="N356" s="46">
        <f t="shared" si="103"/>
        <v>186000</v>
      </c>
      <c r="O356" s="128"/>
      <c r="P356" s="126">
        <f t="shared" si="104"/>
        <v>186000</v>
      </c>
    </row>
    <row r="357" spans="1:16" ht="12.75">
      <c r="A357" s="69" t="s">
        <v>71</v>
      </c>
      <c r="B357" s="61">
        <v>10015</v>
      </c>
      <c r="C357" s="7">
        <f>1330+672+183.9</f>
        <v>2185.9</v>
      </c>
      <c r="D357" s="7"/>
      <c r="E357" s="46">
        <f t="shared" si="100"/>
        <v>12200.9</v>
      </c>
      <c r="F357" s="57">
        <f>2000</f>
        <v>2000</v>
      </c>
      <c r="G357" s="7"/>
      <c r="H357" s="46">
        <f t="shared" si="101"/>
        <v>14200.9</v>
      </c>
      <c r="I357" s="57">
        <f>-1967+709.5+350+4543.5+450</f>
        <v>4086</v>
      </c>
      <c r="J357" s="7"/>
      <c r="K357" s="46">
        <f t="shared" si="102"/>
        <v>18286.9</v>
      </c>
      <c r="L357" s="57">
        <f>-177+305</f>
        <v>128</v>
      </c>
      <c r="M357" s="7"/>
      <c r="N357" s="46">
        <f t="shared" si="103"/>
        <v>18414.9</v>
      </c>
      <c r="O357" s="128"/>
      <c r="P357" s="126">
        <f t="shared" si="104"/>
        <v>18414.9</v>
      </c>
    </row>
    <row r="358" spans="1:16" ht="12.75">
      <c r="A358" s="69" t="s">
        <v>105</v>
      </c>
      <c r="B358" s="61">
        <v>140</v>
      </c>
      <c r="C358" s="7">
        <f>566.9+152.2-140</f>
        <v>579.0999999999999</v>
      </c>
      <c r="D358" s="7"/>
      <c r="E358" s="46">
        <f t="shared" si="100"/>
        <v>719.0999999999999</v>
      </c>
      <c r="F358" s="57"/>
      <c r="G358" s="7"/>
      <c r="H358" s="46">
        <f t="shared" si="101"/>
        <v>719.0999999999999</v>
      </c>
      <c r="I358" s="57">
        <v>-31.5</v>
      </c>
      <c r="J358" s="7"/>
      <c r="K358" s="46">
        <f t="shared" si="102"/>
        <v>687.5999999999999</v>
      </c>
      <c r="L358" s="57"/>
      <c r="M358" s="7"/>
      <c r="N358" s="46">
        <f t="shared" si="103"/>
        <v>687.5999999999999</v>
      </c>
      <c r="O358" s="128"/>
      <c r="P358" s="126">
        <f t="shared" si="104"/>
        <v>687.5999999999999</v>
      </c>
    </row>
    <row r="359" spans="1:16" ht="12.75">
      <c r="A359" s="65" t="s">
        <v>239</v>
      </c>
      <c r="B359" s="61"/>
      <c r="C359" s="7">
        <f>38.4+1.5</f>
        <v>39.9</v>
      </c>
      <c r="D359" s="7"/>
      <c r="E359" s="46">
        <f t="shared" si="100"/>
        <v>39.9</v>
      </c>
      <c r="F359" s="57">
        <v>3.7</v>
      </c>
      <c r="G359" s="7"/>
      <c r="H359" s="46">
        <f t="shared" si="101"/>
        <v>43.6</v>
      </c>
      <c r="I359" s="57">
        <f>37.9+90.1</f>
        <v>128</v>
      </c>
      <c r="J359" s="7"/>
      <c r="K359" s="46">
        <f t="shared" si="102"/>
        <v>171.6</v>
      </c>
      <c r="L359" s="57">
        <v>17.7</v>
      </c>
      <c r="M359" s="7"/>
      <c r="N359" s="46">
        <f t="shared" si="103"/>
        <v>189.29999999999998</v>
      </c>
      <c r="O359" s="128"/>
      <c r="P359" s="126">
        <f t="shared" si="104"/>
        <v>189.29999999999998</v>
      </c>
    </row>
    <row r="360" spans="1:16" ht="12.75" hidden="1">
      <c r="A360" s="69" t="s">
        <v>211</v>
      </c>
      <c r="B360" s="61"/>
      <c r="C360" s="7"/>
      <c r="D360" s="7"/>
      <c r="E360" s="46">
        <f t="shared" si="100"/>
        <v>0</v>
      </c>
      <c r="F360" s="57"/>
      <c r="G360" s="7"/>
      <c r="H360" s="46">
        <f t="shared" si="101"/>
        <v>0</v>
      </c>
      <c r="I360" s="57"/>
      <c r="J360" s="7"/>
      <c r="K360" s="46">
        <f t="shared" si="102"/>
        <v>0</v>
      </c>
      <c r="L360" s="57"/>
      <c r="M360" s="7"/>
      <c r="N360" s="46">
        <f t="shared" si="103"/>
        <v>0</v>
      </c>
      <c r="O360" s="128"/>
      <c r="P360" s="126">
        <f t="shared" si="104"/>
        <v>0</v>
      </c>
    </row>
    <row r="361" spans="1:16" ht="12.75">
      <c r="A361" s="69" t="s">
        <v>141</v>
      </c>
      <c r="B361" s="45"/>
      <c r="C361" s="7"/>
      <c r="D361" s="7"/>
      <c r="E361" s="46">
        <f t="shared" si="100"/>
        <v>0</v>
      </c>
      <c r="F361" s="57">
        <v>150</v>
      </c>
      <c r="G361" s="7"/>
      <c r="H361" s="46">
        <f t="shared" si="101"/>
        <v>150</v>
      </c>
      <c r="I361" s="57">
        <v>238</v>
      </c>
      <c r="J361" s="7"/>
      <c r="K361" s="46">
        <f t="shared" si="102"/>
        <v>388</v>
      </c>
      <c r="L361" s="167">
        <v>150.3</v>
      </c>
      <c r="M361" s="7"/>
      <c r="N361" s="46">
        <f t="shared" si="103"/>
        <v>538.3</v>
      </c>
      <c r="O361" s="128"/>
      <c r="P361" s="126">
        <f t="shared" si="104"/>
        <v>538.3</v>
      </c>
    </row>
    <row r="362" spans="1:16" ht="12.75">
      <c r="A362" s="69" t="s">
        <v>325</v>
      </c>
      <c r="B362" s="45"/>
      <c r="C362" s="7"/>
      <c r="D362" s="7"/>
      <c r="E362" s="46">
        <f t="shared" si="100"/>
        <v>0</v>
      </c>
      <c r="F362" s="57">
        <v>40</v>
      </c>
      <c r="G362" s="7"/>
      <c r="H362" s="46">
        <f t="shared" si="101"/>
        <v>40</v>
      </c>
      <c r="I362" s="57"/>
      <c r="J362" s="7"/>
      <c r="K362" s="46">
        <f t="shared" si="102"/>
        <v>40</v>
      </c>
      <c r="L362" s="167"/>
      <c r="M362" s="7"/>
      <c r="N362" s="46">
        <f t="shared" si="103"/>
        <v>40</v>
      </c>
      <c r="O362" s="128"/>
      <c r="P362" s="126"/>
    </row>
    <row r="363" spans="1:16" ht="12.75">
      <c r="A363" s="69" t="s">
        <v>326</v>
      </c>
      <c r="B363" s="45"/>
      <c r="C363" s="7"/>
      <c r="D363" s="7"/>
      <c r="E363" s="46">
        <f t="shared" si="100"/>
        <v>0</v>
      </c>
      <c r="F363" s="57">
        <v>40</v>
      </c>
      <c r="G363" s="7"/>
      <c r="H363" s="46">
        <f t="shared" si="101"/>
        <v>40</v>
      </c>
      <c r="I363" s="57"/>
      <c r="J363" s="7"/>
      <c r="K363" s="46">
        <f t="shared" si="102"/>
        <v>40</v>
      </c>
      <c r="L363" s="167"/>
      <c r="M363" s="7"/>
      <c r="N363" s="46">
        <f t="shared" si="103"/>
        <v>40</v>
      </c>
      <c r="O363" s="128"/>
      <c r="P363" s="126"/>
    </row>
    <row r="364" spans="1:16" ht="12.75">
      <c r="A364" s="65" t="s">
        <v>333</v>
      </c>
      <c r="B364" s="45"/>
      <c r="C364" s="7"/>
      <c r="D364" s="7"/>
      <c r="E364" s="46"/>
      <c r="F364" s="57"/>
      <c r="G364" s="7"/>
      <c r="H364" s="46">
        <f t="shared" si="101"/>
        <v>0</v>
      </c>
      <c r="I364" s="57">
        <v>130</v>
      </c>
      <c r="J364" s="7"/>
      <c r="K364" s="46">
        <f t="shared" si="102"/>
        <v>130</v>
      </c>
      <c r="L364" s="167"/>
      <c r="M364" s="7"/>
      <c r="N364" s="46">
        <f t="shared" si="103"/>
        <v>130</v>
      </c>
      <c r="O364" s="128"/>
      <c r="P364" s="126"/>
    </row>
    <row r="365" spans="1:16" ht="12.75" hidden="1">
      <c r="A365" s="69" t="s">
        <v>142</v>
      </c>
      <c r="B365" s="45"/>
      <c r="C365" s="7"/>
      <c r="D365" s="7"/>
      <c r="E365" s="46">
        <f t="shared" si="100"/>
        <v>0</v>
      </c>
      <c r="F365" s="57"/>
      <c r="G365" s="7"/>
      <c r="H365" s="46">
        <f t="shared" si="101"/>
        <v>0</v>
      </c>
      <c r="I365" s="57"/>
      <c r="J365" s="7"/>
      <c r="K365" s="46">
        <f t="shared" si="102"/>
        <v>0</v>
      </c>
      <c r="L365" s="57"/>
      <c r="M365" s="7"/>
      <c r="N365" s="46">
        <f t="shared" si="103"/>
        <v>0</v>
      </c>
      <c r="O365" s="128"/>
      <c r="P365" s="126">
        <f t="shared" si="104"/>
        <v>0</v>
      </c>
    </row>
    <row r="366" spans="1:16" ht="12.75">
      <c r="A366" s="69" t="s">
        <v>143</v>
      </c>
      <c r="B366" s="45"/>
      <c r="C366" s="7">
        <v>110.8</v>
      </c>
      <c r="D366" s="7"/>
      <c r="E366" s="46">
        <f t="shared" si="100"/>
        <v>110.8</v>
      </c>
      <c r="F366" s="57">
        <v>111.3</v>
      </c>
      <c r="G366" s="7"/>
      <c r="H366" s="46">
        <f t="shared" si="101"/>
        <v>222.1</v>
      </c>
      <c r="I366" s="57"/>
      <c r="J366" s="7"/>
      <c r="K366" s="46">
        <f t="shared" si="102"/>
        <v>222.1</v>
      </c>
      <c r="L366" s="57">
        <f>87.2+106.9</f>
        <v>194.10000000000002</v>
      </c>
      <c r="M366" s="7"/>
      <c r="N366" s="46">
        <f t="shared" si="103"/>
        <v>416.20000000000005</v>
      </c>
      <c r="O366" s="128"/>
      <c r="P366" s="126">
        <f t="shared" si="104"/>
        <v>416.20000000000005</v>
      </c>
    </row>
    <row r="367" spans="1:16" ht="12.75">
      <c r="A367" s="71" t="s">
        <v>74</v>
      </c>
      <c r="B367" s="53">
        <f>SUM(B369:B377)</f>
        <v>0</v>
      </c>
      <c r="C367" s="12">
        <f>SUM(C369:C377)</f>
        <v>67148.3</v>
      </c>
      <c r="D367" s="12">
        <f>SUM(D369:D377)</f>
        <v>0</v>
      </c>
      <c r="E367" s="54">
        <f aca="true" t="shared" si="105" ref="E367:N367">SUM(E369:E377)</f>
        <v>67148.3</v>
      </c>
      <c r="F367" s="102">
        <f t="shared" si="105"/>
        <v>339.5</v>
      </c>
      <c r="G367" s="12">
        <f t="shared" si="105"/>
        <v>0</v>
      </c>
      <c r="H367" s="54">
        <f t="shared" si="105"/>
        <v>67487.8</v>
      </c>
      <c r="I367" s="102">
        <f t="shared" si="105"/>
        <v>75016.1</v>
      </c>
      <c r="J367" s="12">
        <f t="shared" si="105"/>
        <v>0</v>
      </c>
      <c r="K367" s="54">
        <f t="shared" si="105"/>
        <v>142503.9</v>
      </c>
      <c r="L367" s="153">
        <f t="shared" si="105"/>
        <v>2500</v>
      </c>
      <c r="M367" s="12">
        <f t="shared" si="105"/>
        <v>0</v>
      </c>
      <c r="N367" s="54">
        <f t="shared" si="105"/>
        <v>145003.9</v>
      </c>
      <c r="O367" s="133"/>
      <c r="P367" s="111">
        <f>SUM(P369:P377)</f>
        <v>68753.90000000001</v>
      </c>
    </row>
    <row r="368" spans="1:16" ht="12.75">
      <c r="A368" s="67" t="s">
        <v>38</v>
      </c>
      <c r="B368" s="45"/>
      <c r="C368" s="7"/>
      <c r="D368" s="7"/>
      <c r="E368" s="46"/>
      <c r="F368" s="57"/>
      <c r="G368" s="7"/>
      <c r="H368" s="46"/>
      <c r="I368" s="57"/>
      <c r="J368" s="7"/>
      <c r="K368" s="46"/>
      <c r="L368" s="57"/>
      <c r="M368" s="7"/>
      <c r="N368" s="46"/>
      <c r="O368" s="128"/>
      <c r="P368" s="126"/>
    </row>
    <row r="369" spans="1:16" ht="12.75">
      <c r="A369" s="69" t="s">
        <v>105</v>
      </c>
      <c r="B369" s="45"/>
      <c r="C369" s="7">
        <f>2441.5+32496.3+1400+140+810</f>
        <v>37287.8</v>
      </c>
      <c r="D369" s="7"/>
      <c r="E369" s="46">
        <f aca="true" t="shared" si="106" ref="E369:E377">B369+C369+D369</f>
        <v>37287.8</v>
      </c>
      <c r="F369" s="57"/>
      <c r="G369" s="7"/>
      <c r="H369" s="46">
        <f>E369+F369+G369</f>
        <v>37287.8</v>
      </c>
      <c r="I369" s="57">
        <f>3690.5+970.8-192.1+9491.3</f>
        <v>13960.5</v>
      </c>
      <c r="J369" s="7"/>
      <c r="K369" s="46">
        <f aca="true" t="shared" si="107" ref="K369:K377">H369+I369+J369</f>
        <v>51248.3</v>
      </c>
      <c r="L369" s="57"/>
      <c r="M369" s="7"/>
      <c r="N369" s="46">
        <f aca="true" t="shared" si="108" ref="N369:N377">K369+L369+M369</f>
        <v>51248.3</v>
      </c>
      <c r="O369" s="128"/>
      <c r="P369" s="126">
        <f t="shared" si="104"/>
        <v>51248.3</v>
      </c>
    </row>
    <row r="370" spans="1:16" ht="12.75">
      <c r="A370" s="69" t="s">
        <v>317</v>
      </c>
      <c r="B370" s="45"/>
      <c r="C370" s="7">
        <v>25000</v>
      </c>
      <c r="D370" s="7"/>
      <c r="E370" s="46">
        <f t="shared" si="106"/>
        <v>25000</v>
      </c>
      <c r="F370" s="57"/>
      <c r="G370" s="7"/>
      <c r="H370" s="46">
        <f aca="true" t="shared" si="109" ref="H370:H375">E370+F370+G370</f>
        <v>25000</v>
      </c>
      <c r="I370" s="57"/>
      <c r="J370" s="7"/>
      <c r="K370" s="46">
        <f t="shared" si="107"/>
        <v>25000</v>
      </c>
      <c r="L370" s="57"/>
      <c r="M370" s="7"/>
      <c r="N370" s="46">
        <f t="shared" si="108"/>
        <v>25000</v>
      </c>
      <c r="O370" s="128"/>
      <c r="P370" s="126"/>
    </row>
    <row r="371" spans="1:16" ht="12.75">
      <c r="A371" s="69" t="s">
        <v>75</v>
      </c>
      <c r="B371" s="45"/>
      <c r="C371" s="7">
        <v>250</v>
      </c>
      <c r="D371" s="7"/>
      <c r="E371" s="46">
        <f t="shared" si="106"/>
        <v>250</v>
      </c>
      <c r="F371" s="57"/>
      <c r="G371" s="7"/>
      <c r="H371" s="46">
        <f t="shared" si="109"/>
        <v>250</v>
      </c>
      <c r="I371" s="57">
        <v>51000</v>
      </c>
      <c r="J371" s="7"/>
      <c r="K371" s="46">
        <f t="shared" si="107"/>
        <v>51250</v>
      </c>
      <c r="L371" s="57"/>
      <c r="M371" s="7"/>
      <c r="N371" s="46">
        <f t="shared" si="108"/>
        <v>51250</v>
      </c>
      <c r="O371" s="128"/>
      <c r="P371" s="126"/>
    </row>
    <row r="372" spans="1:16" ht="12.75">
      <c r="A372" s="74" t="s">
        <v>350</v>
      </c>
      <c r="B372" s="45"/>
      <c r="C372" s="7"/>
      <c r="D372" s="7"/>
      <c r="E372" s="46">
        <f t="shared" si="106"/>
        <v>0</v>
      </c>
      <c r="F372" s="57"/>
      <c r="G372" s="7"/>
      <c r="H372" s="46">
        <f t="shared" si="109"/>
        <v>0</v>
      </c>
      <c r="I372" s="57"/>
      <c r="J372" s="7"/>
      <c r="K372" s="46">
        <f t="shared" si="107"/>
        <v>0</v>
      </c>
      <c r="L372" s="57">
        <v>2500</v>
      </c>
      <c r="M372" s="7"/>
      <c r="N372" s="46">
        <f t="shared" si="108"/>
        <v>2500</v>
      </c>
      <c r="O372" s="128"/>
      <c r="P372" s="126">
        <f t="shared" si="104"/>
        <v>2500</v>
      </c>
    </row>
    <row r="373" spans="1:16" ht="12.75">
      <c r="A373" s="69" t="s">
        <v>138</v>
      </c>
      <c r="B373" s="45"/>
      <c r="C373" s="7"/>
      <c r="D373" s="7"/>
      <c r="E373" s="46">
        <f t="shared" si="106"/>
        <v>0</v>
      </c>
      <c r="F373" s="57"/>
      <c r="G373" s="7"/>
      <c r="H373" s="46">
        <f t="shared" si="109"/>
        <v>0</v>
      </c>
      <c r="I373" s="57">
        <v>300</v>
      </c>
      <c r="J373" s="7"/>
      <c r="K373" s="46">
        <f t="shared" si="107"/>
        <v>300</v>
      </c>
      <c r="L373" s="57"/>
      <c r="M373" s="7"/>
      <c r="N373" s="46">
        <f t="shared" si="108"/>
        <v>300</v>
      </c>
      <c r="O373" s="128"/>
      <c r="P373" s="126">
        <f t="shared" si="104"/>
        <v>300</v>
      </c>
    </row>
    <row r="374" spans="1:16" ht="12.75">
      <c r="A374" s="69" t="s">
        <v>280</v>
      </c>
      <c r="B374" s="45"/>
      <c r="C374" s="7"/>
      <c r="D374" s="7"/>
      <c r="E374" s="46">
        <f t="shared" si="106"/>
        <v>0</v>
      </c>
      <c r="F374" s="57"/>
      <c r="G374" s="7"/>
      <c r="H374" s="46">
        <f t="shared" si="109"/>
        <v>0</v>
      </c>
      <c r="I374" s="57">
        <v>535.5</v>
      </c>
      <c r="J374" s="7"/>
      <c r="K374" s="46">
        <f t="shared" si="107"/>
        <v>535.5</v>
      </c>
      <c r="L374" s="57"/>
      <c r="M374" s="7"/>
      <c r="N374" s="46">
        <f t="shared" si="108"/>
        <v>535.5</v>
      </c>
      <c r="O374" s="128"/>
      <c r="P374" s="126">
        <f t="shared" si="104"/>
        <v>535.5</v>
      </c>
    </row>
    <row r="375" spans="1:16" ht="12.75">
      <c r="A375" s="68" t="s">
        <v>239</v>
      </c>
      <c r="B375" s="49"/>
      <c r="C375" s="10">
        <f>4429.7+180.8</f>
        <v>4610.5</v>
      </c>
      <c r="D375" s="10"/>
      <c r="E375" s="50">
        <f t="shared" si="106"/>
        <v>4610.5</v>
      </c>
      <c r="F375" s="152">
        <v>339.5</v>
      </c>
      <c r="G375" s="10"/>
      <c r="H375" s="50">
        <f t="shared" si="109"/>
        <v>4950</v>
      </c>
      <c r="I375" s="152">
        <f>197.7+9022.4</f>
        <v>9220.1</v>
      </c>
      <c r="J375" s="10"/>
      <c r="K375" s="50">
        <f t="shared" si="107"/>
        <v>14170.1</v>
      </c>
      <c r="L375" s="152"/>
      <c r="M375" s="10"/>
      <c r="N375" s="50">
        <f t="shared" si="108"/>
        <v>14170.1</v>
      </c>
      <c r="O375" s="128"/>
      <c r="P375" s="126">
        <f t="shared" si="104"/>
        <v>14170.1</v>
      </c>
    </row>
    <row r="376" spans="1:16" ht="12.75" hidden="1">
      <c r="A376" s="76" t="s">
        <v>211</v>
      </c>
      <c r="B376" s="49"/>
      <c r="C376" s="10"/>
      <c r="D376" s="10"/>
      <c r="E376" s="50">
        <f t="shared" si="106"/>
        <v>0</v>
      </c>
      <c r="F376" s="152"/>
      <c r="G376" s="10"/>
      <c r="H376" s="50">
        <f>E376+F376+G376</f>
        <v>0</v>
      </c>
      <c r="I376" s="152"/>
      <c r="J376" s="10"/>
      <c r="K376" s="50">
        <f t="shared" si="107"/>
        <v>0</v>
      </c>
      <c r="L376" s="152"/>
      <c r="M376" s="10"/>
      <c r="N376" s="50">
        <f t="shared" si="108"/>
        <v>0</v>
      </c>
      <c r="O376" s="141"/>
      <c r="P376" s="142">
        <f t="shared" si="104"/>
        <v>0</v>
      </c>
    </row>
    <row r="377" spans="1:16" ht="12.75" hidden="1">
      <c r="A377" s="68" t="s">
        <v>75</v>
      </c>
      <c r="B377" s="49"/>
      <c r="C377" s="10"/>
      <c r="D377" s="10"/>
      <c r="E377" s="50">
        <f t="shared" si="106"/>
        <v>0</v>
      </c>
      <c r="F377" s="152"/>
      <c r="G377" s="10"/>
      <c r="H377" s="50">
        <f>E377+F377+G377</f>
        <v>0</v>
      </c>
      <c r="I377" s="152"/>
      <c r="J377" s="10"/>
      <c r="K377" s="50">
        <f t="shared" si="107"/>
        <v>0</v>
      </c>
      <c r="L377" s="152"/>
      <c r="M377" s="10"/>
      <c r="N377" s="50">
        <f t="shared" si="108"/>
        <v>0</v>
      </c>
      <c r="O377" s="141"/>
      <c r="P377" s="142">
        <f t="shared" si="104"/>
        <v>0</v>
      </c>
    </row>
    <row r="378" spans="1:16" ht="12.75">
      <c r="A378" s="77" t="s">
        <v>144</v>
      </c>
      <c r="B378" s="47">
        <f aca="true" t="shared" si="110" ref="B378:K378">B379+B393</f>
        <v>149480.8</v>
      </c>
      <c r="C378" s="8">
        <f t="shared" si="110"/>
        <v>6992.7</v>
      </c>
      <c r="D378" s="8">
        <f>D379+D393</f>
        <v>0</v>
      </c>
      <c r="E378" s="48">
        <f t="shared" si="110"/>
        <v>156473.5</v>
      </c>
      <c r="F378" s="148">
        <f>F379+F393</f>
        <v>14162.5</v>
      </c>
      <c r="G378" s="8">
        <f>G379+G393</f>
        <v>0</v>
      </c>
      <c r="H378" s="48">
        <f t="shared" si="110"/>
        <v>170636</v>
      </c>
      <c r="I378" s="148">
        <f>I379+I393</f>
        <v>15688.300000000001</v>
      </c>
      <c r="J378" s="8">
        <f>J379+J393</f>
        <v>0</v>
      </c>
      <c r="K378" s="48">
        <f t="shared" si="110"/>
        <v>186324.3</v>
      </c>
      <c r="L378" s="149">
        <f>L379+L393</f>
        <v>78.99999999999977</v>
      </c>
      <c r="M378" s="8">
        <f>M379+M393</f>
        <v>0</v>
      </c>
      <c r="N378" s="48">
        <f>N379+N393</f>
        <v>186403.3</v>
      </c>
      <c r="O378" s="131"/>
      <c r="P378" s="59">
        <f>P379+P393</f>
        <v>167184.6</v>
      </c>
    </row>
    <row r="379" spans="1:16" ht="12.75">
      <c r="A379" s="71" t="s">
        <v>68</v>
      </c>
      <c r="B379" s="53">
        <f aca="true" t="shared" si="111" ref="B379:K379">SUM(B381:B392)</f>
        <v>149450.8</v>
      </c>
      <c r="C379" s="12">
        <f t="shared" si="111"/>
        <v>1007</v>
      </c>
      <c r="D379" s="12">
        <f>SUM(D381:D392)</f>
        <v>0</v>
      </c>
      <c r="E379" s="54">
        <f t="shared" si="111"/>
        <v>150457.8</v>
      </c>
      <c r="F379" s="102">
        <f>SUM(F381:F392)</f>
        <v>1631.5</v>
      </c>
      <c r="G379" s="12">
        <f>SUM(G381:G392)</f>
        <v>0</v>
      </c>
      <c r="H379" s="54">
        <f t="shared" si="111"/>
        <v>152089.3</v>
      </c>
      <c r="I379" s="102">
        <f>SUM(I381:I392)</f>
        <v>1900.1</v>
      </c>
      <c r="J379" s="12">
        <f>SUM(J381:J392)</f>
        <v>0</v>
      </c>
      <c r="K379" s="54">
        <f t="shared" si="111"/>
        <v>153989.4</v>
      </c>
      <c r="L379" s="153">
        <f>SUM(L381:L392)</f>
        <v>-86</v>
      </c>
      <c r="M379" s="12">
        <f>SUM(M381:M392)</f>
        <v>0</v>
      </c>
      <c r="N379" s="54">
        <f>SUM(N381:N392)</f>
        <v>153903.4</v>
      </c>
      <c r="O379" s="133"/>
      <c r="P379" s="111">
        <f>SUM(P381:P392)</f>
        <v>151433.4</v>
      </c>
    </row>
    <row r="380" spans="1:16" ht="9.75" customHeight="1">
      <c r="A380" s="67" t="s">
        <v>38</v>
      </c>
      <c r="B380" s="45"/>
      <c r="C380" s="7"/>
      <c r="D380" s="7"/>
      <c r="E380" s="46"/>
      <c r="F380" s="57"/>
      <c r="G380" s="7"/>
      <c r="H380" s="46"/>
      <c r="I380" s="57"/>
      <c r="J380" s="7"/>
      <c r="K380" s="46"/>
      <c r="L380" s="57"/>
      <c r="M380" s="7"/>
      <c r="N380" s="46"/>
      <c r="O380" s="128"/>
      <c r="P380" s="126"/>
    </row>
    <row r="381" spans="1:16" ht="12.75">
      <c r="A381" s="69" t="s">
        <v>101</v>
      </c>
      <c r="B381" s="45">
        <v>126050</v>
      </c>
      <c r="C381" s="7">
        <v>220</v>
      </c>
      <c r="D381" s="7"/>
      <c r="E381" s="46">
        <f>B381+C381+D381</f>
        <v>126270</v>
      </c>
      <c r="F381" s="57"/>
      <c r="G381" s="7"/>
      <c r="H381" s="46">
        <f>E381+F381+G381</f>
        <v>126270</v>
      </c>
      <c r="I381" s="57"/>
      <c r="J381" s="7"/>
      <c r="K381" s="46">
        <f>H381+I381+J381</f>
        <v>126270</v>
      </c>
      <c r="L381" s="57">
        <v>390</v>
      </c>
      <c r="M381" s="7"/>
      <c r="N381" s="46">
        <f>K381+L381+M381</f>
        <v>126660</v>
      </c>
      <c r="O381" s="128"/>
      <c r="P381" s="126">
        <f t="shared" si="104"/>
        <v>126660</v>
      </c>
    </row>
    <row r="382" spans="1:16" ht="12.75">
      <c r="A382" s="69" t="s">
        <v>71</v>
      </c>
      <c r="B382" s="45">
        <v>20500.8</v>
      </c>
      <c r="C382" s="7">
        <f>-5860-890-530.8</f>
        <v>-7280.8</v>
      </c>
      <c r="D382" s="7"/>
      <c r="E382" s="46">
        <f aca="true" t="shared" si="112" ref="E382:E392">B382+C382+D382</f>
        <v>13220</v>
      </c>
      <c r="F382" s="57">
        <f>-53+150+300</f>
        <v>397</v>
      </c>
      <c r="G382" s="7"/>
      <c r="H382" s="46">
        <f aca="true" t="shared" si="113" ref="H382:H392">E382+F382+G382</f>
        <v>13617</v>
      </c>
      <c r="I382" s="57">
        <v>-200</v>
      </c>
      <c r="J382" s="7"/>
      <c r="K382" s="46">
        <f aca="true" t="shared" si="114" ref="K382:K392">H382+I382+J382</f>
        <v>13417</v>
      </c>
      <c r="L382" s="57">
        <v>-555</v>
      </c>
      <c r="M382" s="7"/>
      <c r="N382" s="46">
        <f aca="true" t="shared" si="115" ref="N382:N392">K382+L382+M382</f>
        <v>12862</v>
      </c>
      <c r="O382" s="128"/>
      <c r="P382" s="126">
        <f t="shared" si="104"/>
        <v>12862</v>
      </c>
    </row>
    <row r="383" spans="1:16" ht="12.75">
      <c r="A383" s="69" t="s">
        <v>195</v>
      </c>
      <c r="B383" s="45">
        <v>2900</v>
      </c>
      <c r="C383" s="7">
        <v>530.8</v>
      </c>
      <c r="D383" s="7"/>
      <c r="E383" s="46">
        <f t="shared" si="112"/>
        <v>3430.8</v>
      </c>
      <c r="F383" s="57"/>
      <c r="G383" s="7"/>
      <c r="H383" s="46">
        <f t="shared" si="113"/>
        <v>3430.8</v>
      </c>
      <c r="I383" s="57"/>
      <c r="J383" s="7"/>
      <c r="K383" s="46">
        <f t="shared" si="114"/>
        <v>3430.8</v>
      </c>
      <c r="L383" s="57"/>
      <c r="M383" s="7"/>
      <c r="N383" s="46">
        <f t="shared" si="115"/>
        <v>3430.8</v>
      </c>
      <c r="O383" s="128"/>
      <c r="P383" s="126">
        <f t="shared" si="104"/>
        <v>3430.8</v>
      </c>
    </row>
    <row r="384" spans="1:16" ht="12.75">
      <c r="A384" s="69" t="s">
        <v>88</v>
      </c>
      <c r="B384" s="45"/>
      <c r="C384" s="7">
        <f>5860+670+250</f>
        <v>6780</v>
      </c>
      <c r="D384" s="7"/>
      <c r="E384" s="46">
        <f t="shared" si="112"/>
        <v>6780</v>
      </c>
      <c r="F384" s="57"/>
      <c r="G384" s="7"/>
      <c r="H384" s="46">
        <f t="shared" si="113"/>
        <v>6780</v>
      </c>
      <c r="I384" s="57"/>
      <c r="J384" s="7"/>
      <c r="K384" s="46">
        <f t="shared" si="114"/>
        <v>6780</v>
      </c>
      <c r="L384" s="57"/>
      <c r="M384" s="7"/>
      <c r="N384" s="46">
        <f t="shared" si="115"/>
        <v>6780</v>
      </c>
      <c r="O384" s="128"/>
      <c r="P384" s="126">
        <f t="shared" si="104"/>
        <v>6780</v>
      </c>
    </row>
    <row r="385" spans="1:16" ht="12.75">
      <c r="A385" s="69" t="s">
        <v>145</v>
      </c>
      <c r="B385" s="45"/>
      <c r="C385" s="7"/>
      <c r="D385" s="7"/>
      <c r="E385" s="46">
        <f t="shared" si="112"/>
        <v>0</v>
      </c>
      <c r="F385" s="57"/>
      <c r="G385" s="7"/>
      <c r="H385" s="46">
        <f t="shared" si="113"/>
        <v>0</v>
      </c>
      <c r="I385" s="57">
        <v>370</v>
      </c>
      <c r="J385" s="7"/>
      <c r="K385" s="46">
        <f t="shared" si="114"/>
        <v>370</v>
      </c>
      <c r="L385" s="57">
        <f>30+22</f>
        <v>52</v>
      </c>
      <c r="M385" s="7"/>
      <c r="N385" s="46">
        <f t="shared" si="115"/>
        <v>422</v>
      </c>
      <c r="O385" s="128"/>
      <c r="P385" s="126">
        <f t="shared" si="104"/>
        <v>422</v>
      </c>
    </row>
    <row r="386" spans="1:16" ht="12.75">
      <c r="A386" s="69" t="s">
        <v>351</v>
      </c>
      <c r="B386" s="45"/>
      <c r="C386" s="7"/>
      <c r="D386" s="7"/>
      <c r="E386" s="46"/>
      <c r="F386" s="57"/>
      <c r="G386" s="7"/>
      <c r="H386" s="46"/>
      <c r="I386" s="57"/>
      <c r="J386" s="7"/>
      <c r="K386" s="46">
        <f t="shared" si="114"/>
        <v>0</v>
      </c>
      <c r="L386" s="57">
        <v>27</v>
      </c>
      <c r="M386" s="7"/>
      <c r="N386" s="46">
        <f t="shared" si="115"/>
        <v>27</v>
      </c>
      <c r="O386" s="128"/>
      <c r="P386" s="126"/>
    </row>
    <row r="387" spans="1:16" ht="12.75">
      <c r="A387" s="69" t="s">
        <v>146</v>
      </c>
      <c r="B387" s="45"/>
      <c r="C387" s="7"/>
      <c r="D387" s="7"/>
      <c r="E387" s="46">
        <f t="shared" si="112"/>
        <v>0</v>
      </c>
      <c r="F387" s="57"/>
      <c r="G387" s="7"/>
      <c r="H387" s="46">
        <f t="shared" si="113"/>
        <v>0</v>
      </c>
      <c r="I387" s="57">
        <f>285+70</f>
        <v>355</v>
      </c>
      <c r="J387" s="7"/>
      <c r="K387" s="46">
        <f t="shared" si="114"/>
        <v>355</v>
      </c>
      <c r="L387" s="57"/>
      <c r="M387" s="7"/>
      <c r="N387" s="46">
        <f t="shared" si="115"/>
        <v>355</v>
      </c>
      <c r="O387" s="128"/>
      <c r="P387" s="126">
        <f t="shared" si="104"/>
        <v>355</v>
      </c>
    </row>
    <row r="388" spans="1:16" ht="12.75">
      <c r="A388" s="65" t="s">
        <v>333</v>
      </c>
      <c r="B388" s="45"/>
      <c r="C388" s="7"/>
      <c r="D388" s="7"/>
      <c r="E388" s="46"/>
      <c r="F388" s="57"/>
      <c r="G388" s="7"/>
      <c r="H388" s="46">
        <f t="shared" si="113"/>
        <v>0</v>
      </c>
      <c r="I388" s="57">
        <v>65</v>
      </c>
      <c r="J388" s="7"/>
      <c r="K388" s="46">
        <f t="shared" si="114"/>
        <v>65</v>
      </c>
      <c r="L388" s="57"/>
      <c r="M388" s="7"/>
      <c r="N388" s="46">
        <f t="shared" si="115"/>
        <v>65</v>
      </c>
      <c r="O388" s="128"/>
      <c r="P388" s="126"/>
    </row>
    <row r="389" spans="1:16" ht="12.75">
      <c r="A389" s="69" t="s">
        <v>323</v>
      </c>
      <c r="B389" s="45"/>
      <c r="C389" s="7"/>
      <c r="D389" s="7"/>
      <c r="E389" s="46">
        <f t="shared" si="112"/>
        <v>0</v>
      </c>
      <c r="F389" s="57">
        <v>1067.9</v>
      </c>
      <c r="G389" s="7"/>
      <c r="H389" s="46">
        <f t="shared" si="113"/>
        <v>1067.9</v>
      </c>
      <c r="I389" s="57">
        <f>300+1010.1</f>
        <v>1310.1</v>
      </c>
      <c r="J389" s="7"/>
      <c r="K389" s="46">
        <f t="shared" si="114"/>
        <v>2378</v>
      </c>
      <c r="L389" s="57"/>
      <c r="M389" s="7"/>
      <c r="N389" s="46">
        <f t="shared" si="115"/>
        <v>2378</v>
      </c>
      <c r="O389" s="128"/>
      <c r="P389" s="126"/>
    </row>
    <row r="390" spans="1:16" ht="12.75">
      <c r="A390" s="69" t="s">
        <v>243</v>
      </c>
      <c r="B390" s="45"/>
      <c r="C390" s="7">
        <v>7</v>
      </c>
      <c r="D390" s="7"/>
      <c r="E390" s="46">
        <f t="shared" si="112"/>
        <v>7</v>
      </c>
      <c r="F390" s="57">
        <v>114.6</v>
      </c>
      <c r="G390" s="7"/>
      <c r="H390" s="46">
        <f t="shared" si="113"/>
        <v>121.6</v>
      </c>
      <c r="I390" s="57"/>
      <c r="J390" s="7"/>
      <c r="K390" s="46">
        <f t="shared" si="114"/>
        <v>121.6</v>
      </c>
      <c r="L390" s="57"/>
      <c r="M390" s="7"/>
      <c r="N390" s="46">
        <f t="shared" si="115"/>
        <v>121.6</v>
      </c>
      <c r="O390" s="128"/>
      <c r="P390" s="126">
        <f t="shared" si="104"/>
        <v>121.6</v>
      </c>
    </row>
    <row r="391" spans="1:16" ht="12.75">
      <c r="A391" s="69" t="s">
        <v>105</v>
      </c>
      <c r="B391" s="45"/>
      <c r="C391" s="7">
        <v>750</v>
      </c>
      <c r="D391" s="7"/>
      <c r="E391" s="46">
        <f t="shared" si="112"/>
        <v>750</v>
      </c>
      <c r="F391" s="57">
        <v>52</v>
      </c>
      <c r="G391" s="7"/>
      <c r="H391" s="46">
        <f t="shared" si="113"/>
        <v>802</v>
      </c>
      <c r="I391" s="57"/>
      <c r="J391" s="7"/>
      <c r="K391" s="46">
        <f t="shared" si="114"/>
        <v>802</v>
      </c>
      <c r="L391" s="57"/>
      <c r="M391" s="7"/>
      <c r="N391" s="46">
        <f t="shared" si="115"/>
        <v>802</v>
      </c>
      <c r="O391" s="128"/>
      <c r="P391" s="126">
        <f t="shared" si="104"/>
        <v>802</v>
      </c>
    </row>
    <row r="392" spans="1:16" ht="12.75" hidden="1">
      <c r="A392" s="69" t="s">
        <v>90</v>
      </c>
      <c r="B392" s="45"/>
      <c r="C392" s="7"/>
      <c r="D392" s="7"/>
      <c r="E392" s="46">
        <f t="shared" si="112"/>
        <v>0</v>
      </c>
      <c r="F392" s="57"/>
      <c r="G392" s="7"/>
      <c r="H392" s="46">
        <f t="shared" si="113"/>
        <v>0</v>
      </c>
      <c r="I392" s="57"/>
      <c r="J392" s="7"/>
      <c r="K392" s="46">
        <f t="shared" si="114"/>
        <v>0</v>
      </c>
      <c r="L392" s="57"/>
      <c r="M392" s="7"/>
      <c r="N392" s="46">
        <f t="shared" si="115"/>
        <v>0</v>
      </c>
      <c r="O392" s="128"/>
      <c r="P392" s="126">
        <f t="shared" si="104"/>
        <v>0</v>
      </c>
    </row>
    <row r="393" spans="1:16" ht="12.75">
      <c r="A393" s="71" t="s">
        <v>74</v>
      </c>
      <c r="B393" s="53">
        <f aca="true" t="shared" si="116" ref="B393:J393">SUM(B395:B400)</f>
        <v>30</v>
      </c>
      <c r="C393" s="12">
        <f t="shared" si="116"/>
        <v>5985.7</v>
      </c>
      <c r="D393" s="12">
        <f t="shared" si="116"/>
        <v>0</v>
      </c>
      <c r="E393" s="54">
        <f t="shared" si="116"/>
        <v>6015.7</v>
      </c>
      <c r="F393" s="102">
        <f t="shared" si="116"/>
        <v>12531</v>
      </c>
      <c r="G393" s="12">
        <f t="shared" si="116"/>
        <v>0</v>
      </c>
      <c r="H393" s="54">
        <f t="shared" si="116"/>
        <v>18546.7</v>
      </c>
      <c r="I393" s="102">
        <f t="shared" si="116"/>
        <v>13788.2</v>
      </c>
      <c r="J393" s="12">
        <f t="shared" si="116"/>
        <v>0</v>
      </c>
      <c r="K393" s="54">
        <f>SUM(K395:K400)</f>
        <v>32334.9</v>
      </c>
      <c r="L393" s="153">
        <f>SUM(L395:L400)</f>
        <v>164.99999999999977</v>
      </c>
      <c r="M393" s="12">
        <f>SUM(M395:M400)</f>
        <v>0</v>
      </c>
      <c r="N393" s="54">
        <f>SUM(N395:N400)</f>
        <v>32499.9</v>
      </c>
      <c r="O393" s="133"/>
      <c r="P393" s="111">
        <f>SUM(P395:P400)</f>
        <v>15751.199999999999</v>
      </c>
    </row>
    <row r="394" spans="1:16" ht="9.75" customHeight="1">
      <c r="A394" s="67" t="s">
        <v>38</v>
      </c>
      <c r="B394" s="45"/>
      <c r="C394" s="7"/>
      <c r="D394" s="7"/>
      <c r="E394" s="46"/>
      <c r="F394" s="57"/>
      <c r="G394" s="7"/>
      <c r="H394" s="46"/>
      <c r="I394" s="57"/>
      <c r="J394" s="7"/>
      <c r="K394" s="46"/>
      <c r="L394" s="57"/>
      <c r="M394" s="7"/>
      <c r="N394" s="46"/>
      <c r="O394" s="128"/>
      <c r="P394" s="126"/>
    </row>
    <row r="395" spans="1:16" ht="12.75">
      <c r="A395" s="69" t="s">
        <v>323</v>
      </c>
      <c r="B395" s="45"/>
      <c r="C395" s="7"/>
      <c r="D395" s="7"/>
      <c r="E395" s="46">
        <f>B395+C395+D395</f>
        <v>0</v>
      </c>
      <c r="F395" s="57">
        <v>1704</v>
      </c>
      <c r="G395" s="7"/>
      <c r="H395" s="46">
        <f>E395+F395+G395</f>
        <v>1704</v>
      </c>
      <c r="I395" s="57">
        <f>14849.7</f>
        <v>14849.7</v>
      </c>
      <c r="J395" s="7"/>
      <c r="K395" s="46">
        <f aca="true" t="shared" si="117" ref="K395:K400">H395+I395+J395</f>
        <v>16553.7</v>
      </c>
      <c r="L395" s="57"/>
      <c r="M395" s="7"/>
      <c r="N395" s="46">
        <f aca="true" t="shared" si="118" ref="N395:N400">K395+L395+M395</f>
        <v>16553.7</v>
      </c>
      <c r="O395" s="128"/>
      <c r="P395" s="126"/>
    </row>
    <row r="396" spans="1:16" ht="12.75">
      <c r="A396" s="69" t="s">
        <v>243</v>
      </c>
      <c r="B396" s="45"/>
      <c r="C396" s="7">
        <v>83.3</v>
      </c>
      <c r="D396" s="7"/>
      <c r="E396" s="46">
        <f>B396+C396+D396</f>
        <v>83.3</v>
      </c>
      <c r="F396" s="57">
        <v>2886.9</v>
      </c>
      <c r="G396" s="7"/>
      <c r="H396" s="46">
        <f>E396+F396+G396</f>
        <v>2970.2000000000003</v>
      </c>
      <c r="I396" s="57">
        <v>1058.6</v>
      </c>
      <c r="J396" s="7"/>
      <c r="K396" s="46">
        <f t="shared" si="117"/>
        <v>4028.8</v>
      </c>
      <c r="L396" s="57">
        <f>1911.2</f>
        <v>1911.2</v>
      </c>
      <c r="M396" s="7"/>
      <c r="N396" s="46">
        <f t="shared" si="118"/>
        <v>5940</v>
      </c>
      <c r="O396" s="128"/>
      <c r="P396" s="126">
        <f t="shared" si="104"/>
        <v>5940</v>
      </c>
    </row>
    <row r="397" spans="1:16" ht="12.75">
      <c r="A397" s="69" t="s">
        <v>138</v>
      </c>
      <c r="B397" s="45"/>
      <c r="C397" s="7"/>
      <c r="D397" s="7"/>
      <c r="E397" s="46"/>
      <c r="F397" s="57"/>
      <c r="G397" s="7"/>
      <c r="H397" s="46"/>
      <c r="I397" s="57"/>
      <c r="J397" s="7"/>
      <c r="K397" s="46">
        <f t="shared" si="117"/>
        <v>0</v>
      </c>
      <c r="L397" s="57">
        <v>195</v>
      </c>
      <c r="M397" s="7"/>
      <c r="N397" s="46">
        <f t="shared" si="118"/>
        <v>195</v>
      </c>
      <c r="O397" s="128"/>
      <c r="P397" s="126"/>
    </row>
    <row r="398" spans="1:16" ht="12.75">
      <c r="A398" s="117" t="s">
        <v>93</v>
      </c>
      <c r="B398" s="45"/>
      <c r="C398" s="7">
        <v>500</v>
      </c>
      <c r="D398" s="7"/>
      <c r="E398" s="46">
        <f>B398+C398+D398</f>
        <v>500</v>
      </c>
      <c r="F398" s="57"/>
      <c r="G398" s="7"/>
      <c r="H398" s="46">
        <f>E398+F398+G398</f>
        <v>500</v>
      </c>
      <c r="I398" s="57"/>
      <c r="J398" s="7"/>
      <c r="K398" s="46">
        <f t="shared" si="117"/>
        <v>500</v>
      </c>
      <c r="L398" s="57"/>
      <c r="M398" s="7"/>
      <c r="N398" s="46">
        <f t="shared" si="118"/>
        <v>500</v>
      </c>
      <c r="O398" s="128"/>
      <c r="P398" s="126">
        <f t="shared" si="104"/>
        <v>500</v>
      </c>
    </row>
    <row r="399" spans="1:16" ht="12.75">
      <c r="A399" s="117" t="s">
        <v>75</v>
      </c>
      <c r="B399" s="45"/>
      <c r="C399" s="7"/>
      <c r="D399" s="7"/>
      <c r="E399" s="46"/>
      <c r="F399" s="57">
        <v>1000</v>
      </c>
      <c r="G399" s="7"/>
      <c r="H399" s="46">
        <f>E399+F399+G399</f>
        <v>1000</v>
      </c>
      <c r="I399" s="57"/>
      <c r="J399" s="7"/>
      <c r="K399" s="46">
        <f t="shared" si="117"/>
        <v>1000</v>
      </c>
      <c r="L399" s="57">
        <v>-30</v>
      </c>
      <c r="M399" s="7"/>
      <c r="N399" s="46">
        <f t="shared" si="118"/>
        <v>970</v>
      </c>
      <c r="O399" s="128"/>
      <c r="P399" s="126">
        <f t="shared" si="104"/>
        <v>970</v>
      </c>
    </row>
    <row r="400" spans="1:16" ht="12.75">
      <c r="A400" s="76" t="s">
        <v>105</v>
      </c>
      <c r="B400" s="49">
        <v>30</v>
      </c>
      <c r="C400" s="10">
        <f>52.4+2350+3000</f>
        <v>5402.4</v>
      </c>
      <c r="D400" s="10"/>
      <c r="E400" s="50">
        <f>B400+C400+D400</f>
        <v>5432.4</v>
      </c>
      <c r="F400" s="152">
        <f>1.6+2720.4+3127.6+1090.5</f>
        <v>6940.1</v>
      </c>
      <c r="G400" s="10"/>
      <c r="H400" s="50">
        <f>E400+F400+G400</f>
        <v>12372.5</v>
      </c>
      <c r="I400" s="152">
        <f>2066.1-1058.6-3127.6</f>
        <v>-2120.1</v>
      </c>
      <c r="J400" s="10"/>
      <c r="K400" s="50">
        <f t="shared" si="117"/>
        <v>10252.4</v>
      </c>
      <c r="L400" s="168">
        <f>-1911.2</f>
        <v>-1911.2</v>
      </c>
      <c r="M400" s="10"/>
      <c r="N400" s="50">
        <f t="shared" si="118"/>
        <v>8341.199999999999</v>
      </c>
      <c r="O400" s="141"/>
      <c r="P400" s="142">
        <f t="shared" si="104"/>
        <v>8341.199999999999</v>
      </c>
    </row>
    <row r="401" spans="1:16" ht="12.75">
      <c r="A401" s="62" t="s">
        <v>147</v>
      </c>
      <c r="B401" s="43">
        <f aca="true" t="shared" si="119" ref="B401:K401">B402+B427</f>
        <v>163751</v>
      </c>
      <c r="C401" s="6">
        <f t="shared" si="119"/>
        <v>49606.4</v>
      </c>
      <c r="D401" s="6">
        <f>D402+D427</f>
        <v>0</v>
      </c>
      <c r="E401" s="44">
        <f t="shared" si="119"/>
        <v>213357.4</v>
      </c>
      <c r="F401" s="101">
        <f>F402+F427</f>
        <v>29372.9</v>
      </c>
      <c r="G401" s="6">
        <f>G402+G427</f>
        <v>0</v>
      </c>
      <c r="H401" s="44">
        <f t="shared" si="119"/>
        <v>242730.30000000002</v>
      </c>
      <c r="I401" s="101">
        <f>I402+I427</f>
        <v>28886.399999999994</v>
      </c>
      <c r="J401" s="6">
        <f>J402+J427</f>
        <v>0</v>
      </c>
      <c r="K401" s="44">
        <f t="shared" si="119"/>
        <v>271616.69999999995</v>
      </c>
      <c r="L401" s="97">
        <f>L402+L427</f>
        <v>19671.2</v>
      </c>
      <c r="M401" s="6">
        <f>M402+M427</f>
        <v>0</v>
      </c>
      <c r="N401" s="44">
        <f>N402+N427</f>
        <v>291287.9</v>
      </c>
      <c r="O401" s="129"/>
      <c r="P401" s="110">
        <f>P402+P427</f>
        <v>262452.89999999997</v>
      </c>
    </row>
    <row r="402" spans="1:16" ht="12.75">
      <c r="A402" s="71" t="s">
        <v>68</v>
      </c>
      <c r="B402" s="53">
        <f aca="true" t="shared" si="120" ref="B402:H402">SUM(B404:B426)</f>
        <v>163751</v>
      </c>
      <c r="C402" s="12">
        <f t="shared" si="120"/>
        <v>49606.4</v>
      </c>
      <c r="D402" s="12">
        <f t="shared" si="120"/>
        <v>0</v>
      </c>
      <c r="E402" s="54">
        <f t="shared" si="120"/>
        <v>213357.4</v>
      </c>
      <c r="F402" s="102">
        <f t="shared" si="120"/>
        <v>29351.300000000003</v>
      </c>
      <c r="G402" s="12">
        <f t="shared" si="120"/>
        <v>0</v>
      </c>
      <c r="H402" s="54">
        <f t="shared" si="120"/>
        <v>242708.7</v>
      </c>
      <c r="I402" s="102">
        <f aca="true" t="shared" si="121" ref="I402:N402">SUM(I404:I426)</f>
        <v>27814.399999999994</v>
      </c>
      <c r="J402" s="12">
        <f t="shared" si="121"/>
        <v>0</v>
      </c>
      <c r="K402" s="54">
        <f t="shared" si="121"/>
        <v>270523.1</v>
      </c>
      <c r="L402" s="153">
        <f t="shared" si="121"/>
        <v>19671.2</v>
      </c>
      <c r="M402" s="12">
        <f t="shared" si="121"/>
        <v>0</v>
      </c>
      <c r="N402" s="54">
        <f t="shared" si="121"/>
        <v>290194.30000000005</v>
      </c>
      <c r="O402" s="133"/>
      <c r="P402" s="111">
        <f>SUM(P404:P426)</f>
        <v>261359.29999999996</v>
      </c>
    </row>
    <row r="403" spans="1:16" ht="9" customHeight="1">
      <c r="A403" s="67" t="s">
        <v>38</v>
      </c>
      <c r="B403" s="45"/>
      <c r="C403" s="7"/>
      <c r="D403" s="7"/>
      <c r="E403" s="46"/>
      <c r="F403" s="57"/>
      <c r="G403" s="7"/>
      <c r="H403" s="46"/>
      <c r="I403" s="57"/>
      <c r="J403" s="7"/>
      <c r="K403" s="46"/>
      <c r="L403" s="57"/>
      <c r="M403" s="7"/>
      <c r="N403" s="46"/>
      <c r="O403" s="128"/>
      <c r="P403" s="126"/>
    </row>
    <row r="404" spans="1:16" ht="12.75">
      <c r="A404" s="78" t="s">
        <v>148</v>
      </c>
      <c r="B404" s="45">
        <v>129351</v>
      </c>
      <c r="C404" s="7"/>
      <c r="D404" s="7"/>
      <c r="E404" s="46">
        <f>B404+C404+D404</f>
        <v>129351</v>
      </c>
      <c r="F404" s="57"/>
      <c r="G404" s="7"/>
      <c r="H404" s="46">
        <f>E404+F404+G404</f>
        <v>129351</v>
      </c>
      <c r="I404" s="57"/>
      <c r="J404" s="7"/>
      <c r="K404" s="46">
        <f>H404+I404+J404</f>
        <v>129351</v>
      </c>
      <c r="L404" s="57"/>
      <c r="M404" s="7"/>
      <c r="N404" s="46">
        <f>K404+L404+M404</f>
        <v>129351</v>
      </c>
      <c r="O404" s="128"/>
      <c r="P404" s="126">
        <f t="shared" si="104"/>
        <v>129351</v>
      </c>
    </row>
    <row r="405" spans="1:16" ht="12.75" hidden="1">
      <c r="A405" s="65" t="s">
        <v>244</v>
      </c>
      <c r="B405" s="45"/>
      <c r="C405" s="7"/>
      <c r="D405" s="7"/>
      <c r="E405" s="46">
        <f aca="true" t="shared" si="122" ref="E405:E426">B405+C405+D405</f>
        <v>0</v>
      </c>
      <c r="F405" s="57"/>
      <c r="G405" s="7"/>
      <c r="H405" s="46">
        <f>E405+F405+G405</f>
        <v>0</v>
      </c>
      <c r="I405" s="57"/>
      <c r="J405" s="7"/>
      <c r="K405" s="46">
        <f>H405+I405+J405</f>
        <v>0</v>
      </c>
      <c r="L405" s="57"/>
      <c r="M405" s="7"/>
      <c r="N405" s="46">
        <f>K405+L405+M405</f>
        <v>0</v>
      </c>
      <c r="O405" s="128"/>
      <c r="P405" s="126">
        <f t="shared" si="104"/>
        <v>0</v>
      </c>
    </row>
    <row r="406" spans="1:16" ht="12.75">
      <c r="A406" s="65" t="s">
        <v>288</v>
      </c>
      <c r="B406" s="45">
        <v>26000</v>
      </c>
      <c r="C406" s="7"/>
      <c r="D406" s="7"/>
      <c r="E406" s="46">
        <f t="shared" si="122"/>
        <v>26000</v>
      </c>
      <c r="F406" s="57"/>
      <c r="G406" s="7"/>
      <c r="H406" s="46">
        <f>E406+F406+G406</f>
        <v>26000</v>
      </c>
      <c r="I406" s="57">
        <v>1250</v>
      </c>
      <c r="J406" s="7"/>
      <c r="K406" s="46">
        <f>H406+I406+J406</f>
        <v>27250</v>
      </c>
      <c r="L406" s="57">
        <v>1000</v>
      </c>
      <c r="M406" s="7"/>
      <c r="N406" s="46">
        <f>K406+L406+M406</f>
        <v>28250</v>
      </c>
      <c r="O406" s="128"/>
      <c r="P406" s="126"/>
    </row>
    <row r="407" spans="1:16" ht="12.75">
      <c r="A407" s="65" t="s">
        <v>71</v>
      </c>
      <c r="B407" s="45">
        <v>8400</v>
      </c>
      <c r="C407" s="7">
        <v>100</v>
      </c>
      <c r="D407" s="7"/>
      <c r="E407" s="46">
        <f t="shared" si="122"/>
        <v>8500</v>
      </c>
      <c r="F407" s="57">
        <v>315</v>
      </c>
      <c r="G407" s="7"/>
      <c r="H407" s="46">
        <f aca="true" t="shared" si="123" ref="H407:H426">E407+F407+G407</f>
        <v>8815</v>
      </c>
      <c r="I407" s="57">
        <f>-50+250+350</f>
        <v>550</v>
      </c>
      <c r="J407" s="7"/>
      <c r="K407" s="46">
        <f aca="true" t="shared" si="124" ref="K407:K426">H407+I407+J407</f>
        <v>9365</v>
      </c>
      <c r="L407" s="57">
        <f>-1000</f>
        <v>-1000</v>
      </c>
      <c r="M407" s="7"/>
      <c r="N407" s="46">
        <f aca="true" t="shared" si="125" ref="N407:N426">K407+L407+M407</f>
        <v>8365</v>
      </c>
      <c r="O407" s="128"/>
      <c r="P407" s="126">
        <f t="shared" si="104"/>
        <v>8365</v>
      </c>
    </row>
    <row r="408" spans="1:16" ht="12.75" hidden="1">
      <c r="A408" s="65" t="s">
        <v>88</v>
      </c>
      <c r="B408" s="45"/>
      <c r="C408" s="7"/>
      <c r="D408" s="7"/>
      <c r="E408" s="46">
        <f t="shared" si="122"/>
        <v>0</v>
      </c>
      <c r="F408" s="57"/>
      <c r="G408" s="7"/>
      <c r="H408" s="46">
        <f t="shared" si="123"/>
        <v>0</v>
      </c>
      <c r="I408" s="57"/>
      <c r="J408" s="7"/>
      <c r="K408" s="46">
        <f t="shared" si="124"/>
        <v>0</v>
      </c>
      <c r="L408" s="57"/>
      <c r="M408" s="7"/>
      <c r="N408" s="46">
        <f t="shared" si="125"/>
        <v>0</v>
      </c>
      <c r="O408" s="128"/>
      <c r="P408" s="126">
        <f t="shared" si="104"/>
        <v>0</v>
      </c>
    </row>
    <row r="409" spans="1:16" ht="12.75">
      <c r="A409" s="74" t="s">
        <v>310</v>
      </c>
      <c r="B409" s="45"/>
      <c r="C409" s="7">
        <v>2909.2</v>
      </c>
      <c r="D409" s="7"/>
      <c r="E409" s="46">
        <f t="shared" si="122"/>
        <v>2909.2</v>
      </c>
      <c r="F409" s="57"/>
      <c r="G409" s="7"/>
      <c r="H409" s="46">
        <f t="shared" si="123"/>
        <v>2909.2</v>
      </c>
      <c r="I409" s="57"/>
      <c r="J409" s="7"/>
      <c r="K409" s="46">
        <f t="shared" si="124"/>
        <v>2909.2</v>
      </c>
      <c r="L409" s="57"/>
      <c r="M409" s="7"/>
      <c r="N409" s="46">
        <f t="shared" si="125"/>
        <v>2909.2</v>
      </c>
      <c r="O409" s="128"/>
      <c r="P409" s="126">
        <f t="shared" si="104"/>
        <v>2909.2</v>
      </c>
    </row>
    <row r="410" spans="1:16" ht="12.75">
      <c r="A410" s="74" t="s">
        <v>227</v>
      </c>
      <c r="B410" s="45"/>
      <c r="C410" s="7"/>
      <c r="D410" s="7"/>
      <c r="E410" s="46">
        <f t="shared" si="122"/>
        <v>0</v>
      </c>
      <c r="F410" s="57">
        <v>2142.4</v>
      </c>
      <c r="G410" s="7"/>
      <c r="H410" s="46">
        <f t="shared" si="123"/>
        <v>2142.4</v>
      </c>
      <c r="I410" s="57">
        <v>2895.2</v>
      </c>
      <c r="J410" s="7"/>
      <c r="K410" s="46">
        <f t="shared" si="124"/>
        <v>5037.6</v>
      </c>
      <c r="L410" s="57">
        <v>2726.8</v>
      </c>
      <c r="M410" s="7"/>
      <c r="N410" s="46">
        <f t="shared" si="125"/>
        <v>7764.400000000001</v>
      </c>
      <c r="O410" s="128"/>
      <c r="P410" s="126">
        <f t="shared" si="104"/>
        <v>7764.400000000001</v>
      </c>
    </row>
    <row r="411" spans="1:16" ht="12.75">
      <c r="A411" s="74" t="s">
        <v>311</v>
      </c>
      <c r="B411" s="45"/>
      <c r="C411" s="7">
        <v>2912</v>
      </c>
      <c r="D411" s="7"/>
      <c r="E411" s="46">
        <f t="shared" si="122"/>
        <v>2912</v>
      </c>
      <c r="F411" s="57"/>
      <c r="G411" s="7"/>
      <c r="H411" s="46">
        <f t="shared" si="123"/>
        <v>2912</v>
      </c>
      <c r="I411" s="57"/>
      <c r="J411" s="7"/>
      <c r="K411" s="46">
        <f t="shared" si="124"/>
        <v>2912</v>
      </c>
      <c r="L411" s="57"/>
      <c r="M411" s="7"/>
      <c r="N411" s="46">
        <f t="shared" si="125"/>
        <v>2912</v>
      </c>
      <c r="O411" s="128"/>
      <c r="P411" s="126">
        <f t="shared" si="104"/>
        <v>2912</v>
      </c>
    </row>
    <row r="412" spans="1:16" ht="12.75">
      <c r="A412" s="74" t="s">
        <v>228</v>
      </c>
      <c r="B412" s="45"/>
      <c r="C412" s="7">
        <v>2924.4</v>
      </c>
      <c r="D412" s="7"/>
      <c r="E412" s="46">
        <f t="shared" si="122"/>
        <v>2924.4</v>
      </c>
      <c r="F412" s="57"/>
      <c r="G412" s="7"/>
      <c r="H412" s="46">
        <f t="shared" si="123"/>
        <v>2924.4</v>
      </c>
      <c r="I412" s="57">
        <f>2632.2+4150.7</f>
        <v>6782.9</v>
      </c>
      <c r="J412" s="7"/>
      <c r="K412" s="46">
        <f t="shared" si="124"/>
        <v>9707.3</v>
      </c>
      <c r="L412" s="57"/>
      <c r="M412" s="7"/>
      <c r="N412" s="46">
        <f t="shared" si="125"/>
        <v>9707.3</v>
      </c>
      <c r="O412" s="128"/>
      <c r="P412" s="126">
        <f t="shared" si="104"/>
        <v>9707.3</v>
      </c>
    </row>
    <row r="413" spans="1:16" ht="12.75">
      <c r="A413" s="65" t="s">
        <v>312</v>
      </c>
      <c r="B413" s="45"/>
      <c r="C413" s="7">
        <v>17049.9</v>
      </c>
      <c r="D413" s="7"/>
      <c r="E413" s="46">
        <f t="shared" si="122"/>
        <v>17049.9</v>
      </c>
      <c r="F413" s="57"/>
      <c r="G413" s="7"/>
      <c r="H413" s="46">
        <f t="shared" si="123"/>
        <v>17049.9</v>
      </c>
      <c r="I413" s="57"/>
      <c r="J413" s="7"/>
      <c r="K413" s="46">
        <f t="shared" si="124"/>
        <v>17049.9</v>
      </c>
      <c r="L413" s="57"/>
      <c r="M413" s="7"/>
      <c r="N413" s="46">
        <f t="shared" si="125"/>
        <v>17049.9</v>
      </c>
      <c r="O413" s="128"/>
      <c r="P413" s="126">
        <f t="shared" si="104"/>
        <v>17049.9</v>
      </c>
    </row>
    <row r="414" spans="1:16" ht="13.5" thickBot="1">
      <c r="A414" s="187" t="s">
        <v>214</v>
      </c>
      <c r="B414" s="188"/>
      <c r="C414" s="189">
        <v>19442.8</v>
      </c>
      <c r="D414" s="189"/>
      <c r="E414" s="190">
        <f t="shared" si="122"/>
        <v>19442.8</v>
      </c>
      <c r="F414" s="191">
        <v>21303</v>
      </c>
      <c r="G414" s="189"/>
      <c r="H414" s="190">
        <f t="shared" si="123"/>
        <v>40745.8</v>
      </c>
      <c r="I414" s="191">
        <v>12262.6</v>
      </c>
      <c r="J414" s="189"/>
      <c r="K414" s="190">
        <f t="shared" si="124"/>
        <v>53008.4</v>
      </c>
      <c r="L414" s="191">
        <v>13756.4</v>
      </c>
      <c r="M414" s="189"/>
      <c r="N414" s="190">
        <f t="shared" si="125"/>
        <v>66764.8</v>
      </c>
      <c r="O414" s="128"/>
      <c r="P414" s="126">
        <f t="shared" si="104"/>
        <v>66764.8</v>
      </c>
    </row>
    <row r="415" spans="1:16" ht="12.75" hidden="1">
      <c r="A415" s="63" t="s">
        <v>230</v>
      </c>
      <c r="B415" s="45"/>
      <c r="C415" s="7"/>
      <c r="D415" s="7"/>
      <c r="E415" s="46">
        <f t="shared" si="122"/>
        <v>0</v>
      </c>
      <c r="F415" s="57"/>
      <c r="G415" s="7"/>
      <c r="H415" s="46">
        <f t="shared" si="123"/>
        <v>0</v>
      </c>
      <c r="I415" s="57"/>
      <c r="J415" s="7"/>
      <c r="K415" s="46">
        <f t="shared" si="124"/>
        <v>0</v>
      </c>
      <c r="L415" s="57"/>
      <c r="M415" s="7"/>
      <c r="N415" s="46">
        <f t="shared" si="125"/>
        <v>0</v>
      </c>
      <c r="O415" s="128"/>
      <c r="P415" s="126">
        <f t="shared" si="104"/>
        <v>0</v>
      </c>
    </row>
    <row r="416" spans="1:16" ht="12.75">
      <c r="A416" s="63" t="s">
        <v>313</v>
      </c>
      <c r="B416" s="45"/>
      <c r="C416" s="7">
        <v>3789.2</v>
      </c>
      <c r="D416" s="7"/>
      <c r="E416" s="46">
        <f t="shared" si="122"/>
        <v>3789.2</v>
      </c>
      <c r="F416" s="57"/>
      <c r="G416" s="7"/>
      <c r="H416" s="46">
        <f t="shared" si="123"/>
        <v>3789.2</v>
      </c>
      <c r="I416" s="57"/>
      <c r="J416" s="7"/>
      <c r="K416" s="46">
        <f t="shared" si="124"/>
        <v>3789.2</v>
      </c>
      <c r="L416" s="57"/>
      <c r="M416" s="7"/>
      <c r="N416" s="46">
        <f t="shared" si="125"/>
        <v>3789.2</v>
      </c>
      <c r="O416" s="128"/>
      <c r="P416" s="126">
        <f t="shared" si="104"/>
        <v>3789.2</v>
      </c>
    </row>
    <row r="417" spans="1:16" ht="12.75">
      <c r="A417" s="74" t="s">
        <v>229</v>
      </c>
      <c r="B417" s="45"/>
      <c r="C417" s="7"/>
      <c r="D417" s="7"/>
      <c r="E417" s="46">
        <f t="shared" si="122"/>
        <v>0</v>
      </c>
      <c r="F417" s="57">
        <v>2581.9</v>
      </c>
      <c r="G417" s="7"/>
      <c r="H417" s="46">
        <f t="shared" si="123"/>
        <v>2581.9</v>
      </c>
      <c r="I417" s="57">
        <v>2382.1</v>
      </c>
      <c r="J417" s="7"/>
      <c r="K417" s="46">
        <f t="shared" si="124"/>
        <v>4964</v>
      </c>
      <c r="L417" s="57">
        <v>2190.9</v>
      </c>
      <c r="M417" s="7"/>
      <c r="N417" s="46">
        <f t="shared" si="125"/>
        <v>7154.9</v>
      </c>
      <c r="O417" s="128"/>
      <c r="P417" s="126">
        <f t="shared" si="104"/>
        <v>7154.9</v>
      </c>
    </row>
    <row r="418" spans="1:16" ht="12.75">
      <c r="A418" s="74" t="s">
        <v>314</v>
      </c>
      <c r="B418" s="45"/>
      <c r="C418" s="7">
        <v>37.3</v>
      </c>
      <c r="D418" s="7"/>
      <c r="E418" s="46">
        <f t="shared" si="122"/>
        <v>37.3</v>
      </c>
      <c r="F418" s="57"/>
      <c r="G418" s="7"/>
      <c r="H418" s="46">
        <f t="shared" si="123"/>
        <v>37.3</v>
      </c>
      <c r="I418" s="57"/>
      <c r="J418" s="7"/>
      <c r="K418" s="46">
        <f t="shared" si="124"/>
        <v>37.3</v>
      </c>
      <c r="L418" s="57"/>
      <c r="M418" s="7"/>
      <c r="N418" s="46">
        <f t="shared" si="125"/>
        <v>37.3</v>
      </c>
      <c r="O418" s="128"/>
      <c r="P418" s="126">
        <f t="shared" si="104"/>
        <v>37.3</v>
      </c>
    </row>
    <row r="419" spans="1:16" ht="12.75">
      <c r="A419" s="74" t="s">
        <v>222</v>
      </c>
      <c r="B419" s="45"/>
      <c r="C419" s="7"/>
      <c r="D419" s="7"/>
      <c r="E419" s="46">
        <f t="shared" si="122"/>
        <v>0</v>
      </c>
      <c r="F419" s="57">
        <v>753.9</v>
      </c>
      <c r="G419" s="7"/>
      <c r="H419" s="46">
        <f t="shared" si="123"/>
        <v>753.9</v>
      </c>
      <c r="I419" s="57"/>
      <c r="J419" s="7"/>
      <c r="K419" s="46">
        <f t="shared" si="124"/>
        <v>753.9</v>
      </c>
      <c r="L419" s="57"/>
      <c r="M419" s="7"/>
      <c r="N419" s="46">
        <f t="shared" si="125"/>
        <v>753.9</v>
      </c>
      <c r="O419" s="128"/>
      <c r="P419" s="126">
        <f t="shared" si="104"/>
        <v>753.9</v>
      </c>
    </row>
    <row r="420" spans="1:16" ht="12.75" hidden="1">
      <c r="A420" s="64" t="s">
        <v>149</v>
      </c>
      <c r="B420" s="45"/>
      <c r="C420" s="7"/>
      <c r="D420" s="7"/>
      <c r="E420" s="46">
        <f t="shared" si="122"/>
        <v>0</v>
      </c>
      <c r="F420" s="57"/>
      <c r="G420" s="7"/>
      <c r="H420" s="46">
        <f t="shared" si="123"/>
        <v>0</v>
      </c>
      <c r="I420" s="57"/>
      <c r="J420" s="7"/>
      <c r="K420" s="46">
        <f t="shared" si="124"/>
        <v>0</v>
      </c>
      <c r="L420" s="57"/>
      <c r="M420" s="7"/>
      <c r="N420" s="46">
        <f t="shared" si="125"/>
        <v>0</v>
      </c>
      <c r="O420" s="128"/>
      <c r="P420" s="126">
        <f t="shared" si="104"/>
        <v>0</v>
      </c>
    </row>
    <row r="421" spans="1:16" ht="12.75">
      <c r="A421" s="65" t="s">
        <v>333</v>
      </c>
      <c r="B421" s="45"/>
      <c r="C421" s="7"/>
      <c r="D421" s="7"/>
      <c r="E421" s="46"/>
      <c r="F421" s="57"/>
      <c r="G421" s="7"/>
      <c r="H421" s="46">
        <f t="shared" si="123"/>
        <v>0</v>
      </c>
      <c r="I421" s="57">
        <v>585</v>
      </c>
      <c r="J421" s="7"/>
      <c r="K421" s="46">
        <f t="shared" si="124"/>
        <v>585</v>
      </c>
      <c r="L421" s="57"/>
      <c r="M421" s="7"/>
      <c r="N421" s="46">
        <f t="shared" si="125"/>
        <v>585</v>
      </c>
      <c r="O421" s="128"/>
      <c r="P421" s="126"/>
    </row>
    <row r="422" spans="1:16" ht="12.75">
      <c r="A422" s="65" t="s">
        <v>150</v>
      </c>
      <c r="B422" s="45"/>
      <c r="C422" s="7">
        <v>441.6</v>
      </c>
      <c r="D422" s="7"/>
      <c r="E422" s="46">
        <f t="shared" si="122"/>
        <v>441.6</v>
      </c>
      <c r="F422" s="57">
        <f>641.8+693.4+681.9</f>
        <v>2017.1</v>
      </c>
      <c r="G422" s="7"/>
      <c r="H422" s="46">
        <f t="shared" si="123"/>
        <v>2458.7</v>
      </c>
      <c r="I422" s="57">
        <f>564.5+482.1</f>
        <v>1046.6</v>
      </c>
      <c r="J422" s="7"/>
      <c r="K422" s="46">
        <f t="shared" si="124"/>
        <v>3505.2999999999997</v>
      </c>
      <c r="L422" s="57">
        <f>997.1</f>
        <v>997.1</v>
      </c>
      <c r="M422" s="7"/>
      <c r="N422" s="46">
        <f t="shared" si="125"/>
        <v>4502.4</v>
      </c>
      <c r="O422" s="128"/>
      <c r="P422" s="126">
        <f t="shared" si="104"/>
        <v>4502.4</v>
      </c>
    </row>
    <row r="423" spans="1:16" ht="12.75">
      <c r="A423" s="65" t="s">
        <v>238</v>
      </c>
      <c r="B423" s="45"/>
      <c r="C423" s="7"/>
      <c r="D423" s="7"/>
      <c r="E423" s="46">
        <f t="shared" si="122"/>
        <v>0</v>
      </c>
      <c r="F423" s="57">
        <v>238</v>
      </c>
      <c r="G423" s="7"/>
      <c r="H423" s="46">
        <f t="shared" si="123"/>
        <v>238</v>
      </c>
      <c r="I423" s="57"/>
      <c r="J423" s="7"/>
      <c r="K423" s="46">
        <f t="shared" si="124"/>
        <v>238</v>
      </c>
      <c r="L423" s="57"/>
      <c r="M423" s="7"/>
      <c r="N423" s="46">
        <f t="shared" si="125"/>
        <v>238</v>
      </c>
      <c r="O423" s="128"/>
      <c r="P423" s="126">
        <f t="shared" si="104"/>
        <v>238</v>
      </c>
    </row>
    <row r="424" spans="1:16" ht="12.75">
      <c r="A424" s="74" t="s">
        <v>261</v>
      </c>
      <c r="B424" s="45"/>
      <c r="C424" s="7"/>
      <c r="D424" s="7"/>
      <c r="E424" s="46">
        <f t="shared" si="122"/>
        <v>0</v>
      </c>
      <c r="F424" s="57"/>
      <c r="G424" s="7"/>
      <c r="H424" s="46">
        <f t="shared" si="123"/>
        <v>0</v>
      </c>
      <c r="I424" s="57">
        <v>60</v>
      </c>
      <c r="J424" s="7"/>
      <c r="K424" s="46">
        <f t="shared" si="124"/>
        <v>60</v>
      </c>
      <c r="L424" s="57"/>
      <c r="M424" s="7"/>
      <c r="N424" s="46">
        <f t="shared" si="125"/>
        <v>60</v>
      </c>
      <c r="O424" s="128"/>
      <c r="P424" s="126">
        <f t="shared" si="104"/>
        <v>60</v>
      </c>
    </row>
    <row r="425" spans="1:16" ht="12.75" hidden="1">
      <c r="A425" s="65" t="s">
        <v>104</v>
      </c>
      <c r="B425" s="45"/>
      <c r="C425" s="7"/>
      <c r="D425" s="7"/>
      <c r="E425" s="46">
        <f t="shared" si="122"/>
        <v>0</v>
      </c>
      <c r="F425" s="57"/>
      <c r="G425" s="7"/>
      <c r="H425" s="46">
        <f t="shared" si="123"/>
        <v>0</v>
      </c>
      <c r="I425" s="57"/>
      <c r="J425" s="7"/>
      <c r="K425" s="46">
        <f t="shared" si="124"/>
        <v>0</v>
      </c>
      <c r="L425" s="57"/>
      <c r="M425" s="7"/>
      <c r="N425" s="46">
        <f t="shared" si="125"/>
        <v>0</v>
      </c>
      <c r="O425" s="128"/>
      <c r="P425" s="126">
        <f t="shared" si="104"/>
        <v>0</v>
      </c>
    </row>
    <row r="426" spans="1:16" ht="12.75" hidden="1">
      <c r="A426" s="65" t="s">
        <v>90</v>
      </c>
      <c r="B426" s="45"/>
      <c r="C426" s="7"/>
      <c r="D426" s="7"/>
      <c r="E426" s="46">
        <f t="shared" si="122"/>
        <v>0</v>
      </c>
      <c r="F426" s="57"/>
      <c r="G426" s="7"/>
      <c r="H426" s="46">
        <f t="shared" si="123"/>
        <v>0</v>
      </c>
      <c r="I426" s="57"/>
      <c r="J426" s="7"/>
      <c r="K426" s="46">
        <f t="shared" si="124"/>
        <v>0</v>
      </c>
      <c r="L426" s="57"/>
      <c r="M426" s="7"/>
      <c r="N426" s="46">
        <f t="shared" si="125"/>
        <v>0</v>
      </c>
      <c r="O426" s="128"/>
      <c r="P426" s="126">
        <f t="shared" si="104"/>
        <v>0</v>
      </c>
    </row>
    <row r="427" spans="1:16" ht="12.75">
      <c r="A427" s="71" t="s">
        <v>74</v>
      </c>
      <c r="B427" s="53">
        <f aca="true" t="shared" si="126" ref="B427:P427">SUM(B429:B432)</f>
        <v>0</v>
      </c>
      <c r="C427" s="12">
        <f t="shared" si="126"/>
        <v>0</v>
      </c>
      <c r="D427" s="12"/>
      <c r="E427" s="54">
        <f t="shared" si="126"/>
        <v>0</v>
      </c>
      <c r="F427" s="53">
        <f t="shared" si="126"/>
        <v>21.6</v>
      </c>
      <c r="G427" s="12"/>
      <c r="H427" s="54">
        <f t="shared" si="126"/>
        <v>21.6</v>
      </c>
      <c r="I427" s="102">
        <f t="shared" si="126"/>
        <v>1072</v>
      </c>
      <c r="J427" s="12">
        <f t="shared" si="126"/>
        <v>0</v>
      </c>
      <c r="K427" s="54">
        <f t="shared" si="126"/>
        <v>1093.6</v>
      </c>
      <c r="L427" s="153">
        <f t="shared" si="126"/>
        <v>0</v>
      </c>
      <c r="M427" s="12">
        <f t="shared" si="126"/>
        <v>0</v>
      </c>
      <c r="N427" s="54">
        <f t="shared" si="126"/>
        <v>1093.6</v>
      </c>
      <c r="O427" s="133"/>
      <c r="P427" s="111">
        <f t="shared" si="126"/>
        <v>1093.6</v>
      </c>
    </row>
    <row r="428" spans="1:16" ht="12.75">
      <c r="A428" s="67" t="s">
        <v>38</v>
      </c>
      <c r="B428" s="45"/>
      <c r="C428" s="7"/>
      <c r="D428" s="7"/>
      <c r="E428" s="46"/>
      <c r="F428" s="57"/>
      <c r="G428" s="7"/>
      <c r="H428" s="46"/>
      <c r="I428" s="57"/>
      <c r="J428" s="7"/>
      <c r="K428" s="46"/>
      <c r="L428" s="57"/>
      <c r="M428" s="7"/>
      <c r="N428" s="46"/>
      <c r="O428" s="128"/>
      <c r="P428" s="126"/>
    </row>
    <row r="429" spans="1:16" ht="12.75">
      <c r="A429" s="65" t="s">
        <v>93</v>
      </c>
      <c r="B429" s="45"/>
      <c r="C429" s="7"/>
      <c r="D429" s="7"/>
      <c r="E429" s="46">
        <f>B429+C429+D429</f>
        <v>0</v>
      </c>
      <c r="F429" s="57"/>
      <c r="G429" s="7"/>
      <c r="H429" s="46">
        <f>E429+F429+G429</f>
        <v>0</v>
      </c>
      <c r="I429" s="57">
        <v>1000</v>
      </c>
      <c r="J429" s="7"/>
      <c r="K429" s="46">
        <f>H429+I429+J429</f>
        <v>1000</v>
      </c>
      <c r="L429" s="57"/>
      <c r="M429" s="7"/>
      <c r="N429" s="46">
        <f>K429+L429+M429</f>
        <v>1000</v>
      </c>
      <c r="O429" s="128"/>
      <c r="P429" s="126">
        <f t="shared" si="104"/>
        <v>1000</v>
      </c>
    </row>
    <row r="430" spans="1:16" ht="12.75" hidden="1">
      <c r="A430" s="65" t="s">
        <v>75</v>
      </c>
      <c r="B430" s="45"/>
      <c r="C430" s="7"/>
      <c r="D430" s="7"/>
      <c r="E430" s="46">
        <f>B430+C430+D430</f>
        <v>0</v>
      </c>
      <c r="F430" s="57"/>
      <c r="G430" s="7"/>
      <c r="H430" s="46">
        <f>E430+F430+G430</f>
        <v>0</v>
      </c>
      <c r="I430" s="57"/>
      <c r="J430" s="7"/>
      <c r="K430" s="46">
        <f>H430+I430+J430</f>
        <v>0</v>
      </c>
      <c r="L430" s="57"/>
      <c r="M430" s="7"/>
      <c r="N430" s="46">
        <f>K430+L430+M430</f>
        <v>0</v>
      </c>
      <c r="O430" s="128"/>
      <c r="P430" s="126">
        <f t="shared" si="104"/>
        <v>0</v>
      </c>
    </row>
    <row r="431" spans="1:16" ht="12.75">
      <c r="A431" s="68" t="s">
        <v>104</v>
      </c>
      <c r="B431" s="49"/>
      <c r="C431" s="10"/>
      <c r="D431" s="10"/>
      <c r="E431" s="50">
        <f>B431+C431+D431</f>
        <v>0</v>
      </c>
      <c r="F431" s="152">
        <v>21.6</v>
      </c>
      <c r="G431" s="10"/>
      <c r="H431" s="50">
        <f>E431+F431+G431</f>
        <v>21.6</v>
      </c>
      <c r="I431" s="152">
        <f>24+48</f>
        <v>72</v>
      </c>
      <c r="J431" s="10"/>
      <c r="K431" s="50">
        <f>H431+I431+J431</f>
        <v>93.6</v>
      </c>
      <c r="L431" s="152"/>
      <c r="M431" s="10"/>
      <c r="N431" s="50">
        <f>K431+L431+M431</f>
        <v>93.6</v>
      </c>
      <c r="O431" s="128"/>
      <c r="P431" s="126">
        <f aca="true" t="shared" si="127" ref="P431:P498">N431+O431</f>
        <v>93.6</v>
      </c>
    </row>
    <row r="432" spans="1:16" ht="12.75" hidden="1">
      <c r="A432" s="68" t="s">
        <v>268</v>
      </c>
      <c r="B432" s="49"/>
      <c r="C432" s="10"/>
      <c r="D432" s="10"/>
      <c r="E432" s="50">
        <f>B432+C432+D432</f>
        <v>0</v>
      </c>
      <c r="F432" s="152"/>
      <c r="G432" s="10"/>
      <c r="H432" s="50">
        <f>E432+F432+G432</f>
        <v>0</v>
      </c>
      <c r="I432" s="152"/>
      <c r="J432" s="10"/>
      <c r="K432" s="50">
        <f>H432+I432+J432</f>
        <v>0</v>
      </c>
      <c r="L432" s="152"/>
      <c r="M432" s="10"/>
      <c r="N432" s="50">
        <f>K432+L432+M432</f>
        <v>0</v>
      </c>
      <c r="O432" s="141"/>
      <c r="P432" s="142">
        <f t="shared" si="127"/>
        <v>0</v>
      </c>
    </row>
    <row r="433" spans="1:16" ht="12.75">
      <c r="A433" s="66" t="s">
        <v>151</v>
      </c>
      <c r="B433" s="43">
        <f aca="true" t="shared" si="128" ref="B433:H433">B434+B447</f>
        <v>15914</v>
      </c>
      <c r="C433" s="6" t="e">
        <f t="shared" si="128"/>
        <v>#REF!</v>
      </c>
      <c r="D433" s="6" t="e">
        <f t="shared" si="128"/>
        <v>#REF!</v>
      </c>
      <c r="E433" s="44">
        <f t="shared" si="128"/>
        <v>59320.600000000006</v>
      </c>
      <c r="F433" s="101">
        <f t="shared" si="128"/>
        <v>22419.7</v>
      </c>
      <c r="G433" s="6">
        <f t="shared" si="128"/>
        <v>17028</v>
      </c>
      <c r="H433" s="44">
        <f t="shared" si="128"/>
        <v>98768.3</v>
      </c>
      <c r="I433" s="101">
        <f aca="true" t="shared" si="129" ref="I433:N433">I434+I447</f>
        <v>-1728.9999999999982</v>
      </c>
      <c r="J433" s="6">
        <f t="shared" si="129"/>
        <v>0</v>
      </c>
      <c r="K433" s="44">
        <f t="shared" si="129"/>
        <v>97039.3</v>
      </c>
      <c r="L433" s="97">
        <f t="shared" si="129"/>
        <v>2075</v>
      </c>
      <c r="M433" s="6">
        <f t="shared" si="129"/>
        <v>0</v>
      </c>
      <c r="N433" s="44">
        <f t="shared" si="129"/>
        <v>99114.3</v>
      </c>
      <c r="O433" s="129"/>
      <c r="P433" s="110" t="e">
        <f>P434+P447</f>
        <v>#REF!</v>
      </c>
    </row>
    <row r="434" spans="1:16" ht="12.75">
      <c r="A434" s="71" t="s">
        <v>68</v>
      </c>
      <c r="B434" s="53">
        <f>SUM(B436:B446)</f>
        <v>15914</v>
      </c>
      <c r="C434" s="12" t="e">
        <f>SUM(C436:C446)-#REF!</f>
        <v>#REF!</v>
      </c>
      <c r="D434" s="12" t="e">
        <f>SUM(D436:D446)-#REF!</f>
        <v>#REF!</v>
      </c>
      <c r="E434" s="54">
        <f aca="true" t="shared" si="130" ref="E434:K434">SUM(E436:E446)</f>
        <v>40760.600000000006</v>
      </c>
      <c r="F434" s="102">
        <f t="shared" si="130"/>
        <v>6560.8</v>
      </c>
      <c r="G434" s="12">
        <f t="shared" si="130"/>
        <v>16828</v>
      </c>
      <c r="H434" s="54">
        <f t="shared" si="130"/>
        <v>64149.4</v>
      </c>
      <c r="I434" s="102">
        <f t="shared" si="130"/>
        <v>-16134.099999999999</v>
      </c>
      <c r="J434" s="12">
        <f t="shared" si="130"/>
        <v>-600</v>
      </c>
      <c r="K434" s="54">
        <f t="shared" si="130"/>
        <v>47415.3</v>
      </c>
      <c r="L434" s="153">
        <f>SUM(L436:L446)</f>
        <v>1077.1</v>
      </c>
      <c r="M434" s="12">
        <f>SUM(M436:M446)</f>
        <v>0</v>
      </c>
      <c r="N434" s="54">
        <f>SUM(N436:N446)</f>
        <v>48492.4</v>
      </c>
      <c r="O434" s="133"/>
      <c r="P434" s="111" t="e">
        <f>SUM(P436:P446)-#REF!</f>
        <v>#REF!</v>
      </c>
    </row>
    <row r="435" spans="1:16" ht="12.75">
      <c r="A435" s="67" t="s">
        <v>38</v>
      </c>
      <c r="B435" s="45"/>
      <c r="C435" s="7"/>
      <c r="D435" s="7"/>
      <c r="E435" s="44"/>
      <c r="F435" s="57"/>
      <c r="G435" s="7"/>
      <c r="H435" s="44"/>
      <c r="I435" s="57"/>
      <c r="J435" s="7"/>
      <c r="K435" s="44"/>
      <c r="L435" s="57"/>
      <c r="M435" s="7"/>
      <c r="N435" s="44"/>
      <c r="O435" s="128"/>
      <c r="P435" s="126"/>
    </row>
    <row r="436" spans="1:16" ht="12.75">
      <c r="A436" s="65" t="s">
        <v>71</v>
      </c>
      <c r="B436" s="45">
        <v>14624</v>
      </c>
      <c r="C436" s="7">
        <f>-70.8-46.5-180+160+350+75.2</f>
        <v>287.9</v>
      </c>
      <c r="D436" s="7"/>
      <c r="E436" s="46">
        <f>B436+C436+D436</f>
        <v>14911.9</v>
      </c>
      <c r="F436" s="57">
        <f>-93.6+1369.7-17.3+15</f>
        <v>1273.8000000000002</v>
      </c>
      <c r="G436" s="7">
        <f>-200+17028</f>
        <v>16828</v>
      </c>
      <c r="H436" s="46">
        <f>E436+F436+G436</f>
        <v>33013.7</v>
      </c>
      <c r="I436" s="57">
        <f>94.5-430+300-7028-70-10000+1960</f>
        <v>-15173.5</v>
      </c>
      <c r="J436" s="7"/>
      <c r="K436" s="46">
        <f>H436+I436+J436</f>
        <v>17840.199999999997</v>
      </c>
      <c r="L436" s="57"/>
      <c r="M436" s="7"/>
      <c r="N436" s="46">
        <f>K436+L436+M436</f>
        <v>17840.199999999997</v>
      </c>
      <c r="O436" s="128"/>
      <c r="P436" s="126">
        <f t="shared" si="127"/>
        <v>17840.199999999997</v>
      </c>
    </row>
    <row r="437" spans="1:16" ht="12.75" hidden="1">
      <c r="A437" s="65" t="s">
        <v>152</v>
      </c>
      <c r="B437" s="45"/>
      <c r="C437" s="7"/>
      <c r="D437" s="7"/>
      <c r="E437" s="46">
        <f aca="true" t="shared" si="131" ref="E437:E446">B437+C437+D437</f>
        <v>0</v>
      </c>
      <c r="F437" s="57"/>
      <c r="G437" s="7"/>
      <c r="H437" s="46">
        <f aca="true" t="shared" si="132" ref="H437:H446">E437+F437+G437</f>
        <v>0</v>
      </c>
      <c r="I437" s="57"/>
      <c r="J437" s="7"/>
      <c r="K437" s="46">
        <f aca="true" t="shared" si="133" ref="K437:K446">H437+I437+J437</f>
        <v>0</v>
      </c>
      <c r="L437" s="57"/>
      <c r="M437" s="7"/>
      <c r="N437" s="46">
        <f aca="true" t="shared" si="134" ref="N437:N446">K437+L437+M437</f>
        <v>0</v>
      </c>
      <c r="O437" s="128"/>
      <c r="P437" s="126">
        <f t="shared" si="127"/>
        <v>0</v>
      </c>
    </row>
    <row r="438" spans="1:16" ht="12.75" hidden="1">
      <c r="A438" s="65" t="s">
        <v>153</v>
      </c>
      <c r="B438" s="45"/>
      <c r="C438" s="7"/>
      <c r="D438" s="7"/>
      <c r="E438" s="46">
        <f t="shared" si="131"/>
        <v>0</v>
      </c>
      <c r="F438" s="57"/>
      <c r="G438" s="7"/>
      <c r="H438" s="46">
        <f t="shared" si="132"/>
        <v>0</v>
      </c>
      <c r="I438" s="57"/>
      <c r="J438" s="7"/>
      <c r="K438" s="46">
        <f t="shared" si="133"/>
        <v>0</v>
      </c>
      <c r="L438" s="57"/>
      <c r="M438" s="7"/>
      <c r="N438" s="46">
        <f t="shared" si="134"/>
        <v>0</v>
      </c>
      <c r="O438" s="128"/>
      <c r="P438" s="126">
        <f t="shared" si="127"/>
        <v>0</v>
      </c>
    </row>
    <row r="439" spans="1:16" ht="12.75">
      <c r="A439" s="65" t="s">
        <v>104</v>
      </c>
      <c r="B439" s="45">
        <v>1290</v>
      </c>
      <c r="C439" s="7">
        <f>200.4+204.5+46.5</f>
        <v>451.4</v>
      </c>
      <c r="D439" s="7"/>
      <c r="E439" s="46">
        <f t="shared" si="131"/>
        <v>1741.4</v>
      </c>
      <c r="F439" s="57">
        <v>360</v>
      </c>
      <c r="G439" s="7"/>
      <c r="H439" s="46">
        <f t="shared" si="132"/>
        <v>2101.4</v>
      </c>
      <c r="I439" s="57">
        <f>869.5+75</f>
        <v>944.5</v>
      </c>
      <c r="J439" s="7"/>
      <c r="K439" s="46">
        <f t="shared" si="133"/>
        <v>3045.9</v>
      </c>
      <c r="L439" s="57">
        <v>900</v>
      </c>
      <c r="M439" s="7"/>
      <c r="N439" s="46">
        <f t="shared" si="134"/>
        <v>3945.9</v>
      </c>
      <c r="O439" s="128"/>
      <c r="P439" s="126">
        <f t="shared" si="127"/>
        <v>3945.9</v>
      </c>
    </row>
    <row r="440" spans="1:16" ht="12.75">
      <c r="A440" s="65" t="s">
        <v>294</v>
      </c>
      <c r="B440" s="45"/>
      <c r="C440" s="7">
        <v>549.4</v>
      </c>
      <c r="D440" s="7"/>
      <c r="E440" s="46">
        <f t="shared" si="131"/>
        <v>549.4</v>
      </c>
      <c r="F440" s="57"/>
      <c r="G440" s="7"/>
      <c r="H440" s="46">
        <f t="shared" si="132"/>
        <v>549.4</v>
      </c>
      <c r="I440" s="57"/>
      <c r="J440" s="7"/>
      <c r="K440" s="46">
        <f t="shared" si="133"/>
        <v>549.4</v>
      </c>
      <c r="L440" s="57"/>
      <c r="M440" s="7"/>
      <c r="N440" s="46">
        <f t="shared" si="134"/>
        <v>549.4</v>
      </c>
      <c r="O440" s="128"/>
      <c r="P440" s="126"/>
    </row>
    <row r="441" spans="1:16" ht="12.75">
      <c r="A441" s="65" t="s">
        <v>271</v>
      </c>
      <c r="B441" s="45"/>
      <c r="C441" s="7">
        <f>545.6+12.3</f>
        <v>557.9</v>
      </c>
      <c r="D441" s="7"/>
      <c r="E441" s="46">
        <f t="shared" si="131"/>
        <v>557.9</v>
      </c>
      <c r="F441" s="57"/>
      <c r="G441" s="7"/>
      <c r="H441" s="46">
        <f t="shared" si="132"/>
        <v>557.9</v>
      </c>
      <c r="I441" s="57"/>
      <c r="J441" s="7"/>
      <c r="K441" s="46">
        <f t="shared" si="133"/>
        <v>557.9</v>
      </c>
      <c r="L441" s="57">
        <v>37.5</v>
      </c>
      <c r="M441" s="7"/>
      <c r="N441" s="46">
        <f t="shared" si="134"/>
        <v>595.4</v>
      </c>
      <c r="O441" s="128"/>
      <c r="P441" s="126">
        <f t="shared" si="127"/>
        <v>595.4</v>
      </c>
    </row>
    <row r="442" spans="1:16" ht="12.75">
      <c r="A442" s="65" t="s">
        <v>117</v>
      </c>
      <c r="B442" s="45"/>
      <c r="C442" s="7"/>
      <c r="D442" s="7">
        <v>23000</v>
      </c>
      <c r="E442" s="46">
        <f t="shared" si="131"/>
        <v>23000</v>
      </c>
      <c r="F442" s="57">
        <v>190</v>
      </c>
      <c r="G442" s="7"/>
      <c r="H442" s="46">
        <f t="shared" si="132"/>
        <v>23190</v>
      </c>
      <c r="I442" s="57">
        <f>570-3390.1</f>
        <v>-2820.1</v>
      </c>
      <c r="J442" s="7">
        <v>-600</v>
      </c>
      <c r="K442" s="46">
        <f t="shared" si="133"/>
        <v>19769.9</v>
      </c>
      <c r="L442" s="57">
        <v>139.6</v>
      </c>
      <c r="M442" s="7"/>
      <c r="N442" s="46">
        <f t="shared" si="134"/>
        <v>19909.5</v>
      </c>
      <c r="O442" s="128"/>
      <c r="P442" s="126">
        <f t="shared" si="127"/>
        <v>19909.5</v>
      </c>
    </row>
    <row r="443" spans="1:16" ht="12.75">
      <c r="A443" s="65" t="s">
        <v>88</v>
      </c>
      <c r="B443" s="45"/>
      <c r="C443" s="7"/>
      <c r="D443" s="7"/>
      <c r="E443" s="46">
        <f t="shared" si="131"/>
        <v>0</v>
      </c>
      <c r="F443" s="57"/>
      <c r="G443" s="7"/>
      <c r="H443" s="46">
        <f t="shared" si="132"/>
        <v>0</v>
      </c>
      <c r="I443" s="158">
        <v>915</v>
      </c>
      <c r="J443" s="7"/>
      <c r="K443" s="46">
        <f t="shared" si="133"/>
        <v>915</v>
      </c>
      <c r="L443" s="57"/>
      <c r="M443" s="7"/>
      <c r="N443" s="46">
        <f t="shared" si="134"/>
        <v>915</v>
      </c>
      <c r="O443" s="128"/>
      <c r="P443" s="126">
        <f t="shared" si="127"/>
        <v>915</v>
      </c>
    </row>
    <row r="444" spans="1:16" ht="12.75" hidden="1">
      <c r="A444" s="65" t="s">
        <v>282</v>
      </c>
      <c r="B444" s="45"/>
      <c r="C444" s="7"/>
      <c r="D444" s="7"/>
      <c r="E444" s="46">
        <f t="shared" si="131"/>
        <v>0</v>
      </c>
      <c r="F444" s="57"/>
      <c r="G444" s="7"/>
      <c r="H444" s="46">
        <f t="shared" si="132"/>
        <v>0</v>
      </c>
      <c r="I444" s="158"/>
      <c r="J444" s="7"/>
      <c r="K444" s="46">
        <f t="shared" si="133"/>
        <v>0</v>
      </c>
      <c r="L444" s="57"/>
      <c r="M444" s="7"/>
      <c r="N444" s="46">
        <f t="shared" si="134"/>
        <v>0</v>
      </c>
      <c r="O444" s="128"/>
      <c r="P444" s="126">
        <f t="shared" si="127"/>
        <v>0</v>
      </c>
    </row>
    <row r="445" spans="1:16" ht="12.75">
      <c r="A445" s="65" t="s">
        <v>154</v>
      </c>
      <c r="B445" s="45"/>
      <c r="C445" s="7"/>
      <c r="D445" s="7"/>
      <c r="E445" s="46">
        <f t="shared" si="131"/>
        <v>0</v>
      </c>
      <c r="F445" s="57">
        <v>4737</v>
      </c>
      <c r="G445" s="7"/>
      <c r="H445" s="46">
        <f t="shared" si="132"/>
        <v>4737</v>
      </c>
      <c r="I445" s="57"/>
      <c r="J445" s="7"/>
      <c r="K445" s="46">
        <f t="shared" si="133"/>
        <v>4737</v>
      </c>
      <c r="L445" s="57"/>
      <c r="M445" s="7"/>
      <c r="N445" s="46">
        <f t="shared" si="134"/>
        <v>4737</v>
      </c>
      <c r="O445" s="128"/>
      <c r="P445" s="126">
        <f t="shared" si="127"/>
        <v>4737</v>
      </c>
    </row>
    <row r="446" spans="1:16" ht="12.75" hidden="1">
      <c r="A446" s="65" t="s">
        <v>90</v>
      </c>
      <c r="B446" s="45"/>
      <c r="C446" s="7"/>
      <c r="D446" s="7"/>
      <c r="E446" s="46">
        <f t="shared" si="131"/>
        <v>0</v>
      </c>
      <c r="F446" s="57"/>
      <c r="G446" s="7"/>
      <c r="H446" s="46">
        <f t="shared" si="132"/>
        <v>0</v>
      </c>
      <c r="I446" s="57"/>
      <c r="J446" s="7"/>
      <c r="K446" s="46">
        <f t="shared" si="133"/>
        <v>0</v>
      </c>
      <c r="L446" s="57"/>
      <c r="M446" s="7"/>
      <c r="N446" s="46">
        <f t="shared" si="134"/>
        <v>0</v>
      </c>
      <c r="O446" s="128"/>
      <c r="P446" s="126">
        <f t="shared" si="127"/>
        <v>0</v>
      </c>
    </row>
    <row r="447" spans="1:16" ht="12.75">
      <c r="A447" s="71" t="s">
        <v>74</v>
      </c>
      <c r="B447" s="53">
        <f aca="true" t="shared" si="135" ref="B447:P447">SUM(B449:B458)</f>
        <v>0</v>
      </c>
      <c r="C447" s="12">
        <f t="shared" si="135"/>
        <v>6560</v>
      </c>
      <c r="D447" s="12">
        <f t="shared" si="135"/>
        <v>12000</v>
      </c>
      <c r="E447" s="54">
        <f t="shared" si="135"/>
        <v>18560</v>
      </c>
      <c r="F447" s="102">
        <f t="shared" si="135"/>
        <v>15858.9</v>
      </c>
      <c r="G447" s="12">
        <f t="shared" si="135"/>
        <v>200</v>
      </c>
      <c r="H447" s="54">
        <f t="shared" si="135"/>
        <v>34618.9</v>
      </c>
      <c r="I447" s="102">
        <f t="shared" si="135"/>
        <v>14405.1</v>
      </c>
      <c r="J447" s="12">
        <f t="shared" si="135"/>
        <v>600</v>
      </c>
      <c r="K447" s="54">
        <f t="shared" si="135"/>
        <v>49624</v>
      </c>
      <c r="L447" s="153">
        <f t="shared" si="135"/>
        <v>997.9</v>
      </c>
      <c r="M447" s="12">
        <f t="shared" si="135"/>
        <v>0</v>
      </c>
      <c r="N447" s="54">
        <f t="shared" si="135"/>
        <v>50621.9</v>
      </c>
      <c r="O447" s="133"/>
      <c r="P447" s="111">
        <f t="shared" si="135"/>
        <v>40501.9</v>
      </c>
    </row>
    <row r="448" spans="1:16" ht="12.75">
      <c r="A448" s="67" t="s">
        <v>38</v>
      </c>
      <c r="B448" s="45"/>
      <c r="C448" s="7"/>
      <c r="D448" s="7"/>
      <c r="E448" s="46"/>
      <c r="F448" s="57"/>
      <c r="G448" s="7"/>
      <c r="H448" s="46"/>
      <c r="I448" s="57"/>
      <c r="J448" s="7"/>
      <c r="K448" s="46"/>
      <c r="L448" s="57"/>
      <c r="M448" s="7"/>
      <c r="N448" s="46"/>
      <c r="O448" s="128"/>
      <c r="P448" s="126"/>
    </row>
    <row r="449" spans="1:16" ht="12.75">
      <c r="A449" s="69" t="s">
        <v>93</v>
      </c>
      <c r="B449" s="45"/>
      <c r="C449" s="7"/>
      <c r="D449" s="7"/>
      <c r="E449" s="46">
        <f aca="true" t="shared" si="136" ref="E449:E458">B449+C449+D449</f>
        <v>0</v>
      </c>
      <c r="F449" s="57"/>
      <c r="G449" s="7">
        <v>200</v>
      </c>
      <c r="H449" s="46">
        <f aca="true" t="shared" si="137" ref="H449:H458">E449+F449+G449</f>
        <v>200</v>
      </c>
      <c r="I449" s="57">
        <v>685</v>
      </c>
      <c r="J449" s="7"/>
      <c r="K449" s="46">
        <f aca="true" t="shared" si="138" ref="K449:K458">H449+I449+J449</f>
        <v>885</v>
      </c>
      <c r="L449" s="57"/>
      <c r="M449" s="7"/>
      <c r="N449" s="46">
        <f aca="true" t="shared" si="139" ref="N449:N458">K449+L449+M449</f>
        <v>885</v>
      </c>
      <c r="O449" s="128"/>
      <c r="P449" s="126">
        <f t="shared" si="127"/>
        <v>885</v>
      </c>
    </row>
    <row r="450" spans="1:16" ht="12.75">
      <c r="A450" s="65" t="s">
        <v>117</v>
      </c>
      <c r="B450" s="45"/>
      <c r="C450" s="7"/>
      <c r="D450" s="7">
        <v>12000</v>
      </c>
      <c r="E450" s="46">
        <f t="shared" si="136"/>
        <v>12000</v>
      </c>
      <c r="F450" s="57">
        <f>5000-190</f>
        <v>4810</v>
      </c>
      <c r="G450" s="7"/>
      <c r="H450" s="46">
        <f t="shared" si="137"/>
        <v>16810</v>
      </c>
      <c r="I450" s="57">
        <f>-570+3390.1</f>
        <v>2820.1</v>
      </c>
      <c r="J450" s="7">
        <v>600</v>
      </c>
      <c r="K450" s="46">
        <f t="shared" si="138"/>
        <v>20230.1</v>
      </c>
      <c r="L450" s="57"/>
      <c r="M450" s="7"/>
      <c r="N450" s="46">
        <f t="shared" si="139"/>
        <v>20230.1</v>
      </c>
      <c r="O450" s="128"/>
      <c r="P450" s="126">
        <f t="shared" si="127"/>
        <v>20230.1</v>
      </c>
    </row>
    <row r="451" spans="1:16" ht="12.75">
      <c r="A451" s="65" t="s">
        <v>75</v>
      </c>
      <c r="B451" s="45"/>
      <c r="C451" s="7">
        <v>6429.6</v>
      </c>
      <c r="D451" s="7"/>
      <c r="E451" s="46">
        <f t="shared" si="136"/>
        <v>6429.6</v>
      </c>
      <c r="F451" s="57">
        <v>938</v>
      </c>
      <c r="G451" s="7"/>
      <c r="H451" s="46">
        <f t="shared" si="137"/>
        <v>7367.6</v>
      </c>
      <c r="I451" s="57">
        <f>430+70+400</f>
        <v>900</v>
      </c>
      <c r="J451" s="7"/>
      <c r="K451" s="46">
        <f t="shared" si="138"/>
        <v>8267.6</v>
      </c>
      <c r="L451" s="57">
        <v>997.9</v>
      </c>
      <c r="M451" s="7"/>
      <c r="N451" s="46">
        <f t="shared" si="139"/>
        <v>9265.5</v>
      </c>
      <c r="O451" s="128"/>
      <c r="P451" s="126">
        <f t="shared" si="127"/>
        <v>9265.5</v>
      </c>
    </row>
    <row r="452" spans="1:16" ht="12.75">
      <c r="A452" s="65" t="s">
        <v>104</v>
      </c>
      <c r="B452" s="45"/>
      <c r="C452" s="7">
        <v>33.2</v>
      </c>
      <c r="D452" s="7"/>
      <c r="E452" s="46">
        <f t="shared" si="136"/>
        <v>33.2</v>
      </c>
      <c r="F452" s="57"/>
      <c r="G452" s="7"/>
      <c r="H452" s="46">
        <f t="shared" si="137"/>
        <v>33.2</v>
      </c>
      <c r="I452" s="57"/>
      <c r="J452" s="7"/>
      <c r="K452" s="46">
        <f t="shared" si="138"/>
        <v>33.2</v>
      </c>
      <c r="L452" s="57"/>
      <c r="M452" s="7"/>
      <c r="N452" s="46">
        <f t="shared" si="139"/>
        <v>33.2</v>
      </c>
      <c r="O452" s="128"/>
      <c r="P452" s="126">
        <f t="shared" si="127"/>
        <v>33.2</v>
      </c>
    </row>
    <row r="453" spans="1:16" ht="12.75">
      <c r="A453" s="65" t="s">
        <v>294</v>
      </c>
      <c r="B453" s="45"/>
      <c r="C453" s="7">
        <v>26.4</v>
      </c>
      <c r="D453" s="7"/>
      <c r="E453" s="46">
        <f t="shared" si="136"/>
        <v>26.4</v>
      </c>
      <c r="F453" s="57"/>
      <c r="G453" s="7"/>
      <c r="H453" s="46">
        <f t="shared" si="137"/>
        <v>26.4</v>
      </c>
      <c r="I453" s="57"/>
      <c r="J453" s="7"/>
      <c r="K453" s="46">
        <f t="shared" si="138"/>
        <v>26.4</v>
      </c>
      <c r="L453" s="57"/>
      <c r="M453" s="7"/>
      <c r="N453" s="46">
        <f t="shared" si="139"/>
        <v>26.4</v>
      </c>
      <c r="O453" s="128"/>
      <c r="P453" s="126"/>
    </row>
    <row r="454" spans="1:16" ht="12.75" hidden="1">
      <c r="A454" s="65" t="s">
        <v>271</v>
      </c>
      <c r="B454" s="45"/>
      <c r="C454" s="7"/>
      <c r="D454" s="7"/>
      <c r="E454" s="46">
        <f t="shared" si="136"/>
        <v>0</v>
      </c>
      <c r="F454" s="57"/>
      <c r="G454" s="7"/>
      <c r="H454" s="46">
        <f t="shared" si="137"/>
        <v>0</v>
      </c>
      <c r="I454" s="57"/>
      <c r="J454" s="7"/>
      <c r="K454" s="46">
        <f t="shared" si="138"/>
        <v>0</v>
      </c>
      <c r="L454" s="57"/>
      <c r="M454" s="7"/>
      <c r="N454" s="46">
        <f t="shared" si="139"/>
        <v>0</v>
      </c>
      <c r="O454" s="128"/>
      <c r="P454" s="126">
        <f t="shared" si="127"/>
        <v>0</v>
      </c>
    </row>
    <row r="455" spans="1:16" ht="12.75" hidden="1">
      <c r="A455" s="65" t="s">
        <v>242</v>
      </c>
      <c r="B455" s="45"/>
      <c r="C455" s="7"/>
      <c r="D455" s="7"/>
      <c r="E455" s="46">
        <f t="shared" si="136"/>
        <v>0</v>
      </c>
      <c r="F455" s="57"/>
      <c r="G455" s="7"/>
      <c r="H455" s="46">
        <f t="shared" si="137"/>
        <v>0</v>
      </c>
      <c r="I455" s="57"/>
      <c r="J455" s="7"/>
      <c r="K455" s="46">
        <f t="shared" si="138"/>
        <v>0</v>
      </c>
      <c r="L455" s="57"/>
      <c r="M455" s="7"/>
      <c r="N455" s="46">
        <f t="shared" si="139"/>
        <v>0</v>
      </c>
      <c r="O455" s="128"/>
      <c r="P455" s="126">
        <f t="shared" si="127"/>
        <v>0</v>
      </c>
    </row>
    <row r="456" spans="1:16" ht="12.75" hidden="1">
      <c r="A456" s="65" t="s">
        <v>90</v>
      </c>
      <c r="B456" s="45"/>
      <c r="C456" s="7"/>
      <c r="D456" s="7"/>
      <c r="E456" s="46">
        <f t="shared" si="136"/>
        <v>0</v>
      </c>
      <c r="F456" s="57"/>
      <c r="G456" s="7"/>
      <c r="H456" s="46">
        <f t="shared" si="137"/>
        <v>0</v>
      </c>
      <c r="I456" s="57"/>
      <c r="J456" s="7"/>
      <c r="K456" s="46">
        <f t="shared" si="138"/>
        <v>0</v>
      </c>
      <c r="L456" s="57"/>
      <c r="M456" s="7"/>
      <c r="N456" s="46">
        <f t="shared" si="139"/>
        <v>0</v>
      </c>
      <c r="O456" s="128"/>
      <c r="P456" s="126">
        <f t="shared" si="127"/>
        <v>0</v>
      </c>
    </row>
    <row r="457" spans="1:16" ht="12.75">
      <c r="A457" s="65" t="s">
        <v>327</v>
      </c>
      <c r="B457" s="45"/>
      <c r="C457" s="7"/>
      <c r="D457" s="7"/>
      <c r="E457" s="46">
        <f t="shared" si="136"/>
        <v>0</v>
      </c>
      <c r="F457" s="57">
        <f>93.6+10000</f>
        <v>10093.6</v>
      </c>
      <c r="G457" s="7"/>
      <c r="H457" s="46">
        <f t="shared" si="137"/>
        <v>10093.6</v>
      </c>
      <c r="I457" s="57"/>
      <c r="J457" s="7"/>
      <c r="K457" s="46">
        <f t="shared" si="138"/>
        <v>10093.6</v>
      </c>
      <c r="L457" s="57"/>
      <c r="M457" s="7"/>
      <c r="N457" s="46">
        <f t="shared" si="139"/>
        <v>10093.6</v>
      </c>
      <c r="O457" s="128"/>
      <c r="P457" s="126"/>
    </row>
    <row r="458" spans="1:16" ht="12.75">
      <c r="A458" s="159" t="s">
        <v>328</v>
      </c>
      <c r="B458" s="49"/>
      <c r="C458" s="10">
        <v>70.8</v>
      </c>
      <c r="D458" s="10"/>
      <c r="E458" s="50">
        <f t="shared" si="136"/>
        <v>70.8</v>
      </c>
      <c r="F458" s="152">
        <f>17.3</f>
        <v>17.3</v>
      </c>
      <c r="G458" s="10"/>
      <c r="H458" s="50">
        <f t="shared" si="137"/>
        <v>88.1</v>
      </c>
      <c r="I458" s="152">
        <v>10000</v>
      </c>
      <c r="J458" s="10"/>
      <c r="K458" s="50">
        <f t="shared" si="138"/>
        <v>10088.1</v>
      </c>
      <c r="L458" s="152"/>
      <c r="M458" s="10"/>
      <c r="N458" s="50">
        <f t="shared" si="139"/>
        <v>10088.1</v>
      </c>
      <c r="O458" s="141"/>
      <c r="P458" s="142">
        <f t="shared" si="127"/>
        <v>10088.1</v>
      </c>
    </row>
    <row r="459" spans="1:16" ht="12.75">
      <c r="A459" s="62" t="s">
        <v>155</v>
      </c>
      <c r="B459" s="43">
        <f aca="true" t="shared" si="140" ref="B459:K459">B460+B463</f>
        <v>5263.4</v>
      </c>
      <c r="C459" s="6">
        <f t="shared" si="140"/>
        <v>-72</v>
      </c>
      <c r="D459" s="6">
        <f>D460+D463</f>
        <v>0</v>
      </c>
      <c r="E459" s="44">
        <f t="shared" si="140"/>
        <v>5191.4</v>
      </c>
      <c r="F459" s="101">
        <f>F460+F463</f>
        <v>-668.5</v>
      </c>
      <c r="G459" s="6">
        <f>G460+G463</f>
        <v>0</v>
      </c>
      <c r="H459" s="44">
        <f t="shared" si="140"/>
        <v>4522.9</v>
      </c>
      <c r="I459" s="101">
        <f>I460+I463</f>
        <v>0</v>
      </c>
      <c r="J459" s="6">
        <f>J460+J463</f>
        <v>0</v>
      </c>
      <c r="K459" s="44">
        <f t="shared" si="140"/>
        <v>4522.9</v>
      </c>
      <c r="L459" s="97">
        <f>L460+L463</f>
        <v>-602</v>
      </c>
      <c r="M459" s="6">
        <f>M460+M463</f>
        <v>0</v>
      </c>
      <c r="N459" s="44">
        <f>N460+N463</f>
        <v>3920.8999999999996</v>
      </c>
      <c r="O459" s="129"/>
      <c r="P459" s="110">
        <f>P460+P463</f>
        <v>3920.8999999999996</v>
      </c>
    </row>
    <row r="460" spans="1:16" ht="12.75">
      <c r="A460" s="71" t="s">
        <v>68</v>
      </c>
      <c r="B460" s="53">
        <f aca="true" t="shared" si="141" ref="B460:H460">SUM(B462:B462)</f>
        <v>5263.4</v>
      </c>
      <c r="C460" s="12">
        <f t="shared" si="141"/>
        <v>-72</v>
      </c>
      <c r="D460" s="12">
        <f t="shared" si="141"/>
        <v>0</v>
      </c>
      <c r="E460" s="54">
        <f t="shared" si="141"/>
        <v>5191.4</v>
      </c>
      <c r="F460" s="102">
        <f t="shared" si="141"/>
        <v>-668.5</v>
      </c>
      <c r="G460" s="12">
        <f t="shared" si="141"/>
        <v>0</v>
      </c>
      <c r="H460" s="54">
        <f t="shared" si="141"/>
        <v>4522.9</v>
      </c>
      <c r="I460" s="102">
        <f aca="true" t="shared" si="142" ref="I460:N460">SUM(I462:I462)</f>
        <v>0</v>
      </c>
      <c r="J460" s="12">
        <f t="shared" si="142"/>
        <v>0</v>
      </c>
      <c r="K460" s="54">
        <f t="shared" si="142"/>
        <v>4522.9</v>
      </c>
      <c r="L460" s="153">
        <f t="shared" si="142"/>
        <v>-602</v>
      </c>
      <c r="M460" s="12">
        <f t="shared" si="142"/>
        <v>0</v>
      </c>
      <c r="N460" s="54">
        <f t="shared" si="142"/>
        <v>3920.8999999999996</v>
      </c>
      <c r="O460" s="133"/>
      <c r="P460" s="111">
        <f>SUM(P462:P462)</f>
        <v>3920.8999999999996</v>
      </c>
    </row>
    <row r="461" spans="1:16" ht="12.75">
      <c r="A461" s="67" t="s">
        <v>38</v>
      </c>
      <c r="B461" s="45"/>
      <c r="C461" s="7"/>
      <c r="D461" s="7"/>
      <c r="E461" s="44"/>
      <c r="F461" s="57"/>
      <c r="G461" s="7"/>
      <c r="H461" s="44"/>
      <c r="I461" s="57"/>
      <c r="J461" s="7"/>
      <c r="K461" s="44"/>
      <c r="L461" s="57"/>
      <c r="M461" s="7"/>
      <c r="N461" s="44"/>
      <c r="O461" s="128"/>
      <c r="P461" s="126"/>
    </row>
    <row r="462" spans="1:16" ht="12.75">
      <c r="A462" s="68" t="s">
        <v>71</v>
      </c>
      <c r="B462" s="144">
        <v>5263.4</v>
      </c>
      <c r="C462" s="10">
        <v>-72</v>
      </c>
      <c r="D462" s="10"/>
      <c r="E462" s="50">
        <f>B462+C462+D462</f>
        <v>5191.4</v>
      </c>
      <c r="F462" s="152">
        <v>-668.5</v>
      </c>
      <c r="G462" s="10"/>
      <c r="H462" s="50">
        <f>E462+F462+G462</f>
        <v>4522.9</v>
      </c>
      <c r="I462" s="152"/>
      <c r="J462" s="10"/>
      <c r="K462" s="50">
        <f>H462+I462+J462</f>
        <v>4522.9</v>
      </c>
      <c r="L462" s="152">
        <f>-302-300</f>
        <v>-602</v>
      </c>
      <c r="M462" s="10"/>
      <c r="N462" s="50">
        <f>K462+L462+M462</f>
        <v>3920.8999999999996</v>
      </c>
      <c r="O462" s="128"/>
      <c r="P462" s="126">
        <f t="shared" si="127"/>
        <v>3920.8999999999996</v>
      </c>
    </row>
    <row r="463" spans="1:16" ht="12.75" hidden="1">
      <c r="A463" s="71" t="s">
        <v>74</v>
      </c>
      <c r="B463" s="53">
        <f aca="true" t="shared" si="143" ref="B463:N463">SUM(B465:B465)</f>
        <v>0</v>
      </c>
      <c r="C463" s="12">
        <f t="shared" si="143"/>
        <v>0</v>
      </c>
      <c r="D463" s="12"/>
      <c r="E463" s="54">
        <f t="shared" si="143"/>
        <v>0</v>
      </c>
      <c r="F463" s="153"/>
      <c r="G463" s="12"/>
      <c r="H463" s="54">
        <f t="shared" si="143"/>
        <v>0</v>
      </c>
      <c r="I463" s="153"/>
      <c r="J463" s="12"/>
      <c r="K463" s="54">
        <f t="shared" si="143"/>
        <v>0</v>
      </c>
      <c r="L463" s="153"/>
      <c r="M463" s="12"/>
      <c r="N463" s="54">
        <f t="shared" si="143"/>
        <v>0</v>
      </c>
      <c r="O463" s="128"/>
      <c r="P463" s="126">
        <f t="shared" si="127"/>
        <v>0</v>
      </c>
    </row>
    <row r="464" spans="1:16" ht="12.75" hidden="1">
      <c r="A464" s="67" t="s">
        <v>38</v>
      </c>
      <c r="B464" s="45"/>
      <c r="C464" s="7"/>
      <c r="D464" s="7"/>
      <c r="E464" s="46"/>
      <c r="F464" s="57"/>
      <c r="G464" s="7"/>
      <c r="H464" s="46"/>
      <c r="I464" s="57"/>
      <c r="J464" s="7"/>
      <c r="K464" s="46"/>
      <c r="L464" s="57"/>
      <c r="M464" s="7"/>
      <c r="N464" s="46"/>
      <c r="O464" s="128"/>
      <c r="P464" s="126"/>
    </row>
    <row r="465" spans="1:16" ht="12.75" hidden="1">
      <c r="A465" s="68" t="s">
        <v>75</v>
      </c>
      <c r="B465" s="49"/>
      <c r="C465" s="10"/>
      <c r="D465" s="10"/>
      <c r="E465" s="50">
        <f>B465+C465+D465</f>
        <v>0</v>
      </c>
      <c r="F465" s="152"/>
      <c r="G465" s="10"/>
      <c r="H465" s="50">
        <f>E465+F465+G465</f>
        <v>0</v>
      </c>
      <c r="I465" s="152"/>
      <c r="J465" s="10"/>
      <c r="K465" s="50">
        <f>H465+I465+J465</f>
        <v>0</v>
      </c>
      <c r="L465" s="152"/>
      <c r="M465" s="10"/>
      <c r="N465" s="50">
        <f>K465+L465+M465</f>
        <v>0</v>
      </c>
      <c r="O465" s="141"/>
      <c r="P465" s="142">
        <f t="shared" si="127"/>
        <v>0</v>
      </c>
    </row>
    <row r="466" spans="1:16" ht="12.75">
      <c r="A466" s="62" t="s">
        <v>156</v>
      </c>
      <c r="B466" s="43">
        <f aca="true" t="shared" si="144" ref="B466:P466">B467</f>
        <v>88831.5</v>
      </c>
      <c r="C466" s="6">
        <f t="shared" si="144"/>
        <v>19966.699999999997</v>
      </c>
      <c r="D466" s="6">
        <f t="shared" si="144"/>
        <v>0</v>
      </c>
      <c r="E466" s="44">
        <f t="shared" si="144"/>
        <v>108798.20000000001</v>
      </c>
      <c r="F466" s="101">
        <f t="shared" si="144"/>
        <v>49345.50000000001</v>
      </c>
      <c r="G466" s="6">
        <f t="shared" si="144"/>
        <v>1511.8</v>
      </c>
      <c r="H466" s="44">
        <f t="shared" si="144"/>
        <v>159655.5</v>
      </c>
      <c r="I466" s="101">
        <f t="shared" si="144"/>
        <v>-11198</v>
      </c>
      <c r="J466" s="6">
        <f t="shared" si="144"/>
        <v>0</v>
      </c>
      <c r="K466" s="44">
        <f t="shared" si="144"/>
        <v>148457.5</v>
      </c>
      <c r="L466" s="97">
        <f t="shared" si="144"/>
        <v>-7174</v>
      </c>
      <c r="M466" s="6">
        <f t="shared" si="144"/>
        <v>0</v>
      </c>
      <c r="N466" s="44">
        <f t="shared" si="144"/>
        <v>141283.5</v>
      </c>
      <c r="O466" s="129"/>
      <c r="P466" s="110">
        <f t="shared" si="144"/>
        <v>141283.5</v>
      </c>
    </row>
    <row r="467" spans="1:16" ht="12.75">
      <c r="A467" s="71" t="s">
        <v>68</v>
      </c>
      <c r="B467" s="53">
        <f aca="true" t="shared" si="145" ref="B467:H467">SUM(B469:B472)</f>
        <v>88831.5</v>
      </c>
      <c r="C467" s="12">
        <f t="shared" si="145"/>
        <v>19966.699999999997</v>
      </c>
      <c r="D467" s="12">
        <f t="shared" si="145"/>
        <v>0</v>
      </c>
      <c r="E467" s="54">
        <f t="shared" si="145"/>
        <v>108798.20000000001</v>
      </c>
      <c r="F467" s="102">
        <f t="shared" si="145"/>
        <v>49345.50000000001</v>
      </c>
      <c r="G467" s="12">
        <f t="shared" si="145"/>
        <v>1511.8</v>
      </c>
      <c r="H467" s="54">
        <f t="shared" si="145"/>
        <v>159655.5</v>
      </c>
      <c r="I467" s="102">
        <f aca="true" t="shared" si="146" ref="I467:N467">SUM(I469:I472)</f>
        <v>-11198</v>
      </c>
      <c r="J467" s="12">
        <f t="shared" si="146"/>
        <v>0</v>
      </c>
      <c r="K467" s="54">
        <f t="shared" si="146"/>
        <v>148457.5</v>
      </c>
      <c r="L467" s="153">
        <f t="shared" si="146"/>
        <v>-7174</v>
      </c>
      <c r="M467" s="12">
        <f t="shared" si="146"/>
        <v>0</v>
      </c>
      <c r="N467" s="54">
        <f t="shared" si="146"/>
        <v>141283.5</v>
      </c>
      <c r="O467" s="133"/>
      <c r="P467" s="111">
        <f>SUM(P469:P472)</f>
        <v>141283.5</v>
      </c>
    </row>
    <row r="468" spans="1:16" ht="12.75">
      <c r="A468" s="67" t="s">
        <v>38</v>
      </c>
      <c r="B468" s="43"/>
      <c r="C468" s="6"/>
      <c r="D468" s="6"/>
      <c r="E468" s="44"/>
      <c r="F468" s="97"/>
      <c r="G468" s="6"/>
      <c r="H468" s="44"/>
      <c r="I468" s="97"/>
      <c r="J468" s="6"/>
      <c r="K468" s="44"/>
      <c r="L468" s="97"/>
      <c r="M468" s="6"/>
      <c r="N468" s="44"/>
      <c r="O468" s="128"/>
      <c r="P468" s="126"/>
    </row>
    <row r="469" spans="1:16" ht="12.75">
      <c r="A469" s="74" t="s">
        <v>347</v>
      </c>
      <c r="B469" s="45">
        <v>20808.9</v>
      </c>
      <c r="C469" s="7">
        <f>-4000-6429.6</f>
        <v>-10429.6</v>
      </c>
      <c r="D469" s="7"/>
      <c r="E469" s="46">
        <f>B469+C469+D469</f>
        <v>10379.300000000001</v>
      </c>
      <c r="F469" s="57">
        <v>-10000</v>
      </c>
      <c r="G469" s="7"/>
      <c r="H469" s="46">
        <f>E469+F469+G469</f>
        <v>379.3000000000011</v>
      </c>
      <c r="I469" s="158">
        <v>-370</v>
      </c>
      <c r="J469" s="7"/>
      <c r="K469" s="46">
        <f>H469+I469+J469</f>
        <v>9.300000000001091</v>
      </c>
      <c r="L469" s="57"/>
      <c r="M469" s="7"/>
      <c r="N469" s="46">
        <f>K469+L469+M469</f>
        <v>9.300000000001091</v>
      </c>
      <c r="O469" s="128"/>
      <c r="P469" s="126">
        <f t="shared" si="127"/>
        <v>9.300000000001091</v>
      </c>
    </row>
    <row r="470" spans="1:16" ht="12.75">
      <c r="A470" s="74" t="s">
        <v>157</v>
      </c>
      <c r="B470" s="45"/>
      <c r="C470" s="7">
        <v>20396.3</v>
      </c>
      <c r="D470" s="7"/>
      <c r="E470" s="46">
        <f>B470+C470+D470</f>
        <v>20396.3</v>
      </c>
      <c r="F470" s="57"/>
      <c r="G470" s="7"/>
      <c r="H470" s="46">
        <f>E470+F470+G470</f>
        <v>20396.3</v>
      </c>
      <c r="I470" s="57"/>
      <c r="J470" s="7"/>
      <c r="K470" s="46">
        <f>H470+I470+J470</f>
        <v>20396.3</v>
      </c>
      <c r="L470" s="57"/>
      <c r="M470" s="7"/>
      <c r="N470" s="46">
        <f>K470+L470+M470</f>
        <v>20396.3</v>
      </c>
      <c r="O470" s="128"/>
      <c r="P470" s="126">
        <f t="shared" si="127"/>
        <v>20396.3</v>
      </c>
    </row>
    <row r="471" spans="1:16" ht="12.75">
      <c r="A471" s="74" t="s">
        <v>158</v>
      </c>
      <c r="B471" s="45"/>
      <c r="C471" s="7"/>
      <c r="D471" s="7"/>
      <c r="E471" s="46">
        <f>B471+C471+D471</f>
        <v>0</v>
      </c>
      <c r="F471" s="57"/>
      <c r="G471" s="7">
        <v>1511.8</v>
      </c>
      <c r="H471" s="46">
        <f>E471+F471+G471</f>
        <v>1511.8</v>
      </c>
      <c r="I471" s="57"/>
      <c r="J471" s="7"/>
      <c r="K471" s="46">
        <f>H471+I471+J471</f>
        <v>1511.8</v>
      </c>
      <c r="L471" s="57"/>
      <c r="M471" s="7"/>
      <c r="N471" s="46">
        <f>K471+L471+M471</f>
        <v>1511.8</v>
      </c>
      <c r="O471" s="128"/>
      <c r="P471" s="126">
        <f t="shared" si="127"/>
        <v>1511.8</v>
      </c>
    </row>
    <row r="472" spans="1:16" ht="12.75">
      <c r="A472" s="68" t="s">
        <v>71</v>
      </c>
      <c r="B472" s="49">
        <v>68022.6</v>
      </c>
      <c r="C472" s="10">
        <v>10000</v>
      </c>
      <c r="D472" s="10"/>
      <c r="E472" s="50">
        <f>B472+C472+D472</f>
        <v>78022.6</v>
      </c>
      <c r="F472" s="152">
        <f>62000-2000+677.8+37.4-1369.7</f>
        <v>59345.50000000001</v>
      </c>
      <c r="G472" s="10"/>
      <c r="H472" s="50">
        <f>E472+F472+G472</f>
        <v>137368.1</v>
      </c>
      <c r="I472" s="152">
        <f>1967-709.5+1000-350-1960-300-2500-4543.5-832-2600</f>
        <v>-10828</v>
      </c>
      <c r="J472" s="10"/>
      <c r="K472" s="50">
        <f>H472+I472+J472</f>
        <v>126540.1</v>
      </c>
      <c r="L472" s="152">
        <f>-200-212-32-5980-750</f>
        <v>-7174</v>
      </c>
      <c r="M472" s="10"/>
      <c r="N472" s="50">
        <f>K472+L472+M472</f>
        <v>119366.1</v>
      </c>
      <c r="O472" s="141"/>
      <c r="P472" s="142">
        <f t="shared" si="127"/>
        <v>119366.1</v>
      </c>
    </row>
    <row r="473" spans="1:16" ht="12.75">
      <c r="A473" s="62" t="s">
        <v>217</v>
      </c>
      <c r="B473" s="43">
        <f aca="true" t="shared" si="147" ref="B473:P473">B474</f>
        <v>2000</v>
      </c>
      <c r="C473" s="6">
        <f t="shared" si="147"/>
        <v>2010.4</v>
      </c>
      <c r="D473" s="6">
        <f t="shared" si="147"/>
        <v>0</v>
      </c>
      <c r="E473" s="44">
        <f t="shared" si="147"/>
        <v>4010.4</v>
      </c>
      <c r="F473" s="101">
        <f t="shared" si="147"/>
        <v>0</v>
      </c>
      <c r="G473" s="6">
        <f t="shared" si="147"/>
        <v>0</v>
      </c>
      <c r="H473" s="44">
        <f t="shared" si="147"/>
        <v>4010.4</v>
      </c>
      <c r="I473" s="101">
        <f t="shared" si="147"/>
        <v>0</v>
      </c>
      <c r="J473" s="6">
        <f t="shared" si="147"/>
        <v>0</v>
      </c>
      <c r="K473" s="44">
        <f t="shared" si="147"/>
        <v>4010.4</v>
      </c>
      <c r="L473" s="97">
        <f t="shared" si="147"/>
        <v>0</v>
      </c>
      <c r="M473" s="6">
        <f t="shared" si="147"/>
        <v>0</v>
      </c>
      <c r="N473" s="44">
        <f t="shared" si="147"/>
        <v>4010.4</v>
      </c>
      <c r="O473" s="129"/>
      <c r="P473" s="110">
        <f t="shared" si="147"/>
        <v>4010.4</v>
      </c>
    </row>
    <row r="474" spans="1:16" ht="12.75">
      <c r="A474" s="71" t="s">
        <v>68</v>
      </c>
      <c r="B474" s="53">
        <f aca="true" t="shared" si="148" ref="B474:K474">B476</f>
        <v>2000</v>
      </c>
      <c r="C474" s="12">
        <f t="shared" si="148"/>
        <v>2010.4</v>
      </c>
      <c r="D474" s="12">
        <f>D476</f>
        <v>0</v>
      </c>
      <c r="E474" s="54">
        <f t="shared" si="148"/>
        <v>4010.4</v>
      </c>
      <c r="F474" s="102">
        <f>F476</f>
        <v>0</v>
      </c>
      <c r="G474" s="12">
        <f>G476</f>
        <v>0</v>
      </c>
      <c r="H474" s="54">
        <f t="shared" si="148"/>
        <v>4010.4</v>
      </c>
      <c r="I474" s="102">
        <f>I476</f>
        <v>0</v>
      </c>
      <c r="J474" s="12">
        <f>J476</f>
        <v>0</v>
      </c>
      <c r="K474" s="54">
        <f t="shared" si="148"/>
        <v>4010.4</v>
      </c>
      <c r="L474" s="153">
        <f>L476</f>
        <v>0</v>
      </c>
      <c r="M474" s="12">
        <f>M476</f>
        <v>0</v>
      </c>
      <c r="N474" s="54">
        <f>N476</f>
        <v>4010.4</v>
      </c>
      <c r="O474" s="133"/>
      <c r="P474" s="111">
        <f>P476</f>
        <v>4010.4</v>
      </c>
    </row>
    <row r="475" spans="1:16" ht="12.75">
      <c r="A475" s="67" t="s">
        <v>38</v>
      </c>
      <c r="B475" s="45"/>
      <c r="C475" s="7"/>
      <c r="D475" s="7"/>
      <c r="E475" s="46"/>
      <c r="F475" s="57"/>
      <c r="G475" s="7"/>
      <c r="H475" s="46"/>
      <c r="I475" s="57"/>
      <c r="J475" s="7"/>
      <c r="K475" s="46"/>
      <c r="L475" s="57"/>
      <c r="M475" s="7"/>
      <c r="N475" s="46"/>
      <c r="O475" s="128"/>
      <c r="P475" s="126"/>
    </row>
    <row r="476" spans="1:16" ht="12.75">
      <c r="A476" s="68" t="s">
        <v>71</v>
      </c>
      <c r="B476" s="49">
        <v>2000</v>
      </c>
      <c r="C476" s="10">
        <v>2010.4</v>
      </c>
      <c r="D476" s="10"/>
      <c r="E476" s="50">
        <f>B476+C476+D476</f>
        <v>4010.4</v>
      </c>
      <c r="F476" s="152"/>
      <c r="G476" s="10"/>
      <c r="H476" s="50">
        <f>E476+F476+G476</f>
        <v>4010.4</v>
      </c>
      <c r="I476" s="152"/>
      <c r="J476" s="10"/>
      <c r="K476" s="50">
        <f>H476+I476+J476</f>
        <v>4010.4</v>
      </c>
      <c r="L476" s="152"/>
      <c r="M476" s="10"/>
      <c r="N476" s="50">
        <f>K476+L476+M476</f>
        <v>4010.4</v>
      </c>
      <c r="O476" s="141"/>
      <c r="P476" s="142">
        <f t="shared" si="127"/>
        <v>4010.4</v>
      </c>
    </row>
    <row r="477" spans="1:16" ht="12.75">
      <c r="A477" s="62" t="s">
        <v>159</v>
      </c>
      <c r="B477" s="43">
        <f aca="true" t="shared" si="149" ref="B477:H477">B479+B480</f>
        <v>162000</v>
      </c>
      <c r="C477" s="98">
        <f t="shared" si="149"/>
        <v>151646.80000000002</v>
      </c>
      <c r="D477" s="98">
        <f t="shared" si="149"/>
        <v>25297.600000000002</v>
      </c>
      <c r="E477" s="99">
        <f t="shared" si="149"/>
        <v>338944.39999999997</v>
      </c>
      <c r="F477" s="156">
        <f t="shared" si="149"/>
        <v>20582.800000000003</v>
      </c>
      <c r="G477" s="98">
        <f t="shared" si="149"/>
        <v>-16135.3</v>
      </c>
      <c r="H477" s="44">
        <f t="shared" si="149"/>
        <v>343391.9000000001</v>
      </c>
      <c r="I477" s="101">
        <f aca="true" t="shared" si="150" ref="I477:N477">I479+I480</f>
        <v>-25571.000000000004</v>
      </c>
      <c r="J477" s="98">
        <f t="shared" si="150"/>
        <v>0</v>
      </c>
      <c r="K477" s="44">
        <f t="shared" si="150"/>
        <v>317820.9</v>
      </c>
      <c r="L477" s="97">
        <f t="shared" si="150"/>
        <v>10194.3</v>
      </c>
      <c r="M477" s="6">
        <f t="shared" si="150"/>
        <v>0</v>
      </c>
      <c r="N477" s="44">
        <f t="shared" si="150"/>
        <v>328015.2</v>
      </c>
      <c r="O477" s="129"/>
      <c r="P477" s="110">
        <f>P479+P480</f>
        <v>328015.2</v>
      </c>
    </row>
    <row r="478" spans="1:16" ht="11.25" customHeight="1">
      <c r="A478" s="64" t="s">
        <v>38</v>
      </c>
      <c r="B478" s="43"/>
      <c r="C478" s="6"/>
      <c r="D478" s="6"/>
      <c r="E478" s="44"/>
      <c r="F478" s="101"/>
      <c r="G478" s="6"/>
      <c r="H478" s="44"/>
      <c r="I478" s="101"/>
      <c r="J478" s="6"/>
      <c r="K478" s="44"/>
      <c r="L478" s="97"/>
      <c r="M478" s="6"/>
      <c r="N478" s="44"/>
      <c r="O478" s="129"/>
      <c r="P478" s="110"/>
    </row>
    <row r="479" spans="1:16" ht="12.75">
      <c r="A479" s="62" t="s">
        <v>68</v>
      </c>
      <c r="B479" s="43">
        <f aca="true" t="shared" si="151" ref="B479:G479">B496+B508+B510+B515+B520+B511+B501+B522+B503+B524</f>
        <v>15417</v>
      </c>
      <c r="C479" s="6">
        <f t="shared" si="151"/>
        <v>18505.7</v>
      </c>
      <c r="D479" s="6">
        <f t="shared" si="151"/>
        <v>8447.400000000001</v>
      </c>
      <c r="E479" s="48">
        <f t="shared" si="151"/>
        <v>42370.1</v>
      </c>
      <c r="F479" s="148">
        <f t="shared" si="151"/>
        <v>5771.1</v>
      </c>
      <c r="G479" s="148">
        <f t="shared" si="151"/>
        <v>0</v>
      </c>
      <c r="H479" s="48">
        <f aca="true" t="shared" si="152" ref="H479:N479">H496+H508+H510+H515+H520+H511+H501+H522+H503</f>
        <v>45515.5</v>
      </c>
      <c r="I479" s="148">
        <f t="shared" si="152"/>
        <v>13440.8</v>
      </c>
      <c r="J479" s="8">
        <f t="shared" si="152"/>
        <v>-1934.8999999999999</v>
      </c>
      <c r="K479" s="44">
        <f t="shared" si="152"/>
        <v>57021.4</v>
      </c>
      <c r="L479" s="97">
        <f t="shared" si="152"/>
        <v>305.09999999999997</v>
      </c>
      <c r="M479" s="6">
        <f t="shared" si="152"/>
        <v>0</v>
      </c>
      <c r="N479" s="44">
        <f t="shared" si="152"/>
        <v>57326.49999999999</v>
      </c>
      <c r="O479" s="129"/>
      <c r="P479" s="110">
        <f>P494+P496+P503+P515+P520+P511+P501+P508+P510+P522</f>
        <v>57326.5</v>
      </c>
    </row>
    <row r="480" spans="1:16" ht="12.75">
      <c r="A480" s="62" t="s">
        <v>74</v>
      </c>
      <c r="B480" s="43">
        <f aca="true" t="shared" si="153" ref="B480:G480">B483+B484+B486+B487+B489+B491+B492+B493+B497+B498+B500+B502+B504+B506+B507+B509+B512+B514+B516+B517+B519+B521+B523</f>
        <v>146583</v>
      </c>
      <c r="C480" s="6">
        <f t="shared" si="153"/>
        <v>133141.1</v>
      </c>
      <c r="D480" s="6">
        <f t="shared" si="153"/>
        <v>16850.2</v>
      </c>
      <c r="E480" s="48">
        <f t="shared" si="153"/>
        <v>296574.3</v>
      </c>
      <c r="F480" s="148">
        <f t="shared" si="153"/>
        <v>14811.7</v>
      </c>
      <c r="G480" s="148">
        <f t="shared" si="153"/>
        <v>-16135.3</v>
      </c>
      <c r="H480" s="48">
        <f>H483+H484+H486+H487+H489+H491+H492+H493+H497+H498+H500+H502+H504+H506+H507+H509+H512+H514+H516+H517+H519+H521+H523+H524</f>
        <v>297876.4000000001</v>
      </c>
      <c r="I480" s="148">
        <f>I483+I484+I486+I487+I489+I491+I492+I493+I497+I498+I500+I502+I504+I506+I507+I509+I512+I514+I516+I517+I519+I521+I523+I524</f>
        <v>-39011.8</v>
      </c>
      <c r="J480" s="8">
        <f>J483+J484+J486+J487+J489+J491+J492+J493+J497+J498+J500+J502+J504+J506+J507+J509+J512+J514+J516+J517+J519+J521+J523+J524</f>
        <v>1934.8999999999996</v>
      </c>
      <c r="K480" s="44">
        <f>K483+K484+K486+K487+K491+K492+K493+K497+K498+K500+K502+K504+K506+K507+K509+K512+K514+K516+K517+K519+K521+K523+K524</f>
        <v>260799.5</v>
      </c>
      <c r="L480" s="97">
        <f>L483+L484+L486+L487+L491+L492+L493+L497+L498+L500+L502+L504+L506+L507+L509+L512+L514+L516+L517+L519+L521+L523+L524</f>
        <v>9889.199999999999</v>
      </c>
      <c r="M480" s="6">
        <f>M483+M484+M486+M487+M491+M492+M493+M497+M498+M500+M502+M504+M506+M507+M509+M512+M514+M516+M517+M519+M521+M523+M524</f>
        <v>0</v>
      </c>
      <c r="N480" s="44">
        <f>N483+N484+N486+N487+N491+N492+N493+N497+N498+N500+N502+N504+N506+N507+N509+N512+N514+N516+N517+N519+N521+N523+N524</f>
        <v>270688.7</v>
      </c>
      <c r="O480" s="129"/>
      <c r="P480" s="110">
        <f>P483+P484+P486+P487+P491+P492+P493+P497+P498+P500+P502+P504+P506+P507+P509+P512+P514+P516+P517+P519+P521+P523+P524</f>
        <v>270688.7</v>
      </c>
    </row>
    <row r="481" spans="1:16" ht="10.5" customHeight="1">
      <c r="A481" s="63" t="s">
        <v>160</v>
      </c>
      <c r="B481" s="43"/>
      <c r="C481" s="6"/>
      <c r="D481" s="6"/>
      <c r="E481" s="44"/>
      <c r="F481" s="97"/>
      <c r="G481" s="6"/>
      <c r="H481" s="44"/>
      <c r="I481" s="97"/>
      <c r="J481" s="6"/>
      <c r="K481" s="44"/>
      <c r="L481" s="97"/>
      <c r="M481" s="6"/>
      <c r="N481" s="44"/>
      <c r="O481" s="128"/>
      <c r="P481" s="126"/>
    </row>
    <row r="482" spans="1:16" ht="12.75">
      <c r="A482" s="64" t="s">
        <v>161</v>
      </c>
      <c r="B482" s="45">
        <f>B483+B484</f>
        <v>0</v>
      </c>
      <c r="C482" s="7">
        <f>C483+C484</f>
        <v>0</v>
      </c>
      <c r="D482" s="7"/>
      <c r="E482" s="46">
        <f>E483+E484</f>
        <v>0</v>
      </c>
      <c r="F482" s="57"/>
      <c r="G482" s="7">
        <f aca="true" t="shared" si="154" ref="G482:N482">G483+G484</f>
        <v>14.7</v>
      </c>
      <c r="H482" s="46">
        <f t="shared" si="154"/>
        <v>14.7</v>
      </c>
      <c r="I482" s="14">
        <f t="shared" si="154"/>
        <v>0</v>
      </c>
      <c r="J482" s="7">
        <f t="shared" si="154"/>
        <v>0</v>
      </c>
      <c r="K482" s="46">
        <f t="shared" si="154"/>
        <v>14.7</v>
      </c>
      <c r="L482" s="57">
        <f t="shared" si="154"/>
        <v>0</v>
      </c>
      <c r="M482" s="7">
        <f t="shared" si="154"/>
        <v>0</v>
      </c>
      <c r="N482" s="46">
        <f t="shared" si="154"/>
        <v>14.7</v>
      </c>
      <c r="O482" s="130"/>
      <c r="P482" s="118">
        <f>P483+P484</f>
        <v>14.7</v>
      </c>
    </row>
    <row r="483" spans="1:16" ht="12.75">
      <c r="A483" s="64" t="s">
        <v>162</v>
      </c>
      <c r="B483" s="45"/>
      <c r="C483" s="7"/>
      <c r="D483" s="6"/>
      <c r="E483" s="46">
        <f aca="true" t="shared" si="155" ref="E483:E524">B483+C483+D483</f>
        <v>0</v>
      </c>
      <c r="F483" s="57"/>
      <c r="G483" s="6"/>
      <c r="H483" s="46">
        <f>E483+F483+G483</f>
        <v>0</v>
      </c>
      <c r="I483" s="57"/>
      <c r="J483" s="6"/>
      <c r="K483" s="46">
        <f>H483+I483+J483</f>
        <v>0</v>
      </c>
      <c r="L483" s="57"/>
      <c r="M483" s="6"/>
      <c r="N483" s="46">
        <f>K483+L483+M483</f>
        <v>0</v>
      </c>
      <c r="O483" s="128"/>
      <c r="P483" s="126">
        <f t="shared" si="127"/>
        <v>0</v>
      </c>
    </row>
    <row r="484" spans="1:16" ht="12.75">
      <c r="A484" s="64" t="s">
        <v>163</v>
      </c>
      <c r="B484" s="45"/>
      <c r="C484" s="7"/>
      <c r="D484" s="7"/>
      <c r="E484" s="46">
        <f t="shared" si="155"/>
        <v>0</v>
      </c>
      <c r="F484" s="57"/>
      <c r="G484" s="7">
        <v>14.7</v>
      </c>
      <c r="H484" s="46">
        <f>E484+F484+G484</f>
        <v>14.7</v>
      </c>
      <c r="I484" s="57"/>
      <c r="J484" s="6"/>
      <c r="K484" s="46">
        <f>H484+I484+J484</f>
        <v>14.7</v>
      </c>
      <c r="L484" s="57"/>
      <c r="M484" s="6"/>
      <c r="N484" s="46">
        <f>K484+L484+M484</f>
        <v>14.7</v>
      </c>
      <c r="O484" s="128"/>
      <c r="P484" s="126">
        <f t="shared" si="127"/>
        <v>14.7</v>
      </c>
    </row>
    <row r="485" spans="1:16" ht="12.75">
      <c r="A485" s="64" t="s">
        <v>164</v>
      </c>
      <c r="B485" s="45">
        <f aca="true" t="shared" si="156" ref="B485:N485">B486+B487</f>
        <v>2000</v>
      </c>
      <c r="C485" s="7">
        <f t="shared" si="156"/>
        <v>0</v>
      </c>
      <c r="D485" s="7">
        <f t="shared" si="156"/>
        <v>0</v>
      </c>
      <c r="E485" s="46">
        <f t="shared" si="156"/>
        <v>2000</v>
      </c>
      <c r="F485" s="14">
        <f t="shared" si="156"/>
        <v>3687.1</v>
      </c>
      <c r="G485" s="7">
        <f t="shared" si="156"/>
        <v>0</v>
      </c>
      <c r="H485" s="46">
        <f t="shared" si="156"/>
        <v>5687.1</v>
      </c>
      <c r="I485" s="14">
        <f t="shared" si="156"/>
        <v>0</v>
      </c>
      <c r="J485" s="7">
        <f t="shared" si="156"/>
        <v>0</v>
      </c>
      <c r="K485" s="46">
        <f t="shared" si="156"/>
        <v>5687.1</v>
      </c>
      <c r="L485" s="57">
        <f t="shared" si="156"/>
        <v>0</v>
      </c>
      <c r="M485" s="7">
        <f t="shared" si="156"/>
        <v>0</v>
      </c>
      <c r="N485" s="46">
        <f t="shared" si="156"/>
        <v>5687.1</v>
      </c>
      <c r="O485" s="130"/>
      <c r="P485" s="118">
        <f>P486+P487</f>
        <v>5687.1</v>
      </c>
    </row>
    <row r="486" spans="1:16" ht="12.75">
      <c r="A486" s="64" t="s">
        <v>162</v>
      </c>
      <c r="B486" s="45">
        <v>1700</v>
      </c>
      <c r="C486" s="7"/>
      <c r="D486" s="7"/>
      <c r="E486" s="46">
        <f t="shared" si="155"/>
        <v>1700</v>
      </c>
      <c r="F486" s="57">
        <v>600</v>
      </c>
      <c r="G486" s="6"/>
      <c r="H486" s="46">
        <f>E486+F486+G486</f>
        <v>2300</v>
      </c>
      <c r="I486" s="57"/>
      <c r="J486" s="6"/>
      <c r="K486" s="46">
        <f>H486+I486+J486</f>
        <v>2300</v>
      </c>
      <c r="L486" s="57"/>
      <c r="M486" s="6"/>
      <c r="N486" s="46">
        <f>K486+L486+M486</f>
        <v>2300</v>
      </c>
      <c r="O486" s="128"/>
      <c r="P486" s="126">
        <f t="shared" si="127"/>
        <v>2300</v>
      </c>
    </row>
    <row r="487" spans="1:16" ht="12.75">
      <c r="A487" s="64" t="s">
        <v>163</v>
      </c>
      <c r="B487" s="45">
        <v>300</v>
      </c>
      <c r="C487" s="7"/>
      <c r="D487" s="7"/>
      <c r="E487" s="46">
        <f t="shared" si="155"/>
        <v>300</v>
      </c>
      <c r="F487" s="57">
        <v>3087.1</v>
      </c>
      <c r="G487" s="6"/>
      <c r="H487" s="46">
        <f>E487+F487+G487</f>
        <v>3387.1</v>
      </c>
      <c r="I487" s="57"/>
      <c r="J487" s="6"/>
      <c r="K487" s="46">
        <f>H487+I487+J487</f>
        <v>3387.1</v>
      </c>
      <c r="L487" s="57"/>
      <c r="M487" s="6"/>
      <c r="N487" s="46">
        <f>K487+L487+M487</f>
        <v>3387.1</v>
      </c>
      <c r="O487" s="128"/>
      <c r="P487" s="126">
        <f t="shared" si="127"/>
        <v>3387.1</v>
      </c>
    </row>
    <row r="488" spans="1:16" ht="12.75">
      <c r="A488" s="65" t="s">
        <v>289</v>
      </c>
      <c r="B488" s="45">
        <f aca="true" t="shared" si="157" ref="B488:N488">B489</f>
        <v>4000</v>
      </c>
      <c r="C488" s="7">
        <f t="shared" si="157"/>
        <v>-4000</v>
      </c>
      <c r="D488" s="7">
        <f t="shared" si="157"/>
        <v>0</v>
      </c>
      <c r="E488" s="46">
        <f t="shared" si="157"/>
        <v>0</v>
      </c>
      <c r="F488" s="57">
        <f t="shared" si="157"/>
        <v>0</v>
      </c>
      <c r="G488" s="7">
        <f t="shared" si="157"/>
        <v>0</v>
      </c>
      <c r="H488" s="46">
        <f t="shared" si="157"/>
        <v>0</v>
      </c>
      <c r="I488" s="160">
        <f t="shared" si="157"/>
        <v>0</v>
      </c>
      <c r="J488" s="7">
        <f t="shared" si="157"/>
        <v>0</v>
      </c>
      <c r="K488" s="46">
        <f t="shared" si="157"/>
        <v>0</v>
      </c>
      <c r="L488" s="57">
        <f t="shared" si="157"/>
        <v>0</v>
      </c>
      <c r="M488" s="7">
        <f t="shared" si="157"/>
        <v>0</v>
      </c>
      <c r="N488" s="46">
        <f t="shared" si="157"/>
        <v>0</v>
      </c>
      <c r="O488" s="128"/>
      <c r="P488" s="126"/>
    </row>
    <row r="489" spans="1:16" ht="12.75">
      <c r="A489" s="65" t="s">
        <v>290</v>
      </c>
      <c r="B489" s="45">
        <v>4000</v>
      </c>
      <c r="C489" s="7">
        <v>-4000</v>
      </c>
      <c r="D489" s="7"/>
      <c r="E489" s="46">
        <f t="shared" si="155"/>
        <v>0</v>
      </c>
      <c r="F489" s="57"/>
      <c r="G489" s="6"/>
      <c r="H489" s="46">
        <f>E489+F489+G489</f>
        <v>0</v>
      </c>
      <c r="I489" s="57"/>
      <c r="J489" s="6"/>
      <c r="K489" s="46">
        <f>H489+I489+J489</f>
        <v>0</v>
      </c>
      <c r="L489" s="57"/>
      <c r="M489" s="6"/>
      <c r="N489" s="46">
        <f>K489+L489+M489</f>
        <v>0</v>
      </c>
      <c r="O489" s="128"/>
      <c r="P489" s="126"/>
    </row>
    <row r="490" spans="1:16" ht="12.75">
      <c r="A490" s="64" t="s">
        <v>165</v>
      </c>
      <c r="B490" s="45">
        <f aca="true" t="shared" si="158" ref="B490:G490">SUM(B491:B493)</f>
        <v>40000</v>
      </c>
      <c r="C490" s="7">
        <f t="shared" si="158"/>
        <v>19860.2</v>
      </c>
      <c r="D490" s="7">
        <f t="shared" si="158"/>
        <v>0</v>
      </c>
      <c r="E490" s="46">
        <f t="shared" si="158"/>
        <v>59860.2</v>
      </c>
      <c r="F490" s="14">
        <f t="shared" si="158"/>
        <v>0</v>
      </c>
      <c r="G490" s="7">
        <f t="shared" si="158"/>
        <v>0</v>
      </c>
      <c r="H490" s="46">
        <f aca="true" t="shared" si="159" ref="H490:N490">SUM(H491:H494)</f>
        <v>59860.2</v>
      </c>
      <c r="I490" s="14">
        <f t="shared" si="159"/>
        <v>2450</v>
      </c>
      <c r="J490" s="7">
        <f t="shared" si="159"/>
        <v>0</v>
      </c>
      <c r="K490" s="46">
        <f t="shared" si="159"/>
        <v>62310.2</v>
      </c>
      <c r="L490" s="57">
        <f t="shared" si="159"/>
        <v>1000</v>
      </c>
      <c r="M490" s="7">
        <f t="shared" si="159"/>
        <v>0</v>
      </c>
      <c r="N490" s="46">
        <f t="shared" si="159"/>
        <v>63310.2</v>
      </c>
      <c r="O490" s="130"/>
      <c r="P490" s="118">
        <f>SUM(P491:P493)</f>
        <v>63310.2</v>
      </c>
    </row>
    <row r="491" spans="1:16" ht="12.75">
      <c r="A491" s="64" t="s">
        <v>166</v>
      </c>
      <c r="B491" s="45">
        <v>15000</v>
      </c>
      <c r="C491" s="7">
        <v>3116.2</v>
      </c>
      <c r="D491" s="7"/>
      <c r="E491" s="46">
        <f t="shared" si="155"/>
        <v>18116.2</v>
      </c>
      <c r="F491" s="57"/>
      <c r="G491" s="7"/>
      <c r="H491" s="46">
        <f>E491+F491+G491</f>
        <v>18116.2</v>
      </c>
      <c r="I491" s="57"/>
      <c r="J491" s="7"/>
      <c r="K491" s="46">
        <f>H491+I491+J491</f>
        <v>18116.2</v>
      </c>
      <c r="L491" s="57"/>
      <c r="M491" s="7"/>
      <c r="N491" s="46">
        <f>K491+L491+M491</f>
        <v>18116.2</v>
      </c>
      <c r="O491" s="128"/>
      <c r="P491" s="126">
        <f t="shared" si="127"/>
        <v>18116.2</v>
      </c>
    </row>
    <row r="492" spans="1:16" ht="12.75">
      <c r="A492" s="64" t="s">
        <v>167</v>
      </c>
      <c r="B492" s="45">
        <v>20000</v>
      </c>
      <c r="C492" s="9">
        <v>16744</v>
      </c>
      <c r="D492" s="7"/>
      <c r="E492" s="46">
        <f t="shared" si="155"/>
        <v>36744</v>
      </c>
      <c r="F492" s="57">
        <v>1000</v>
      </c>
      <c r="G492" s="7"/>
      <c r="H492" s="46">
        <f>E492+F492+G492</f>
        <v>37744</v>
      </c>
      <c r="I492" s="57">
        <f>1000+2500+2850</f>
        <v>6350</v>
      </c>
      <c r="J492" s="7"/>
      <c r="K492" s="46">
        <f>H492+I492+J492</f>
        <v>44094</v>
      </c>
      <c r="L492" s="57">
        <f>1000</f>
        <v>1000</v>
      </c>
      <c r="M492" s="7"/>
      <c r="N492" s="46">
        <f>K492+L492+M492</f>
        <v>45094</v>
      </c>
      <c r="O492" s="128"/>
      <c r="P492" s="126">
        <f t="shared" si="127"/>
        <v>45094</v>
      </c>
    </row>
    <row r="493" spans="1:16" ht="13.5" thickBot="1">
      <c r="A493" s="196" t="s">
        <v>163</v>
      </c>
      <c r="B493" s="188">
        <v>5000</v>
      </c>
      <c r="C493" s="189"/>
      <c r="D493" s="189"/>
      <c r="E493" s="190">
        <f t="shared" si="155"/>
        <v>5000</v>
      </c>
      <c r="F493" s="191">
        <v>-1000</v>
      </c>
      <c r="G493" s="189"/>
      <c r="H493" s="190">
        <f>E493+F493+G493</f>
        <v>4000</v>
      </c>
      <c r="I493" s="191">
        <f>-1050-2850</f>
        <v>-3900</v>
      </c>
      <c r="J493" s="189"/>
      <c r="K493" s="190">
        <f>H493+I493+J493</f>
        <v>100</v>
      </c>
      <c r="L493" s="191"/>
      <c r="M493" s="189"/>
      <c r="N493" s="190">
        <f>K493+L493+M493</f>
        <v>100</v>
      </c>
      <c r="O493" s="128"/>
      <c r="P493" s="126">
        <f t="shared" si="127"/>
        <v>100</v>
      </c>
    </row>
    <row r="494" spans="1:16" ht="12.75" hidden="1">
      <c r="A494" s="65" t="s">
        <v>196</v>
      </c>
      <c r="B494" s="45"/>
      <c r="C494" s="7"/>
      <c r="D494" s="7"/>
      <c r="E494" s="46">
        <f t="shared" si="155"/>
        <v>0</v>
      </c>
      <c r="F494" s="57"/>
      <c r="G494" s="7"/>
      <c r="H494" s="46">
        <f>E494+F494+G494</f>
        <v>0</v>
      </c>
      <c r="I494" s="57"/>
      <c r="J494" s="7"/>
      <c r="K494" s="46">
        <f>H494+I494+J494</f>
        <v>0</v>
      </c>
      <c r="L494" s="57"/>
      <c r="M494" s="7"/>
      <c r="N494" s="46">
        <f>K494+L494+M494</f>
        <v>0</v>
      </c>
      <c r="O494" s="128"/>
      <c r="P494" s="126">
        <f t="shared" si="127"/>
        <v>0</v>
      </c>
    </row>
    <row r="495" spans="1:16" ht="12.75">
      <c r="A495" s="64" t="s">
        <v>168</v>
      </c>
      <c r="B495" s="45">
        <f aca="true" t="shared" si="160" ref="B495:P495">B496+B497+B498</f>
        <v>1000</v>
      </c>
      <c r="C495" s="7">
        <f t="shared" si="160"/>
        <v>0</v>
      </c>
      <c r="D495" s="7">
        <f t="shared" si="160"/>
        <v>6482</v>
      </c>
      <c r="E495" s="46">
        <f t="shared" si="160"/>
        <v>7482</v>
      </c>
      <c r="F495" s="14">
        <f t="shared" si="160"/>
        <v>280</v>
      </c>
      <c r="G495" s="7">
        <f t="shared" si="160"/>
        <v>0</v>
      </c>
      <c r="H495" s="46">
        <f t="shared" si="160"/>
        <v>7762</v>
      </c>
      <c r="I495" s="14">
        <f t="shared" si="160"/>
        <v>400</v>
      </c>
      <c r="J495" s="7">
        <f t="shared" si="160"/>
        <v>0</v>
      </c>
      <c r="K495" s="46">
        <f t="shared" si="160"/>
        <v>8162</v>
      </c>
      <c r="L495" s="57">
        <f t="shared" si="160"/>
        <v>0</v>
      </c>
      <c r="M495" s="7">
        <f t="shared" si="160"/>
        <v>0</v>
      </c>
      <c r="N495" s="46">
        <f t="shared" si="160"/>
        <v>8162.000000000001</v>
      </c>
      <c r="O495" s="130"/>
      <c r="P495" s="118">
        <f t="shared" si="160"/>
        <v>8162.000000000001</v>
      </c>
    </row>
    <row r="496" spans="1:16" ht="12.75">
      <c r="A496" s="64" t="s">
        <v>169</v>
      </c>
      <c r="B496" s="45"/>
      <c r="C496" s="7"/>
      <c r="D496" s="7">
        <v>2234</v>
      </c>
      <c r="E496" s="46">
        <f t="shared" si="155"/>
        <v>2234</v>
      </c>
      <c r="F496" s="57"/>
      <c r="G496" s="7"/>
      <c r="H496" s="46">
        <f>E496+F496+G496</f>
        <v>2234</v>
      </c>
      <c r="I496" s="57">
        <f>-150+400</f>
        <v>250</v>
      </c>
      <c r="J496" s="7"/>
      <c r="K496" s="46">
        <f>H496+I496+J496</f>
        <v>2484</v>
      </c>
      <c r="L496" s="57">
        <f>-110.6</f>
        <v>-110.6</v>
      </c>
      <c r="M496" s="7"/>
      <c r="N496" s="46">
        <f>K496+L496+M496</f>
        <v>2373.4</v>
      </c>
      <c r="O496" s="128"/>
      <c r="P496" s="126">
        <f t="shared" si="127"/>
        <v>2373.4</v>
      </c>
    </row>
    <row r="497" spans="1:16" ht="12.75">
      <c r="A497" s="64" t="s">
        <v>167</v>
      </c>
      <c r="B497" s="45"/>
      <c r="C497" s="7"/>
      <c r="D497" s="7">
        <v>5248</v>
      </c>
      <c r="E497" s="46">
        <f t="shared" si="155"/>
        <v>5248</v>
      </c>
      <c r="F497" s="57">
        <v>80</v>
      </c>
      <c r="G497" s="7"/>
      <c r="H497" s="46">
        <f>E497+F497+G497</f>
        <v>5328</v>
      </c>
      <c r="I497" s="57">
        <f>150+6.7</f>
        <v>156.7</v>
      </c>
      <c r="J497" s="7"/>
      <c r="K497" s="46">
        <f>H497+I497+J497</f>
        <v>5484.7</v>
      </c>
      <c r="L497" s="57">
        <v>110.6</v>
      </c>
      <c r="M497" s="7"/>
      <c r="N497" s="46">
        <f>K497+L497+M497</f>
        <v>5595.3</v>
      </c>
      <c r="O497" s="128"/>
      <c r="P497" s="126">
        <f t="shared" si="127"/>
        <v>5595.3</v>
      </c>
    </row>
    <row r="498" spans="1:16" ht="12.75">
      <c r="A498" s="64" t="s">
        <v>163</v>
      </c>
      <c r="B498" s="45">
        <v>1000</v>
      </c>
      <c r="C498" s="7"/>
      <c r="D498" s="7">
        <f>6482-7482</f>
        <v>-1000</v>
      </c>
      <c r="E498" s="46">
        <f t="shared" si="155"/>
        <v>0</v>
      </c>
      <c r="F498" s="57">
        <v>200</v>
      </c>
      <c r="G498" s="7"/>
      <c r="H498" s="46">
        <f>E498+F498+G498</f>
        <v>200</v>
      </c>
      <c r="I498" s="57">
        <v>-6.7</v>
      </c>
      <c r="J498" s="7"/>
      <c r="K498" s="46">
        <f>H498+I498+J498</f>
        <v>193.3</v>
      </c>
      <c r="L498" s="57"/>
      <c r="M498" s="7"/>
      <c r="N498" s="46">
        <f>K498+L498+M498</f>
        <v>193.3</v>
      </c>
      <c r="O498" s="128"/>
      <c r="P498" s="126">
        <f t="shared" si="127"/>
        <v>193.3</v>
      </c>
    </row>
    <row r="499" spans="1:16" ht="12.75">
      <c r="A499" s="64" t="s">
        <v>170</v>
      </c>
      <c r="B499" s="45">
        <f aca="true" t="shared" si="161" ref="B499:N499">SUM(B500:B504)</f>
        <v>30000</v>
      </c>
      <c r="C499" s="7">
        <f t="shared" si="161"/>
        <v>25000</v>
      </c>
      <c r="D499" s="7">
        <f t="shared" si="161"/>
        <v>15963.599999999999</v>
      </c>
      <c r="E499" s="46">
        <f t="shared" si="161"/>
        <v>70963.6</v>
      </c>
      <c r="F499" s="14">
        <f t="shared" si="161"/>
        <v>3990</v>
      </c>
      <c r="G499" s="7">
        <f t="shared" si="161"/>
        <v>298.1</v>
      </c>
      <c r="H499" s="46">
        <f t="shared" si="161"/>
        <v>75251.70000000001</v>
      </c>
      <c r="I499" s="14">
        <f t="shared" si="161"/>
        <v>5711</v>
      </c>
      <c r="J499" s="7">
        <f t="shared" si="161"/>
        <v>180</v>
      </c>
      <c r="K499" s="46">
        <f t="shared" si="161"/>
        <v>81142.7</v>
      </c>
      <c r="L499" s="57">
        <f t="shared" si="161"/>
        <v>3214.3</v>
      </c>
      <c r="M499" s="7">
        <f t="shared" si="161"/>
        <v>0</v>
      </c>
      <c r="N499" s="46">
        <f t="shared" si="161"/>
        <v>84357</v>
      </c>
      <c r="O499" s="130"/>
      <c r="P499" s="118">
        <f>SUM(P500:P504)</f>
        <v>84357</v>
      </c>
    </row>
    <row r="500" spans="1:16" ht="12.75">
      <c r="A500" s="64" t="s">
        <v>171</v>
      </c>
      <c r="B500" s="45">
        <v>19100</v>
      </c>
      <c r="C500" s="9">
        <v>16320</v>
      </c>
      <c r="D500" s="7">
        <f>11145.3</f>
        <v>11145.3</v>
      </c>
      <c r="E500" s="46">
        <f t="shared" si="155"/>
        <v>46565.3</v>
      </c>
      <c r="F500" s="57">
        <f>1940+1200+200</f>
        <v>3340</v>
      </c>
      <c r="G500" s="7"/>
      <c r="H500" s="46">
        <f>E500+F500+G500</f>
        <v>49905.3</v>
      </c>
      <c r="I500" s="57">
        <f>2310.6+351+2000-265</f>
        <v>4396.6</v>
      </c>
      <c r="J500" s="7">
        <v>1890</v>
      </c>
      <c r="K500" s="46">
        <f>H500+I500+J500</f>
        <v>56191.9</v>
      </c>
      <c r="L500" s="57">
        <f>139+150+3064.3</f>
        <v>3353.3</v>
      </c>
      <c r="M500" s="7"/>
      <c r="N500" s="46">
        <f>K500+L500+M500</f>
        <v>59545.200000000004</v>
      </c>
      <c r="O500" s="128"/>
      <c r="P500" s="126">
        <f aca="true" t="shared" si="162" ref="P500:P539">N500+O500</f>
        <v>59545.200000000004</v>
      </c>
    </row>
    <row r="501" spans="1:16" ht="12.75">
      <c r="A501" s="64" t="s">
        <v>172</v>
      </c>
      <c r="B501" s="45">
        <v>6900</v>
      </c>
      <c r="C501" s="7">
        <v>8680</v>
      </c>
      <c r="D501" s="7">
        <v>2195</v>
      </c>
      <c r="E501" s="46">
        <f t="shared" si="155"/>
        <v>17775</v>
      </c>
      <c r="F501" s="57">
        <f>2000-1200+390</f>
        <v>1190</v>
      </c>
      <c r="G501" s="7"/>
      <c r="H501" s="46">
        <f>E501+F501+G501</f>
        <v>18965</v>
      </c>
      <c r="I501" s="57">
        <f>2549+3000+265+360</f>
        <v>6174</v>
      </c>
      <c r="J501" s="7">
        <v>-944.2</v>
      </c>
      <c r="K501" s="46">
        <f>H501+I501+J501</f>
        <v>24194.8</v>
      </c>
      <c r="L501" s="57">
        <f>-139</f>
        <v>-139</v>
      </c>
      <c r="M501" s="7"/>
      <c r="N501" s="46">
        <f>K501+L501+M501</f>
        <v>24055.8</v>
      </c>
      <c r="O501" s="128"/>
      <c r="P501" s="126">
        <f t="shared" si="162"/>
        <v>24055.8</v>
      </c>
    </row>
    <row r="502" spans="1:16" ht="13.5" customHeight="1" hidden="1">
      <c r="A502" s="64" t="s">
        <v>173</v>
      </c>
      <c r="B502" s="45"/>
      <c r="C502" s="7"/>
      <c r="D502" s="7"/>
      <c r="E502" s="46">
        <f t="shared" si="155"/>
        <v>0</v>
      </c>
      <c r="F502" s="57"/>
      <c r="G502" s="7"/>
      <c r="H502" s="46">
        <f>E502+F502+G502</f>
        <v>0</v>
      </c>
      <c r="I502" s="57"/>
      <c r="J502" s="7"/>
      <c r="K502" s="46">
        <f>H502+I502+J502</f>
        <v>0</v>
      </c>
      <c r="L502" s="57"/>
      <c r="M502" s="7"/>
      <c r="N502" s="46">
        <f>K502+L502+M502</f>
        <v>0</v>
      </c>
      <c r="O502" s="128"/>
      <c r="P502" s="126">
        <f t="shared" si="162"/>
        <v>0</v>
      </c>
    </row>
    <row r="503" spans="1:16" ht="13.5" customHeight="1">
      <c r="A503" s="65" t="s">
        <v>196</v>
      </c>
      <c r="B503" s="45"/>
      <c r="C503" s="7"/>
      <c r="D503" s="7">
        <v>2111.8</v>
      </c>
      <c r="E503" s="46">
        <f t="shared" si="155"/>
        <v>2111.8</v>
      </c>
      <c r="F503" s="57">
        <v>-590</v>
      </c>
      <c r="G503" s="7"/>
      <c r="H503" s="46">
        <f>E503+F503+G503</f>
        <v>1521.8000000000002</v>
      </c>
      <c r="I503" s="57"/>
      <c r="J503" s="7">
        <v>-765.8</v>
      </c>
      <c r="K503" s="46">
        <f>H503+I503+J503</f>
        <v>756.0000000000002</v>
      </c>
      <c r="L503" s="57"/>
      <c r="M503" s="7"/>
      <c r="N503" s="46">
        <f>K503+L503+M503</f>
        <v>756.0000000000002</v>
      </c>
      <c r="O503" s="128"/>
      <c r="P503" s="126">
        <f t="shared" si="162"/>
        <v>756.0000000000002</v>
      </c>
    </row>
    <row r="504" spans="1:16" ht="12.75">
      <c r="A504" s="64" t="s">
        <v>174</v>
      </c>
      <c r="B504" s="45">
        <v>4000</v>
      </c>
      <c r="C504" s="7"/>
      <c r="D504" s="7">
        <v>511.5</v>
      </c>
      <c r="E504" s="46">
        <f t="shared" si="155"/>
        <v>4511.5</v>
      </c>
      <c r="F504" s="57">
        <v>50</v>
      </c>
      <c r="G504" s="7">
        <v>298.1</v>
      </c>
      <c r="H504" s="46">
        <f>E504+F504+G504</f>
        <v>4859.6</v>
      </c>
      <c r="I504" s="57">
        <v>-4859.6</v>
      </c>
      <c r="J504" s="7"/>
      <c r="K504" s="46">
        <f>H504+I504+J504</f>
        <v>0</v>
      </c>
      <c r="L504" s="57"/>
      <c r="M504" s="7"/>
      <c r="N504" s="46">
        <f>K504+L504+M504</f>
        <v>0</v>
      </c>
      <c r="O504" s="128"/>
      <c r="P504" s="126">
        <f t="shared" si="162"/>
        <v>0</v>
      </c>
    </row>
    <row r="505" spans="1:16" ht="12.75">
      <c r="A505" s="64" t="s">
        <v>175</v>
      </c>
      <c r="B505" s="45">
        <f aca="true" t="shared" si="163" ref="B505:N505">SUM(B506:B512)</f>
        <v>70000</v>
      </c>
      <c r="C505" s="7">
        <f t="shared" si="163"/>
        <v>83009.5</v>
      </c>
      <c r="D505" s="7">
        <f t="shared" si="163"/>
        <v>0</v>
      </c>
      <c r="E505" s="46">
        <f t="shared" si="163"/>
        <v>153009.5</v>
      </c>
      <c r="F505" s="14">
        <f t="shared" si="163"/>
        <v>10000</v>
      </c>
      <c r="G505" s="7">
        <f t="shared" si="163"/>
        <v>151.39999999999964</v>
      </c>
      <c r="H505" s="46">
        <f t="shared" si="163"/>
        <v>163160.9</v>
      </c>
      <c r="I505" s="14">
        <f t="shared" si="163"/>
        <v>-41000</v>
      </c>
      <c r="J505" s="7">
        <f t="shared" si="163"/>
        <v>0</v>
      </c>
      <c r="K505" s="46">
        <f t="shared" si="163"/>
        <v>122160.90000000001</v>
      </c>
      <c r="L505" s="57">
        <f t="shared" si="163"/>
        <v>5980</v>
      </c>
      <c r="M505" s="7">
        <f t="shared" si="163"/>
        <v>0</v>
      </c>
      <c r="N505" s="46">
        <f t="shared" si="163"/>
        <v>128140.90000000001</v>
      </c>
      <c r="O505" s="130"/>
      <c r="P505" s="118">
        <f>SUM(P506:P512)</f>
        <v>128140.90000000001</v>
      </c>
    </row>
    <row r="506" spans="1:16" ht="12.75">
      <c r="A506" s="64" t="s">
        <v>176</v>
      </c>
      <c r="B506" s="45">
        <v>55700</v>
      </c>
      <c r="C506" s="7">
        <f>52266.1-36+10000+6500</f>
        <v>68730.1</v>
      </c>
      <c r="D506" s="7"/>
      <c r="E506" s="46">
        <f t="shared" si="155"/>
        <v>124430.1</v>
      </c>
      <c r="F506" s="57">
        <f>101.7+225.4</f>
        <v>327.1</v>
      </c>
      <c r="G506" s="7">
        <v>-200</v>
      </c>
      <c r="H506" s="46">
        <f aca="true" t="shared" si="164" ref="H506:H512">E506+F506+G506</f>
        <v>124557.20000000001</v>
      </c>
      <c r="I506" s="57">
        <f>2795-51000</f>
        <v>-48205</v>
      </c>
      <c r="J506" s="7">
        <v>-224.8</v>
      </c>
      <c r="K506" s="46">
        <f aca="true" t="shared" si="165" ref="K506:K512">H506+I506+J506</f>
        <v>76127.40000000001</v>
      </c>
      <c r="L506" s="57">
        <f>20+4600</f>
        <v>4620</v>
      </c>
      <c r="M506" s="7"/>
      <c r="N506" s="46">
        <f aca="true" t="shared" si="166" ref="N506:N512">K506+L506+M506</f>
        <v>80747.40000000001</v>
      </c>
      <c r="O506" s="128"/>
      <c r="P506" s="126">
        <f t="shared" si="162"/>
        <v>80747.40000000001</v>
      </c>
    </row>
    <row r="507" spans="1:16" ht="12.75">
      <c r="A507" s="64" t="s">
        <v>177</v>
      </c>
      <c r="B507" s="45">
        <v>500</v>
      </c>
      <c r="C507" s="7">
        <f>6242.4</f>
        <v>6242.4</v>
      </c>
      <c r="D507" s="7"/>
      <c r="E507" s="46">
        <f t="shared" si="155"/>
        <v>6742.4</v>
      </c>
      <c r="F507" s="57">
        <f>8155+71.1</f>
        <v>8226.1</v>
      </c>
      <c r="G507" s="7">
        <v>5425.5</v>
      </c>
      <c r="H507" s="46">
        <f t="shared" si="164"/>
        <v>20394</v>
      </c>
      <c r="I507" s="57">
        <v>2500</v>
      </c>
      <c r="J507" s="7">
        <v>200</v>
      </c>
      <c r="K507" s="46">
        <f t="shared" si="165"/>
        <v>23094</v>
      </c>
      <c r="L507" s="57">
        <f>-400-47.7+1380</f>
        <v>932.3</v>
      </c>
      <c r="M507" s="7"/>
      <c r="N507" s="46">
        <f t="shared" si="166"/>
        <v>24026.3</v>
      </c>
      <c r="O507" s="128"/>
      <c r="P507" s="126">
        <f t="shared" si="162"/>
        <v>24026.3</v>
      </c>
    </row>
    <row r="508" spans="1:16" ht="12.75">
      <c r="A508" s="64" t="s">
        <v>178</v>
      </c>
      <c r="B508" s="45"/>
      <c r="C508" s="9">
        <v>405</v>
      </c>
      <c r="D508" s="7"/>
      <c r="E508" s="46">
        <f t="shared" si="155"/>
        <v>405</v>
      </c>
      <c r="F508" s="57">
        <f>495+1240</f>
        <v>1735</v>
      </c>
      <c r="G508" s="7"/>
      <c r="H508" s="46">
        <f t="shared" si="164"/>
        <v>2140</v>
      </c>
      <c r="I508" s="57"/>
      <c r="J508" s="7">
        <v>442</v>
      </c>
      <c r="K508" s="46">
        <f t="shared" si="165"/>
        <v>2582</v>
      </c>
      <c r="L508" s="57"/>
      <c r="M508" s="7"/>
      <c r="N508" s="46">
        <f t="shared" si="166"/>
        <v>2582</v>
      </c>
      <c r="O508" s="128"/>
      <c r="P508" s="126">
        <f t="shared" si="162"/>
        <v>2582</v>
      </c>
    </row>
    <row r="509" spans="1:16" ht="12.75">
      <c r="A509" s="64" t="s">
        <v>179</v>
      </c>
      <c r="B509" s="45">
        <v>283</v>
      </c>
      <c r="C509" s="7">
        <f>513-364</f>
        <v>149</v>
      </c>
      <c r="D509" s="7"/>
      <c r="E509" s="46">
        <f t="shared" si="155"/>
        <v>432</v>
      </c>
      <c r="F509" s="57">
        <f>550+84.4+2000</f>
        <v>2634.4</v>
      </c>
      <c r="G509" s="7"/>
      <c r="H509" s="46">
        <f t="shared" si="164"/>
        <v>3066.4</v>
      </c>
      <c r="I509" s="57"/>
      <c r="J509" s="7">
        <v>400</v>
      </c>
      <c r="K509" s="46">
        <f t="shared" si="165"/>
        <v>3466.4</v>
      </c>
      <c r="L509" s="57"/>
      <c r="M509" s="7"/>
      <c r="N509" s="46">
        <f t="shared" si="166"/>
        <v>3466.4</v>
      </c>
      <c r="O509" s="128"/>
      <c r="P509" s="126">
        <f t="shared" si="162"/>
        <v>3466.4</v>
      </c>
    </row>
    <row r="510" spans="1:16" ht="12.75">
      <c r="A510" s="64" t="s">
        <v>180</v>
      </c>
      <c r="B510" s="45">
        <v>4517</v>
      </c>
      <c r="C510" s="7">
        <v>400</v>
      </c>
      <c r="D510" s="7"/>
      <c r="E510" s="46">
        <f t="shared" si="155"/>
        <v>4917</v>
      </c>
      <c r="F510" s="57">
        <v>-2000</v>
      </c>
      <c r="G510" s="7"/>
      <c r="H510" s="46">
        <f t="shared" si="164"/>
        <v>2917</v>
      </c>
      <c r="I510" s="158"/>
      <c r="J510" s="7">
        <v>-400</v>
      </c>
      <c r="K510" s="46">
        <f t="shared" si="165"/>
        <v>2517</v>
      </c>
      <c r="L510" s="57"/>
      <c r="M510" s="7"/>
      <c r="N510" s="46">
        <f t="shared" si="166"/>
        <v>2517</v>
      </c>
      <c r="O510" s="128"/>
      <c r="P510" s="126">
        <f t="shared" si="162"/>
        <v>2517</v>
      </c>
    </row>
    <row r="511" spans="1:16" ht="12.75">
      <c r="A511" s="64" t="s">
        <v>181</v>
      </c>
      <c r="B511" s="45"/>
      <c r="C511" s="7">
        <f>3988+3095</f>
        <v>7083</v>
      </c>
      <c r="D511" s="7"/>
      <c r="E511" s="46">
        <f t="shared" si="155"/>
        <v>7083</v>
      </c>
      <c r="F511" s="57">
        <f>64.5+800+1945.9</f>
        <v>2810.4</v>
      </c>
      <c r="G511" s="7"/>
      <c r="H511" s="46">
        <f t="shared" si="164"/>
        <v>9893.4</v>
      </c>
      <c r="I511" s="57">
        <f>41.8+4705</f>
        <v>4746.8</v>
      </c>
      <c r="J511" s="7">
        <v>-266.9</v>
      </c>
      <c r="K511" s="46">
        <f t="shared" si="165"/>
        <v>14373.300000000001</v>
      </c>
      <c r="L511" s="57">
        <f>-20+400+47.7</f>
        <v>427.7</v>
      </c>
      <c r="M511" s="7"/>
      <c r="N511" s="46">
        <f t="shared" si="166"/>
        <v>14801.000000000002</v>
      </c>
      <c r="O511" s="128"/>
      <c r="P511" s="126">
        <f t="shared" si="162"/>
        <v>14801.000000000002</v>
      </c>
    </row>
    <row r="512" spans="1:16" ht="12.75">
      <c r="A512" s="64" t="s">
        <v>174</v>
      </c>
      <c r="B512" s="45">
        <v>9000</v>
      </c>
      <c r="C512" s="7"/>
      <c r="D512" s="7"/>
      <c r="E512" s="46">
        <f t="shared" si="155"/>
        <v>9000</v>
      </c>
      <c r="F512" s="57">
        <f>-166.2-3566.8</f>
        <v>-3733</v>
      </c>
      <c r="G512" s="7">
        <f>-5225.5+151.4</f>
        <v>-5074.1</v>
      </c>
      <c r="H512" s="46">
        <f t="shared" si="164"/>
        <v>192.89999999999964</v>
      </c>
      <c r="I512" s="57">
        <v>-41.8</v>
      </c>
      <c r="J512" s="7">
        <v>-150.3</v>
      </c>
      <c r="K512" s="46">
        <f t="shared" si="165"/>
        <v>0.7999999999996135</v>
      </c>
      <c r="L512" s="57"/>
      <c r="M512" s="7"/>
      <c r="N512" s="46">
        <f t="shared" si="166"/>
        <v>0.7999999999996135</v>
      </c>
      <c r="O512" s="128"/>
      <c r="P512" s="126">
        <f t="shared" si="162"/>
        <v>0.7999999999996135</v>
      </c>
    </row>
    <row r="513" spans="1:16" ht="12.75">
      <c r="A513" s="64" t="s">
        <v>182</v>
      </c>
      <c r="B513" s="45">
        <f aca="true" t="shared" si="167" ref="B513:N513">SUM(B514:B517)</f>
        <v>0</v>
      </c>
      <c r="C513" s="7">
        <f t="shared" si="167"/>
        <v>0</v>
      </c>
      <c r="D513" s="7">
        <f t="shared" si="167"/>
        <v>2852</v>
      </c>
      <c r="E513" s="46">
        <f t="shared" si="167"/>
        <v>2852</v>
      </c>
      <c r="F513" s="14">
        <f t="shared" si="167"/>
        <v>0</v>
      </c>
      <c r="G513" s="7">
        <f t="shared" si="167"/>
        <v>0</v>
      </c>
      <c r="H513" s="46">
        <f t="shared" si="167"/>
        <v>2852</v>
      </c>
      <c r="I513" s="14">
        <f t="shared" si="167"/>
        <v>0</v>
      </c>
      <c r="J513" s="7">
        <f t="shared" si="167"/>
        <v>0</v>
      </c>
      <c r="K513" s="46">
        <f t="shared" si="167"/>
        <v>2852</v>
      </c>
      <c r="L513" s="57">
        <f t="shared" si="167"/>
        <v>0</v>
      </c>
      <c r="M513" s="7">
        <f t="shared" si="167"/>
        <v>0</v>
      </c>
      <c r="N513" s="46">
        <f t="shared" si="167"/>
        <v>2852</v>
      </c>
      <c r="O513" s="130"/>
      <c r="P513" s="118">
        <f>SUM(P514:P517)</f>
        <v>2852</v>
      </c>
    </row>
    <row r="514" spans="1:16" ht="12.75">
      <c r="A514" s="64" t="s">
        <v>171</v>
      </c>
      <c r="B514" s="45"/>
      <c r="C514" s="7"/>
      <c r="D514" s="7">
        <v>252</v>
      </c>
      <c r="E514" s="46">
        <f t="shared" si="155"/>
        <v>252</v>
      </c>
      <c r="F514" s="57">
        <v>55</v>
      </c>
      <c r="G514" s="7"/>
      <c r="H514" s="46">
        <f>E514+F514+G514</f>
        <v>307</v>
      </c>
      <c r="I514" s="57">
        <v>8</v>
      </c>
      <c r="J514" s="7"/>
      <c r="K514" s="46">
        <f>H514+I514+J514</f>
        <v>315</v>
      </c>
      <c r="L514" s="57"/>
      <c r="M514" s="7"/>
      <c r="N514" s="46">
        <f>K514+L514+M514</f>
        <v>315</v>
      </c>
      <c r="O514" s="128"/>
      <c r="P514" s="126">
        <f t="shared" si="162"/>
        <v>315</v>
      </c>
    </row>
    <row r="515" spans="1:16" ht="12.75" hidden="1">
      <c r="A515" s="64" t="s">
        <v>172</v>
      </c>
      <c r="B515" s="45"/>
      <c r="C515" s="7"/>
      <c r="D515" s="7"/>
      <c r="E515" s="46">
        <f t="shared" si="155"/>
        <v>0</v>
      </c>
      <c r="F515" s="57"/>
      <c r="G515" s="7"/>
      <c r="H515" s="46">
        <f>E515+F515+G515</f>
        <v>0</v>
      </c>
      <c r="I515" s="57"/>
      <c r="J515" s="7"/>
      <c r="K515" s="46">
        <f>H515+I515+J515</f>
        <v>0</v>
      </c>
      <c r="L515" s="57"/>
      <c r="M515" s="7"/>
      <c r="N515" s="46">
        <f>K515+L515+M515</f>
        <v>0</v>
      </c>
      <c r="O515" s="128"/>
      <c r="P515" s="126">
        <f t="shared" si="162"/>
        <v>0</v>
      </c>
    </row>
    <row r="516" spans="1:16" ht="12.75">
      <c r="A516" s="64" t="s">
        <v>173</v>
      </c>
      <c r="B516" s="45"/>
      <c r="C516" s="7"/>
      <c r="D516" s="7">
        <v>2000</v>
      </c>
      <c r="E516" s="46">
        <f t="shared" si="155"/>
        <v>2000</v>
      </c>
      <c r="F516" s="57">
        <v>230</v>
      </c>
      <c r="G516" s="7"/>
      <c r="H516" s="46">
        <f>E516+F516+G516</f>
        <v>2230</v>
      </c>
      <c r="I516" s="57">
        <v>266</v>
      </c>
      <c r="J516" s="7"/>
      <c r="K516" s="46">
        <f>H516+I516+J516</f>
        <v>2496</v>
      </c>
      <c r="L516" s="57"/>
      <c r="M516" s="7"/>
      <c r="N516" s="46">
        <f>K516+L516+M516</f>
        <v>2496</v>
      </c>
      <c r="O516" s="128"/>
      <c r="P516" s="126">
        <f t="shared" si="162"/>
        <v>2496</v>
      </c>
    </row>
    <row r="517" spans="1:16" ht="12.75">
      <c r="A517" s="64" t="s">
        <v>174</v>
      </c>
      <c r="B517" s="45"/>
      <c r="C517" s="7"/>
      <c r="D517" s="7">
        <v>600</v>
      </c>
      <c r="E517" s="46">
        <f t="shared" si="155"/>
        <v>600</v>
      </c>
      <c r="F517" s="57">
        <f>-230-55</f>
        <v>-285</v>
      </c>
      <c r="G517" s="7"/>
      <c r="H517" s="46">
        <f>E517+F517+G517</f>
        <v>315</v>
      </c>
      <c r="I517" s="57">
        <v>-274</v>
      </c>
      <c r="J517" s="7"/>
      <c r="K517" s="46">
        <f>H517+I517+J517</f>
        <v>41</v>
      </c>
      <c r="L517" s="57"/>
      <c r="M517" s="7"/>
      <c r="N517" s="46">
        <f>K517+L517+M517</f>
        <v>41</v>
      </c>
      <c r="O517" s="128"/>
      <c r="P517" s="126">
        <f t="shared" si="162"/>
        <v>41</v>
      </c>
    </row>
    <row r="518" spans="1:16" ht="12.75">
      <c r="A518" s="64" t="s">
        <v>183</v>
      </c>
      <c r="B518" s="45">
        <f aca="true" t="shared" si="168" ref="B518:N518">SUM(B519:B523)</f>
        <v>11000</v>
      </c>
      <c r="C518" s="7">
        <f t="shared" si="168"/>
        <v>31777.1</v>
      </c>
      <c r="D518" s="7">
        <f t="shared" si="168"/>
        <v>0</v>
      </c>
      <c r="E518" s="46">
        <f t="shared" si="168"/>
        <v>42777.1</v>
      </c>
      <c r="F518" s="14">
        <f t="shared" si="168"/>
        <v>0</v>
      </c>
      <c r="G518" s="7">
        <f t="shared" si="168"/>
        <v>-16599.5</v>
      </c>
      <c r="H518" s="46">
        <f t="shared" si="168"/>
        <v>26177.6</v>
      </c>
      <c r="I518" s="14">
        <f t="shared" si="168"/>
        <v>7228</v>
      </c>
      <c r="J518" s="7">
        <f t="shared" si="168"/>
        <v>0</v>
      </c>
      <c r="K518" s="46">
        <f t="shared" si="168"/>
        <v>33405.6</v>
      </c>
      <c r="L518" s="57">
        <f t="shared" si="168"/>
        <v>0</v>
      </c>
      <c r="M518" s="7">
        <f t="shared" si="168"/>
        <v>0</v>
      </c>
      <c r="N518" s="46">
        <f t="shared" si="168"/>
        <v>33405.6</v>
      </c>
      <c r="O518" s="130"/>
      <c r="P518" s="118">
        <f>SUM(P519:P523)</f>
        <v>33405.6</v>
      </c>
    </row>
    <row r="519" spans="1:16" ht="12.75">
      <c r="A519" s="64" t="s">
        <v>171</v>
      </c>
      <c r="B519" s="45">
        <v>3000</v>
      </c>
      <c r="C519" s="7">
        <v>835.7</v>
      </c>
      <c r="D519" s="7">
        <v>413.4</v>
      </c>
      <c r="E519" s="46">
        <f t="shared" si="155"/>
        <v>4249.099999999999</v>
      </c>
      <c r="F519" s="57"/>
      <c r="G519" s="7"/>
      <c r="H519" s="46">
        <f>E519+F519+G519</f>
        <v>4249.099999999999</v>
      </c>
      <c r="I519" s="57">
        <f>130+200+1250</f>
        <v>1580</v>
      </c>
      <c r="J519" s="7"/>
      <c r="K519" s="46">
        <f aca="true" t="shared" si="169" ref="K519:K524">H519+I519+J519</f>
        <v>5829.099999999999</v>
      </c>
      <c r="L519" s="57">
        <f>135</f>
        <v>135</v>
      </c>
      <c r="M519" s="7"/>
      <c r="N519" s="46">
        <f aca="true" t="shared" si="170" ref="N519:N524">K519+L519+M519</f>
        <v>5964.099999999999</v>
      </c>
      <c r="O519" s="128"/>
      <c r="P519" s="126">
        <f t="shared" si="162"/>
        <v>5964.099999999999</v>
      </c>
    </row>
    <row r="520" spans="1:16" ht="12.75">
      <c r="A520" s="64" t="s">
        <v>172</v>
      </c>
      <c r="B520" s="45"/>
      <c r="C520" s="7">
        <v>5937.7</v>
      </c>
      <c r="D520" s="7">
        <v>-587</v>
      </c>
      <c r="E520" s="46">
        <f t="shared" si="155"/>
        <v>5350.7</v>
      </c>
      <c r="F520" s="57"/>
      <c r="G520" s="7"/>
      <c r="H520" s="46">
        <f>E520+F520+G520</f>
        <v>5350.7</v>
      </c>
      <c r="I520" s="57">
        <v>1100</v>
      </c>
      <c r="J520" s="7"/>
      <c r="K520" s="46">
        <f t="shared" si="169"/>
        <v>6450.7</v>
      </c>
      <c r="L520" s="57">
        <f>-192.5</f>
        <v>-192.5</v>
      </c>
      <c r="M520" s="7"/>
      <c r="N520" s="46">
        <f t="shared" si="170"/>
        <v>6258.2</v>
      </c>
      <c r="O520" s="128"/>
      <c r="P520" s="126">
        <f t="shared" si="162"/>
        <v>6258.2</v>
      </c>
    </row>
    <row r="521" spans="1:16" ht="12.75">
      <c r="A521" s="64" t="s">
        <v>184</v>
      </c>
      <c r="B521" s="45">
        <v>6300</v>
      </c>
      <c r="C521" s="7">
        <v>25003.7</v>
      </c>
      <c r="D521" s="7">
        <v>-2320</v>
      </c>
      <c r="E521" s="46">
        <f t="shared" si="155"/>
        <v>28983.7</v>
      </c>
      <c r="F521" s="57"/>
      <c r="G521" s="7">
        <v>-17028</v>
      </c>
      <c r="H521" s="46">
        <f>E521+F521+G521</f>
        <v>11955.7</v>
      </c>
      <c r="I521" s="57">
        <f>-3000-350+7028</f>
        <v>3678</v>
      </c>
      <c r="J521" s="7"/>
      <c r="K521" s="46">
        <f t="shared" si="169"/>
        <v>15633.7</v>
      </c>
      <c r="L521" s="57">
        <f>-262</f>
        <v>-262</v>
      </c>
      <c r="M521" s="7"/>
      <c r="N521" s="46">
        <f t="shared" si="170"/>
        <v>15371.7</v>
      </c>
      <c r="O521" s="128"/>
      <c r="P521" s="126">
        <f t="shared" si="162"/>
        <v>15371.7</v>
      </c>
    </row>
    <row r="522" spans="1:16" ht="12.75">
      <c r="A522" s="64" t="s">
        <v>181</v>
      </c>
      <c r="B522" s="45"/>
      <c r="C522" s="7"/>
      <c r="D522" s="7">
        <v>2493.6</v>
      </c>
      <c r="E522" s="46">
        <f t="shared" si="155"/>
        <v>2493.6</v>
      </c>
      <c r="F522" s="57"/>
      <c r="G522" s="7"/>
      <c r="H522" s="46">
        <f>E522+F522+G522</f>
        <v>2493.6</v>
      </c>
      <c r="I522" s="57">
        <v>1170</v>
      </c>
      <c r="J522" s="7"/>
      <c r="K522" s="46">
        <f t="shared" si="169"/>
        <v>3663.6</v>
      </c>
      <c r="L522" s="57">
        <f>57.5+262</f>
        <v>319.5</v>
      </c>
      <c r="M522" s="7"/>
      <c r="N522" s="46">
        <f t="shared" si="170"/>
        <v>3983.1</v>
      </c>
      <c r="O522" s="128"/>
      <c r="P522" s="126">
        <f t="shared" si="162"/>
        <v>3983.1</v>
      </c>
    </row>
    <row r="523" spans="1:16" ht="12.75">
      <c r="A523" s="64" t="s">
        <v>174</v>
      </c>
      <c r="B523" s="45">
        <v>1700</v>
      </c>
      <c r="C523" s="9"/>
      <c r="D523" s="7"/>
      <c r="E523" s="46">
        <f t="shared" si="155"/>
        <v>1700</v>
      </c>
      <c r="F523" s="57"/>
      <c r="G523" s="7">
        <v>428.5</v>
      </c>
      <c r="H523" s="46">
        <f>E523+F523+G523</f>
        <v>2128.5</v>
      </c>
      <c r="I523" s="57">
        <f>1700-2000</f>
        <v>-300</v>
      </c>
      <c r="J523" s="7"/>
      <c r="K523" s="46">
        <f t="shared" si="169"/>
        <v>1828.5</v>
      </c>
      <c r="L523" s="57"/>
      <c r="M523" s="7"/>
      <c r="N523" s="46">
        <f t="shared" si="170"/>
        <v>1828.5</v>
      </c>
      <c r="O523" s="128"/>
      <c r="P523" s="126">
        <f t="shared" si="162"/>
        <v>1828.5</v>
      </c>
    </row>
    <row r="524" spans="1:16" ht="12.75">
      <c r="A524" s="73" t="s">
        <v>185</v>
      </c>
      <c r="B524" s="49">
        <v>4000</v>
      </c>
      <c r="C524" s="10">
        <v>-4000</v>
      </c>
      <c r="D524" s="10"/>
      <c r="E524" s="50">
        <f t="shared" si="155"/>
        <v>0</v>
      </c>
      <c r="F524" s="152">
        <f>2905.7-280</f>
        <v>2625.7</v>
      </c>
      <c r="G524" s="10"/>
      <c r="H524" s="50">
        <f>SUM(E524:G524)</f>
        <v>2625.7</v>
      </c>
      <c r="I524" s="152">
        <v>-360</v>
      </c>
      <c r="J524" s="10">
        <v>-180</v>
      </c>
      <c r="K524" s="50">
        <f t="shared" si="169"/>
        <v>2085.7</v>
      </c>
      <c r="L524" s="152">
        <f>-150+150</f>
        <v>0</v>
      </c>
      <c r="M524" s="10"/>
      <c r="N524" s="50">
        <f t="shared" si="170"/>
        <v>2085.7</v>
      </c>
      <c r="O524" s="141"/>
      <c r="P524" s="142">
        <f t="shared" si="162"/>
        <v>2085.7</v>
      </c>
    </row>
    <row r="525" spans="1:16" ht="13.5" thickBot="1">
      <c r="A525" s="79" t="s">
        <v>186</v>
      </c>
      <c r="B525" s="47">
        <v>4905.5</v>
      </c>
      <c r="C525" s="8">
        <v>22</v>
      </c>
      <c r="D525" s="8"/>
      <c r="E525" s="48">
        <f>SUM(B525:D525)</f>
        <v>4927.5</v>
      </c>
      <c r="F525" s="149"/>
      <c r="G525" s="8">
        <f>1786-21.2</f>
        <v>1764.8</v>
      </c>
      <c r="H525" s="48">
        <f>SUM(E525:G525)</f>
        <v>6692.3</v>
      </c>
      <c r="I525" s="149"/>
      <c r="J525" s="8"/>
      <c r="K525" s="166">
        <f>SUM(H525:J525)</f>
        <v>6692.3</v>
      </c>
      <c r="L525" s="149">
        <v>50</v>
      </c>
      <c r="M525" s="8"/>
      <c r="N525" s="48">
        <f>SUM(K525:M525)</f>
        <v>6742.3</v>
      </c>
      <c r="O525" s="131"/>
      <c r="P525" s="59">
        <f>N525+O525</f>
        <v>6742.3</v>
      </c>
    </row>
    <row r="526" spans="1:16" ht="15.75" thickBot="1">
      <c r="A526" s="80" t="s">
        <v>187</v>
      </c>
      <c r="B526" s="36">
        <f aca="true" t="shared" si="171" ref="B526:P526">B97+B113+B141+B163+B174+B204+B215+B226+B295+B352+B378+B401+B433+B459+B466+B473+B477+B525</f>
        <v>3199906.1999999997</v>
      </c>
      <c r="C526" s="16" t="e">
        <f t="shared" si="171"/>
        <v>#REF!</v>
      </c>
      <c r="D526" s="16" t="e">
        <f t="shared" si="171"/>
        <v>#REF!</v>
      </c>
      <c r="E526" s="17">
        <f t="shared" si="171"/>
        <v>8598727.800000003</v>
      </c>
      <c r="F526" s="103">
        <f t="shared" si="171"/>
        <v>513278.9000000001</v>
      </c>
      <c r="G526" s="16">
        <f t="shared" si="171"/>
        <v>-59418</v>
      </c>
      <c r="H526" s="17">
        <f t="shared" si="171"/>
        <v>9052588.700000003</v>
      </c>
      <c r="I526" s="161">
        <f t="shared" si="171"/>
        <v>333516.1</v>
      </c>
      <c r="J526" s="16">
        <f t="shared" si="171"/>
        <v>500</v>
      </c>
      <c r="K526" s="17">
        <f t="shared" si="171"/>
        <v>9386604.800000003</v>
      </c>
      <c r="L526" s="161">
        <f t="shared" si="171"/>
        <v>107810.70000000001</v>
      </c>
      <c r="M526" s="16">
        <f t="shared" si="171"/>
        <v>0</v>
      </c>
      <c r="N526" s="17">
        <f t="shared" si="171"/>
        <v>9494415.500000002</v>
      </c>
      <c r="O526" s="135">
        <f t="shared" si="171"/>
        <v>0</v>
      </c>
      <c r="P526" s="112" t="e">
        <f t="shared" si="171"/>
        <v>#REF!</v>
      </c>
    </row>
    <row r="527" spans="1:16" ht="13.5" thickBot="1">
      <c r="A527" s="81" t="s">
        <v>188</v>
      </c>
      <c r="B527" s="37">
        <v>-4905.5</v>
      </c>
      <c r="C527" s="18">
        <v>-22</v>
      </c>
      <c r="D527" s="18"/>
      <c r="E527" s="19">
        <f>SUM(B527:D527)</f>
        <v>-4927.5</v>
      </c>
      <c r="F527" s="93"/>
      <c r="G527" s="18"/>
      <c r="H527" s="19">
        <f>SUM(E527:G527)</f>
        <v>-4927.5</v>
      </c>
      <c r="I527" s="93"/>
      <c r="J527" s="18"/>
      <c r="K527" s="19">
        <f>SUM(H527:J527)</f>
        <v>-4927.5</v>
      </c>
      <c r="L527" s="93">
        <v>-50</v>
      </c>
      <c r="M527" s="18"/>
      <c r="N527" s="19">
        <f>SUM(K527:M527)</f>
        <v>-4977.5</v>
      </c>
      <c r="O527" s="128"/>
      <c r="P527" s="125">
        <f t="shared" si="162"/>
        <v>-4977.5</v>
      </c>
    </row>
    <row r="528" spans="1:16" ht="16.5" thickBot="1">
      <c r="A528" s="82" t="s">
        <v>189</v>
      </c>
      <c r="B528" s="38">
        <f aca="true" t="shared" si="172" ref="B528:N528">B526+B527</f>
        <v>3195000.6999999997</v>
      </c>
      <c r="C528" s="20" t="e">
        <f t="shared" si="172"/>
        <v>#REF!</v>
      </c>
      <c r="D528" s="20" t="e">
        <f t="shared" si="172"/>
        <v>#REF!</v>
      </c>
      <c r="E528" s="21">
        <f t="shared" si="172"/>
        <v>8593800.300000003</v>
      </c>
      <c r="F528" s="104">
        <f t="shared" si="172"/>
        <v>513278.9000000001</v>
      </c>
      <c r="G528" s="20">
        <f t="shared" si="172"/>
        <v>-59418</v>
      </c>
      <c r="H528" s="21">
        <f t="shared" si="172"/>
        <v>9047661.200000003</v>
      </c>
      <c r="I528" s="162">
        <f t="shared" si="172"/>
        <v>333516.1</v>
      </c>
      <c r="J528" s="20">
        <f t="shared" si="172"/>
        <v>500</v>
      </c>
      <c r="K528" s="21">
        <f t="shared" si="172"/>
        <v>9381677.300000003</v>
      </c>
      <c r="L528" s="162">
        <f t="shared" si="172"/>
        <v>107760.70000000001</v>
      </c>
      <c r="M528" s="20">
        <f t="shared" si="172"/>
        <v>0</v>
      </c>
      <c r="N528" s="21">
        <f t="shared" si="172"/>
        <v>9489438.000000002</v>
      </c>
      <c r="O528" s="136">
        <f>O526+O527</f>
        <v>0</v>
      </c>
      <c r="P528" s="113" t="e">
        <f>P526+P527</f>
        <v>#REF!</v>
      </c>
    </row>
    <row r="529" spans="1:16" ht="15.75">
      <c r="A529" s="83" t="s">
        <v>38</v>
      </c>
      <c r="B529" s="24"/>
      <c r="C529" s="22"/>
      <c r="D529" s="22"/>
      <c r="E529" s="23"/>
      <c r="F529" s="94"/>
      <c r="G529" s="22"/>
      <c r="H529" s="23"/>
      <c r="I529" s="94"/>
      <c r="J529" s="22"/>
      <c r="K529" s="23"/>
      <c r="L529" s="94"/>
      <c r="M529" s="22"/>
      <c r="N529" s="23"/>
      <c r="O529" s="128"/>
      <c r="P529" s="126"/>
    </row>
    <row r="530" spans="1:16" ht="15.75">
      <c r="A530" s="84" t="s">
        <v>68</v>
      </c>
      <c r="B530" s="27">
        <f aca="true" t="shared" si="173" ref="B530:P530">B98+B114+B142+B164+B175+B205+B216+B227+B296+B353+B379+B402+B434+B460+B467+B474+B479+B525+B527</f>
        <v>2807477.3</v>
      </c>
      <c r="C530" s="25" t="e">
        <f t="shared" si="173"/>
        <v>#REF!</v>
      </c>
      <c r="D530" s="25" t="e">
        <f t="shared" si="173"/>
        <v>#REF!</v>
      </c>
      <c r="E530" s="26">
        <f t="shared" si="173"/>
        <v>7577222.500000002</v>
      </c>
      <c r="F530" s="105">
        <f t="shared" si="173"/>
        <v>471221</v>
      </c>
      <c r="G530" s="25">
        <f t="shared" si="173"/>
        <v>-72795.5</v>
      </c>
      <c r="H530" s="26">
        <f t="shared" si="173"/>
        <v>7973022.300000002</v>
      </c>
      <c r="I530" s="163">
        <f t="shared" si="173"/>
        <v>241097.99999999997</v>
      </c>
      <c r="J530" s="25">
        <f t="shared" si="173"/>
        <v>-2334.8999999999996</v>
      </c>
      <c r="K530" s="26">
        <f t="shared" si="173"/>
        <v>8211785.400000001</v>
      </c>
      <c r="L530" s="163">
        <f t="shared" si="173"/>
        <v>73834.1</v>
      </c>
      <c r="M530" s="25">
        <f t="shared" si="173"/>
        <v>0</v>
      </c>
      <c r="N530" s="26">
        <f t="shared" si="173"/>
        <v>8285619.500000001</v>
      </c>
      <c r="O530" s="137">
        <f t="shared" si="173"/>
        <v>0</v>
      </c>
      <c r="P530" s="114" t="e">
        <f t="shared" si="173"/>
        <v>#REF!</v>
      </c>
    </row>
    <row r="531" spans="1:16" ht="16.5" thickBot="1">
      <c r="A531" s="70" t="s">
        <v>74</v>
      </c>
      <c r="B531" s="30">
        <f aca="true" t="shared" si="174" ref="B531:P531">B108+B137+B153+B170+B191+B211+B221+B276+B342+B367+B393+B427+B447+B463+B480</f>
        <v>387523.4</v>
      </c>
      <c r="C531" s="28">
        <f t="shared" si="174"/>
        <v>596444.2000000001</v>
      </c>
      <c r="D531" s="28">
        <f t="shared" si="174"/>
        <v>32610.2</v>
      </c>
      <c r="E531" s="29">
        <f t="shared" si="174"/>
        <v>1016577.8</v>
      </c>
      <c r="F531" s="106">
        <f t="shared" si="174"/>
        <v>42057.899999999994</v>
      </c>
      <c r="G531" s="28">
        <f t="shared" si="174"/>
        <v>13377.5</v>
      </c>
      <c r="H531" s="29">
        <f t="shared" si="174"/>
        <v>1074638.9000000001</v>
      </c>
      <c r="I531" s="164">
        <f t="shared" si="174"/>
        <v>92418.09999999999</v>
      </c>
      <c r="J531" s="28">
        <f t="shared" si="174"/>
        <v>2834.8999999999996</v>
      </c>
      <c r="K531" s="29">
        <f t="shared" si="174"/>
        <v>1169891.9</v>
      </c>
      <c r="L531" s="164">
        <f t="shared" si="174"/>
        <v>33926.600000000006</v>
      </c>
      <c r="M531" s="28">
        <f t="shared" si="174"/>
        <v>0</v>
      </c>
      <c r="N531" s="29">
        <f t="shared" si="174"/>
        <v>1203818.5</v>
      </c>
      <c r="O531" s="138">
        <f t="shared" si="174"/>
        <v>0</v>
      </c>
      <c r="P531" s="115">
        <f t="shared" si="174"/>
        <v>1095421.8</v>
      </c>
    </row>
    <row r="532" spans="1:16" ht="15.75">
      <c r="A532" s="83" t="s">
        <v>190</v>
      </c>
      <c r="B532" s="33">
        <f aca="true" t="shared" si="175" ref="B532:K532">SUM(B534:B539)</f>
        <v>-100000</v>
      </c>
      <c r="C532" s="31">
        <f t="shared" si="175"/>
        <v>870896.5</v>
      </c>
      <c r="D532" s="31">
        <f>SUM(D534:D539)</f>
        <v>47357.3</v>
      </c>
      <c r="E532" s="32">
        <f t="shared" si="175"/>
        <v>818253.8</v>
      </c>
      <c r="F532" s="107">
        <f>SUM(F534:F539)</f>
        <v>98056.3</v>
      </c>
      <c r="G532" s="31">
        <f>SUM(G534:G539)</f>
        <v>25156.6</v>
      </c>
      <c r="H532" s="32">
        <f>SUM(H534:H539)</f>
        <v>941466.7000000001</v>
      </c>
      <c r="I532" s="165">
        <f t="shared" si="175"/>
        <v>0</v>
      </c>
      <c r="J532" s="31">
        <f t="shared" si="175"/>
        <v>0</v>
      </c>
      <c r="K532" s="32">
        <f t="shared" si="175"/>
        <v>941466.7000000001</v>
      </c>
      <c r="L532" s="165">
        <f>SUM(L534:L539)</f>
        <v>-1120.3</v>
      </c>
      <c r="M532" s="31">
        <f>SUM(M534:M539)</f>
        <v>0</v>
      </c>
      <c r="N532" s="32">
        <f>SUM(N534:N539)</f>
        <v>940346.4</v>
      </c>
      <c r="O532" s="139">
        <f>SUM(O534:O539)</f>
        <v>0</v>
      </c>
      <c r="P532" s="34">
        <f>SUM(P534:P539)</f>
        <v>940346.4</v>
      </c>
    </row>
    <row r="533" spans="1:16" ht="12.75" customHeight="1">
      <c r="A533" s="85" t="s">
        <v>38</v>
      </c>
      <c r="B533" s="39"/>
      <c r="C533" s="35"/>
      <c r="D533" s="35"/>
      <c r="E533" s="95"/>
      <c r="F533" s="157"/>
      <c r="G533" s="35"/>
      <c r="H533" s="95"/>
      <c r="I533" s="157"/>
      <c r="J533" s="35"/>
      <c r="K533" s="95"/>
      <c r="L533" s="157"/>
      <c r="M533" s="35"/>
      <c r="N533" s="95"/>
      <c r="O533" s="128"/>
      <c r="P533" s="126"/>
    </row>
    <row r="534" spans="1:16" ht="12.75">
      <c r="A534" s="85" t="s">
        <v>191</v>
      </c>
      <c r="B534" s="170"/>
      <c r="C534" s="171">
        <v>17211.3</v>
      </c>
      <c r="D534" s="171"/>
      <c r="E534" s="172">
        <f aca="true" t="shared" si="176" ref="E534:E539">SUM(B534:D534)</f>
        <v>17211.3</v>
      </c>
      <c r="F534" s="173"/>
      <c r="G534" s="171"/>
      <c r="H534" s="172">
        <f aca="true" t="shared" si="177" ref="H534:H539">SUM(E534:G534)</f>
        <v>17211.3</v>
      </c>
      <c r="I534" s="173"/>
      <c r="J534" s="171"/>
      <c r="K534" s="172">
        <f aca="true" t="shared" si="178" ref="K534:K539">SUM(H534:J534)</f>
        <v>17211.3</v>
      </c>
      <c r="L534" s="173"/>
      <c r="M534" s="171"/>
      <c r="N534" s="172">
        <f aca="true" t="shared" si="179" ref="N534:N539">SUM(K534:M534)</f>
        <v>17211.3</v>
      </c>
      <c r="O534" s="128"/>
      <c r="P534" s="126">
        <f t="shared" si="162"/>
        <v>17211.3</v>
      </c>
    </row>
    <row r="535" spans="1:16" ht="12.75">
      <c r="A535" s="86" t="s">
        <v>202</v>
      </c>
      <c r="B535" s="170">
        <v>-100000</v>
      </c>
      <c r="C535" s="171"/>
      <c r="D535" s="171"/>
      <c r="E535" s="172">
        <f t="shared" si="176"/>
        <v>-100000</v>
      </c>
      <c r="F535" s="173"/>
      <c r="G535" s="171"/>
      <c r="H535" s="172">
        <f t="shared" si="177"/>
        <v>-100000</v>
      </c>
      <c r="I535" s="173"/>
      <c r="J535" s="171"/>
      <c r="K535" s="172">
        <f t="shared" si="178"/>
        <v>-100000</v>
      </c>
      <c r="L535" s="173"/>
      <c r="M535" s="171"/>
      <c r="N535" s="172">
        <f t="shared" si="179"/>
        <v>-100000</v>
      </c>
      <c r="O535" s="128"/>
      <c r="P535" s="126">
        <f t="shared" si="162"/>
        <v>-100000</v>
      </c>
    </row>
    <row r="536" spans="1:16" ht="12.75" hidden="1">
      <c r="A536" s="86" t="s">
        <v>192</v>
      </c>
      <c r="B536" s="170"/>
      <c r="C536" s="174"/>
      <c r="D536" s="171"/>
      <c r="E536" s="172">
        <f t="shared" si="176"/>
        <v>0</v>
      </c>
      <c r="F536" s="173"/>
      <c r="G536" s="171"/>
      <c r="H536" s="172">
        <f t="shared" si="177"/>
        <v>0</v>
      </c>
      <c r="I536" s="173"/>
      <c r="J536" s="171"/>
      <c r="K536" s="172">
        <f t="shared" si="178"/>
        <v>0</v>
      </c>
      <c r="L536" s="173"/>
      <c r="M536" s="171"/>
      <c r="N536" s="172">
        <f t="shared" si="179"/>
        <v>0</v>
      </c>
      <c r="O536" s="128"/>
      <c r="P536" s="126">
        <f t="shared" si="162"/>
        <v>0</v>
      </c>
    </row>
    <row r="537" spans="1:16" ht="12.75">
      <c r="A537" s="85" t="s">
        <v>193</v>
      </c>
      <c r="B537" s="170"/>
      <c r="C537" s="171"/>
      <c r="D537" s="171"/>
      <c r="E537" s="172">
        <f t="shared" si="176"/>
        <v>0</v>
      </c>
      <c r="F537" s="175">
        <f>-530.1-9012.2</f>
        <v>-9542.300000000001</v>
      </c>
      <c r="G537" s="197"/>
      <c r="H537" s="172">
        <f t="shared" si="177"/>
        <v>-9542.300000000001</v>
      </c>
      <c r="I537" s="173"/>
      <c r="J537" s="171"/>
      <c r="K537" s="172">
        <f t="shared" si="178"/>
        <v>-9542.300000000001</v>
      </c>
      <c r="L537" s="173">
        <f>-171.7-10.1-938.5</f>
        <v>-1120.3</v>
      </c>
      <c r="M537" s="171"/>
      <c r="N537" s="172">
        <f t="shared" si="179"/>
        <v>-10662.6</v>
      </c>
      <c r="O537" s="128"/>
      <c r="P537" s="126">
        <f t="shared" si="162"/>
        <v>-10662.6</v>
      </c>
    </row>
    <row r="538" spans="1:16" ht="12.75">
      <c r="A538" s="85" t="s">
        <v>194</v>
      </c>
      <c r="B538" s="170"/>
      <c r="C538" s="171">
        <f>63009.5+1425.8+1013.9+31777.1+34228.5+48.5+1008.5+194443.5+229796.3+16765.8+2010.4+26697.6+2400+19860.2+2249.7+2350+123859.3+18113.4+9.9+46960.1+24228.6+11428.6</f>
        <v>853685.2</v>
      </c>
      <c r="D538" s="171">
        <f>6482+2852+15963.6+18760+3167.4+132.3</f>
        <v>47357.3</v>
      </c>
      <c r="E538" s="172">
        <f t="shared" si="176"/>
        <v>901042.5</v>
      </c>
      <c r="F538" s="175">
        <f>101005.8+2905.7+3687.1</f>
        <v>107598.6</v>
      </c>
      <c r="G538" s="198">
        <v>23391.8</v>
      </c>
      <c r="H538" s="172">
        <f t="shared" si="177"/>
        <v>1032032.9</v>
      </c>
      <c r="I538" s="173"/>
      <c r="J538" s="171"/>
      <c r="K538" s="172">
        <f t="shared" si="178"/>
        <v>1032032.9</v>
      </c>
      <c r="L538" s="173"/>
      <c r="M538" s="171"/>
      <c r="N538" s="172">
        <f t="shared" si="179"/>
        <v>1032032.9</v>
      </c>
      <c r="O538" s="128"/>
      <c r="P538" s="126">
        <f t="shared" si="162"/>
        <v>1032032.9</v>
      </c>
    </row>
    <row r="539" spans="1:16" ht="13.5" thickBot="1">
      <c r="A539" s="108" t="s">
        <v>258</v>
      </c>
      <c r="B539" s="176"/>
      <c r="C539" s="177"/>
      <c r="D539" s="177"/>
      <c r="E539" s="178">
        <f t="shared" si="176"/>
        <v>0</v>
      </c>
      <c r="F539" s="177"/>
      <c r="G539" s="177">
        <v>1764.8</v>
      </c>
      <c r="H539" s="178">
        <f t="shared" si="177"/>
        <v>1764.8</v>
      </c>
      <c r="I539" s="179">
        <v>0</v>
      </c>
      <c r="J539" s="177">
        <v>0</v>
      </c>
      <c r="K539" s="178">
        <f t="shared" si="178"/>
        <v>1764.8</v>
      </c>
      <c r="L539" s="179"/>
      <c r="M539" s="177"/>
      <c r="N539" s="178">
        <f t="shared" si="179"/>
        <v>1764.8</v>
      </c>
      <c r="O539" s="140"/>
      <c r="P539" s="127">
        <f t="shared" si="162"/>
        <v>1764.8</v>
      </c>
    </row>
    <row r="540" spans="2:16" ht="12.75">
      <c r="B540" s="100">
        <f aca="true" t="shared" si="180" ref="B540:P540">B95+B532-B528</f>
        <v>0</v>
      </c>
      <c r="C540" s="100" t="e">
        <f t="shared" si="180"/>
        <v>#REF!</v>
      </c>
      <c r="D540" s="100" t="e">
        <f t="shared" si="180"/>
        <v>#REF!</v>
      </c>
      <c r="E540" s="100">
        <f t="shared" si="180"/>
        <v>0</v>
      </c>
      <c r="F540" s="100">
        <f t="shared" si="180"/>
        <v>0</v>
      </c>
      <c r="G540" s="100">
        <f t="shared" si="180"/>
        <v>0</v>
      </c>
      <c r="H540" s="100">
        <f t="shared" si="180"/>
        <v>0</v>
      </c>
      <c r="I540" s="100">
        <f t="shared" si="180"/>
        <v>0</v>
      </c>
      <c r="J540" s="100">
        <f t="shared" si="180"/>
        <v>0</v>
      </c>
      <c r="K540" s="100">
        <f t="shared" si="180"/>
        <v>0</v>
      </c>
      <c r="L540" s="100">
        <f t="shared" si="180"/>
        <v>0</v>
      </c>
      <c r="M540" s="100">
        <f t="shared" si="180"/>
        <v>0</v>
      </c>
      <c r="N540" s="100">
        <f t="shared" si="180"/>
        <v>0</v>
      </c>
      <c r="O540" s="100">
        <f t="shared" si="180"/>
        <v>0</v>
      </c>
      <c r="P540" s="100" t="e">
        <f t="shared" si="180"/>
        <v>#REF!</v>
      </c>
    </row>
    <row r="541" ht="12.75">
      <c r="O541" s="100"/>
    </row>
    <row r="542" ht="12.75">
      <c r="O542" s="100"/>
    </row>
    <row r="543" ht="12.75">
      <c r="O543" s="100"/>
    </row>
    <row r="544" ht="12.75">
      <c r="O544" s="100"/>
    </row>
    <row r="545" ht="12.75">
      <c r="O545" s="100"/>
    </row>
    <row r="546" ht="12.75">
      <c r="O546" s="100"/>
    </row>
    <row r="547" ht="12.75">
      <c r="O547" s="100"/>
    </row>
    <row r="548" ht="12.75">
      <c r="O548" s="100"/>
    </row>
    <row r="549" ht="12.75">
      <c r="O549" s="100"/>
    </row>
    <row r="550" ht="12.75">
      <c r="O550" s="100"/>
    </row>
    <row r="551" ht="12.75">
      <c r="O551" s="100"/>
    </row>
    <row r="552" ht="12.75">
      <c r="O552" s="100"/>
    </row>
    <row r="553" ht="12.75">
      <c r="O553" s="100"/>
    </row>
    <row r="554" ht="12.75">
      <c r="O554" s="100"/>
    </row>
    <row r="555" ht="12.75">
      <c r="O555" s="100"/>
    </row>
    <row r="556" ht="12.75">
      <c r="O556" s="100"/>
    </row>
    <row r="557" ht="12.75">
      <c r="O557" s="100"/>
    </row>
    <row r="558" ht="12.75">
      <c r="O558" s="100"/>
    </row>
    <row r="559" ht="12.75">
      <c r="O559" s="100"/>
    </row>
    <row r="560" ht="12.75">
      <c r="O560" s="100"/>
    </row>
    <row r="561" ht="12.75">
      <c r="O561" s="100"/>
    </row>
    <row r="562" ht="12.75">
      <c r="O562" s="100"/>
    </row>
    <row r="563" ht="12.75">
      <c r="O563" s="100"/>
    </row>
    <row r="564" ht="12.75">
      <c r="O564" s="100"/>
    </row>
    <row r="565" ht="12.75">
      <c r="O565" s="100"/>
    </row>
    <row r="566" ht="12.75">
      <c r="O566" s="100"/>
    </row>
    <row r="567" ht="12.75">
      <c r="O567" s="100"/>
    </row>
    <row r="568" ht="12.75">
      <c r="O568" s="100"/>
    </row>
    <row r="569" ht="12.75">
      <c r="O569" s="100"/>
    </row>
    <row r="570" ht="12.75">
      <c r="O570" s="100"/>
    </row>
    <row r="571" ht="12.75">
      <c r="O571" s="100"/>
    </row>
    <row r="572" ht="12.75">
      <c r="O572" s="100"/>
    </row>
  </sheetData>
  <sheetProtection/>
  <mergeCells count="5">
    <mergeCell ref="A3:P3"/>
    <mergeCell ref="A4:P4"/>
    <mergeCell ref="A5:P5"/>
    <mergeCell ref="A6:P6"/>
    <mergeCell ref="A8:A9"/>
  </mergeCells>
  <printOptions horizontalCentered="1"/>
  <pageMargins left="0.1968503937007874" right="0.1968503937007874" top="0.7086614173228347" bottom="0.5905511811023623" header="0.31496062992125984" footer="0.11811023622047245"/>
  <pageSetup horizontalDpi="600" verticalDpi="600" orientation="portrait" paperSize="9" scale="90" r:id="rId1"/>
  <headerFooter alignWithMargins="0">
    <oddFooter>&amp;CStránka &amp;P</oddFooter>
  </headerFooter>
  <rowBreaks count="6" manualBreakCount="6">
    <brk id="95" max="14" man="1"/>
    <brk id="173" max="14" man="1"/>
    <brk id="259" max="14" man="1"/>
    <brk id="341" max="14" man="1"/>
    <brk id="415" max="14" man="1"/>
    <brk id="493" max="14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2012-11-21T07:45:24Z</cp:lastPrinted>
  <dcterms:created xsi:type="dcterms:W3CDTF">2009-01-05T12:05:07Z</dcterms:created>
  <dcterms:modified xsi:type="dcterms:W3CDTF">2012-11-21T07:47:11Z</dcterms:modified>
  <cp:category/>
  <cp:version/>
  <cp:contentType/>
  <cp:contentStatus/>
</cp:coreProperties>
</file>