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2.ZR" sheetId="1" r:id="rId1"/>
  </sheets>
  <definedNames>
    <definedName name="_xlnm.Print_Titles" localSheetId="0">'2.ZR'!$7:$8</definedName>
  </definedNames>
  <calcPr fullCalcOnLoad="1"/>
</workbook>
</file>

<file path=xl/sharedStrings.xml><?xml version="1.0" encoding="utf-8"?>
<sst xmlns="http://schemas.openxmlformats.org/spreadsheetml/2006/main" count="409" uniqueCount="243">
  <si>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</si>
  <si>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</si>
  <si>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</si>
  <si>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</si>
  <si>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</si>
  <si>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</si>
  <si>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</si>
  <si>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</si>
  <si>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</si>
  <si>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</si>
  <si>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</si>
  <si>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</si>
  <si>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</si>
  <si>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</si>
  <si>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</si>
  <si>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</si>
  <si>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</si>
  <si>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</si>
  <si>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</si>
  <si>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</si>
  <si>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</si>
  <si>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</si>
  <si>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</si>
  <si>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</si>
  <si>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</si>
  <si>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</si>
  <si>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</si>
  <si>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</si>
  <si>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</si>
  <si>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</si>
  <si>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</si>
  <si>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</si>
  <si>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</si>
  <si>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</si>
  <si>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</si>
  <si>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</si>
  <si>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</si>
  <si>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</si>
  <si>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</si>
  <si>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</si>
  <si>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</si>
  <si>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</si>
  <si>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</si>
  <si>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</si>
  <si>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</si>
  <si>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</si>
  <si>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</si>
  <si>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</si>
  <si>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</si>
  <si>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</si>
  <si>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</si>
  <si>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</si>
  <si>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</si>
  <si>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</si>
  <si>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</si>
  <si>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</si>
  <si>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</si>
  <si>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</si>
  <si>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</si>
  <si>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</si>
  <si>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</si>
  <si>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</si>
  <si>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</si>
  <si>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</si>
  <si>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 xml:space="preserve">příjmy v rámci FV </t>
  </si>
  <si>
    <t>přijaté úroky</t>
  </si>
  <si>
    <t>vratka návratné finanční výpomoci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</si>
  <si>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</si>
  <si>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</si>
  <si>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</si>
  <si>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</si>
  <si>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</si>
  <si>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</si>
  <si>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</si>
  <si>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</si>
  <si>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</si>
  <si>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</si>
  <si>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</si>
  <si>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</si>
  <si>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</si>
  <si>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</si>
  <si>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 xml:space="preserve">  odvětví školství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</si>
  <si>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</si>
  <si>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</si>
  <si>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</si>
  <si>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</si>
  <si>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</si>
  <si>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</si>
  <si>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</si>
  <si>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</si>
  <si>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</si>
  <si>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</si>
  <si>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</si>
  <si>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</si>
  <si>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</si>
  <si>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</si>
  <si>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</si>
  <si>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</si>
  <si>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</si>
  <si>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</si>
  <si>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</si>
  <si>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</si>
  <si>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</si>
  <si>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</si>
  <si>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</si>
  <si>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</si>
  <si>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>GRIP IT - SR</t>
  </si>
  <si>
    <t>splátka dodavatelského úvěru</t>
  </si>
  <si>
    <t>Schválený</t>
  </si>
  <si>
    <t>rozpočet</t>
  </si>
  <si>
    <t>1. změna</t>
  </si>
  <si>
    <t>po 1. změně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</si>
  <si>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</si>
  <si>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</si>
  <si>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</si>
  <si>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</si>
  <si>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</si>
  <si>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</si>
  <si>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</si>
  <si>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>prům.zóna Solnice-Kvasiny-ost.kapitál.výdaje-úvěr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</si>
  <si>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</si>
  <si>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</si>
  <si>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</si>
  <si>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</si>
  <si>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</si>
  <si>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</si>
  <si>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</si>
  <si>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</si>
  <si>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</si>
  <si>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</si>
  <si>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</si>
  <si>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</si>
  <si>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</si>
  <si>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</si>
  <si>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</si>
  <si>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</si>
  <si>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</si>
  <si>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</si>
  <si>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</si>
  <si>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</si>
  <si>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</si>
  <si>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</si>
  <si>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</si>
  <si>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>splátky půjčených prostředků</t>
  </si>
  <si>
    <t>zabránění vzniku, rozvoje a šíření TBC - SR</t>
  </si>
  <si>
    <t>Technická pomoc - SR</t>
  </si>
  <si>
    <t>OP RLZ 2.1 - SR</t>
  </si>
  <si>
    <t>neinvestiční půjčené prostředky</t>
  </si>
  <si>
    <t>kap. 09 - volnočasové aktivity</t>
  </si>
  <si>
    <t>průmyslová zóna Solnice-Kvasiny-ost.kapitál.výd.-úvěr</t>
  </si>
  <si>
    <t>prům.zóna Solnice-Kvasiny-ostat.kap.výd.-úvěr</t>
  </si>
  <si>
    <t>2. změna</t>
  </si>
  <si>
    <t>po 2. změně</t>
  </si>
  <si>
    <t>NÁVRH NA ZMĚNU ROZPOČTU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</si>
  <si>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</si>
  <si>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</si>
  <si>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</si>
  <si>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</si>
  <si>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nedaňové příjmy odv.zdravotnictví</t>
  </si>
  <si>
    <t xml:space="preserve">  odvětví dopravy</t>
  </si>
  <si>
    <t>z toho:</t>
  </si>
  <si>
    <t>daň z příjmů právnických osob za kraje</t>
  </si>
  <si>
    <t>splátky půjček (SFDI)</t>
  </si>
  <si>
    <t>dotace ze SR poskytnutá prostř.čerp.účtů</t>
  </si>
  <si>
    <t>dot.ze SR poskytnuté prostř.čerpacích účtů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</si>
  <si>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</si>
  <si>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</si>
  <si>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</si>
  <si>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</si>
  <si>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</si>
  <si>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 xml:space="preserve">                  - neinvestiční transfery</t>
  </si>
  <si>
    <t xml:space="preserve">  z MK</t>
  </si>
  <si>
    <t>kulturní aktivity - SR</t>
  </si>
  <si>
    <t>projekty v rámci VISK - SR</t>
  </si>
  <si>
    <t>výdaje z finančního vypořádání</t>
  </si>
  <si>
    <t>3. změna</t>
  </si>
  <si>
    <t>po 3. změně</t>
  </si>
  <si>
    <t xml:space="preserve">  z MZ</t>
  </si>
  <si>
    <t xml:space="preserve">  z Úřadu vlády</t>
  </si>
  <si>
    <t xml:space="preserve">  odvětví kultury</t>
  </si>
  <si>
    <t>nedaňové příjmy odvětví soc.věcí</t>
  </si>
  <si>
    <t>volby do zastupitelstev obcí - SR</t>
  </si>
  <si>
    <t>výd.na krajs.koordinátora romských poradců - SR</t>
  </si>
  <si>
    <t>náhr.škod způs.zvl.chráněnými živočichy - SR</t>
  </si>
  <si>
    <t>likvidace nepoužitelných léčiv - SR</t>
  </si>
  <si>
    <t xml:space="preserve">investiční půjčené prostředky obcím   </t>
  </si>
  <si>
    <t>4. změna</t>
  </si>
  <si>
    <t>po 4. změně</t>
  </si>
  <si>
    <t>investiční transfery krajům</t>
  </si>
  <si>
    <t xml:space="preserve">  odvětví správy majetku kraje</t>
  </si>
  <si>
    <t>kompenzační pomůcky - SR</t>
  </si>
  <si>
    <t xml:space="preserve">             neinvestiční transfery a.s.</t>
  </si>
  <si>
    <t>nedaňové příjmy odvětví školství</t>
  </si>
  <si>
    <t>5. změna</t>
  </si>
  <si>
    <t>po 5. změně</t>
  </si>
  <si>
    <t xml:space="preserve">  z Národního fondu</t>
  </si>
  <si>
    <t xml:space="preserve">  ze SFDI</t>
  </si>
  <si>
    <t xml:space="preserve">  odvětví soc.</t>
  </si>
  <si>
    <t>SIPVZ - SR</t>
  </si>
  <si>
    <t>komunikace v rámci průmyslové zóny - SR</t>
  </si>
  <si>
    <t>obnova silničního majetku - SR</t>
  </si>
  <si>
    <t>NA ROK 2008</t>
  </si>
  <si>
    <t xml:space="preserve">    v tom odvětví: školství</t>
  </si>
  <si>
    <t>pronájem služeb a prostor v RC NP</t>
  </si>
  <si>
    <t>zajištění správy majetku kraje</t>
  </si>
  <si>
    <t>OP RLZ 3.3 Rozv.kapacit dalšího profes.vzd.-SR r.2007</t>
  </si>
  <si>
    <t>neinv.dotace Centru evropského projektování a.s.</t>
  </si>
  <si>
    <t xml:space="preserve">  z toho: Centrum evropského projektování a.s.</t>
  </si>
  <si>
    <t>inv.dot.HZS KHK na výst.Centrál.pož.st.a stř.ZZS v HK</t>
  </si>
  <si>
    <t>OP RLZ 2.1 - z dotace SR z r.2007</t>
  </si>
  <si>
    <t xml:space="preserve">rezerva </t>
  </si>
  <si>
    <t>pr.z.Solnice-Kvasiny-i.transf.obcím (úvěr 19512,5tis.Kč)</t>
  </si>
  <si>
    <t>nedaňové příjmy odv.evropské integrace</t>
  </si>
  <si>
    <t xml:space="preserve">  ze zvl.účtu MF</t>
  </si>
  <si>
    <t>ESF - SR</t>
  </si>
  <si>
    <t>investiční transfery a. s.</t>
  </si>
  <si>
    <t>neinvestiční dotace obcím</t>
  </si>
  <si>
    <t>vklad pro založení a.s.</t>
  </si>
  <si>
    <t>komunikace v rámci průmyslové zóny - SR-z r.2007</t>
  </si>
  <si>
    <t xml:space="preserve">investiční transfery obcím </t>
  </si>
  <si>
    <t>kofinancování a předfinancování</t>
  </si>
  <si>
    <t xml:space="preserve">             odvětví školství</t>
  </si>
  <si>
    <t>neinvestiční půjčené prostředky a.s.</t>
  </si>
  <si>
    <t>prům.zóna Solnice-Kvasiny-ost.běžné výdaje</t>
  </si>
  <si>
    <t>v tom: autobusová doprava</t>
  </si>
  <si>
    <t xml:space="preserve">          drážní doprava</t>
  </si>
  <si>
    <t>FM EHP/Norska - CZ-0037 z r.2007</t>
  </si>
  <si>
    <t>FM EHP/Norska - CZ-0037</t>
  </si>
  <si>
    <t>FM EHP/Norska - CZ-0037-sub-projekty</t>
  </si>
  <si>
    <t>daň z příjmů právnických osob za kraj</t>
  </si>
  <si>
    <t xml:space="preserve">  z MV</t>
  </si>
  <si>
    <t>nedaňové příjmy odvětví kultury</t>
  </si>
  <si>
    <t>dotace ze SFDI - SR</t>
  </si>
  <si>
    <t>OP RLZ  5.1 -zabezp. fin.Konečných.uživatelů.-SR</t>
  </si>
  <si>
    <t>fin.asistentů pedagoga - SR</t>
  </si>
  <si>
    <t>výdaje jednotek sborů dobrovolných hasičů obcí-SR</t>
  </si>
  <si>
    <t xml:space="preserve">             školství</t>
  </si>
  <si>
    <t xml:space="preserve">             z toho neinvestiční transfery obcím</t>
  </si>
  <si>
    <t>vzdělávání dětí azylantů a cizinců - SR</t>
  </si>
  <si>
    <t xml:space="preserve">                           regionální rozvoj</t>
  </si>
  <si>
    <t>podpora EVVO ve školách - SR</t>
  </si>
  <si>
    <t>splátky půjčených prostředků od obcí</t>
  </si>
  <si>
    <t xml:space="preserve">ostatní kapitálové výdaje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</si>
</sst>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0" fillId="0" borderId="5" xfId="0" applyFont="1" applyBorder="1" applyAlignment="1">
      <alignment/>
    </xf>
    <xf numFmtId="3" fontId="1" fillId="0" borderId="6" xfId="0" applyFont="1" applyBorder="1" applyAlignment="1">
      <alignment vertical="center"/>
    </xf>
    <xf numFmtId="3" fontId="7" fillId="0" borderId="6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5" xfId="0" applyBorder="1" applyAlignment="1">
      <alignment/>
    </xf>
    <xf numFmtId="3" fontId="9" fillId="0" borderId="5" xfId="0" applyFont="1" applyBorder="1" applyAlignment="1">
      <alignment/>
    </xf>
    <xf numFmtId="3" fontId="1" fillId="0" borderId="4" xfId="0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Border="1" applyAlignment="1">
      <alignment/>
    </xf>
    <xf numFmtId="171" fontId="2" fillId="0" borderId="4" xfId="18" applyNumberFormat="1" applyFont="1" applyBorder="1" applyAlignment="1">
      <alignment vertical="center"/>
    </xf>
    <xf numFmtId="171" fontId="4" fillId="0" borderId="2" xfId="18" applyNumberFormat="1" applyFont="1" applyBorder="1" applyAlignment="1">
      <alignment/>
    </xf>
    <xf numFmtId="171" fontId="4" fillId="0" borderId="2" xfId="18" applyNumberFormat="1" applyFont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3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1" fillId="0" borderId="10" xfId="18" applyNumberFormat="1" applyFont="1" applyBorder="1" applyAlignment="1">
      <alignment/>
    </xf>
    <xf numFmtId="171" fontId="7" fillId="0" borderId="11" xfId="18" applyNumberFormat="1" applyFont="1" applyBorder="1" applyAlignment="1">
      <alignment vertical="center"/>
    </xf>
    <xf numFmtId="171" fontId="7" fillId="0" borderId="12" xfId="18" applyNumberFormat="1" applyFont="1" applyBorder="1" applyAlignment="1">
      <alignment vertical="center"/>
    </xf>
    <xf numFmtId="171" fontId="1" fillId="0" borderId="11" xfId="18" applyNumberFormat="1" applyFont="1" applyBorder="1" applyAlignment="1">
      <alignment vertical="center"/>
    </xf>
    <xf numFmtId="171" fontId="1" fillId="0" borderId="12" xfId="18" applyNumberFormat="1" applyFont="1" applyBorder="1" applyAlignment="1">
      <alignment vertical="center"/>
    </xf>
    <xf numFmtId="171" fontId="2" fillId="0" borderId="11" xfId="18" applyNumberFormat="1" applyFont="1" applyBorder="1" applyAlignment="1">
      <alignment vertical="center"/>
    </xf>
    <xf numFmtId="171" fontId="2" fillId="0" borderId="12" xfId="18" applyNumberFormat="1" applyFont="1" applyBorder="1" applyAlignment="1">
      <alignment vertical="center"/>
    </xf>
    <xf numFmtId="171" fontId="7" fillId="0" borderId="13" xfId="18" applyNumberFormat="1" applyFont="1" applyBorder="1" applyAlignment="1">
      <alignment vertical="center"/>
    </xf>
    <xf numFmtId="171" fontId="7" fillId="0" borderId="14" xfId="18" applyNumberFormat="1" applyFont="1" applyBorder="1" applyAlignment="1">
      <alignment vertical="center"/>
    </xf>
    <xf numFmtId="171" fontId="7" fillId="0" borderId="2" xfId="18" applyNumberFormat="1" applyFont="1" applyBorder="1" applyAlignment="1">
      <alignment vertical="center"/>
    </xf>
    <xf numFmtId="171" fontId="7" fillId="0" borderId="15" xfId="18" applyNumberFormat="1" applyFont="1" applyBorder="1" applyAlignment="1">
      <alignment vertical="center"/>
    </xf>
    <xf numFmtId="171" fontId="2" fillId="0" borderId="13" xfId="18" applyNumberFormat="1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171" fontId="2" fillId="0" borderId="2" xfId="18" applyNumberFormat="1" applyFont="1" applyBorder="1" applyAlignment="1">
      <alignment vertical="center"/>
    </xf>
    <xf numFmtId="171" fontId="8" fillId="0" borderId="16" xfId="18" applyNumberFormat="1" applyFont="1" applyBorder="1" applyAlignment="1">
      <alignment vertical="center"/>
    </xf>
    <xf numFmtId="171" fontId="8" fillId="0" borderId="2" xfId="18" applyNumberFormat="1" applyFont="1" applyBorder="1" applyAlignment="1">
      <alignment vertical="center"/>
    </xf>
    <xf numFmtId="171" fontId="8" fillId="0" borderId="4" xfId="18" applyNumberFormat="1" applyFont="1" applyBorder="1" applyAlignment="1">
      <alignment vertical="center"/>
    </xf>
    <xf numFmtId="171" fontId="8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71" fontId="0" fillId="0" borderId="18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0" fillId="0" borderId="2" xfId="18" applyNumberFormat="1" applyFont="1" applyFill="1" applyBorder="1" applyAlignment="1">
      <alignment/>
    </xf>
    <xf numFmtId="171" fontId="0" fillId="0" borderId="10" xfId="18" applyNumberFormat="1" applyBorder="1" applyAlignment="1">
      <alignment/>
    </xf>
    <xf numFmtId="171" fontId="7" fillId="0" borderId="9" xfId="18" applyNumberFormat="1" applyFont="1" applyBorder="1" applyAlignment="1">
      <alignment vertical="center"/>
    </xf>
    <xf numFmtId="171" fontId="7" fillId="0" borderId="7" xfId="18" applyNumberFormat="1" applyFont="1" applyBorder="1" applyAlignment="1">
      <alignment vertical="center"/>
    </xf>
    <xf numFmtId="171" fontId="7" fillId="0" borderId="8" xfId="18" applyNumberFormat="1" applyFont="1" applyBorder="1" applyAlignment="1">
      <alignment vertical="center"/>
    </xf>
    <xf numFmtId="171" fontId="7" fillId="0" borderId="4" xfId="18" applyNumberFormat="1" applyFont="1" applyBorder="1" applyAlignment="1">
      <alignment vertical="center"/>
    </xf>
    <xf numFmtId="171" fontId="7" fillId="0" borderId="19" xfId="18" applyNumberFormat="1" applyFont="1" applyBorder="1" applyAlignment="1">
      <alignment vertical="center"/>
    </xf>
    <xf numFmtId="171" fontId="9" fillId="0" borderId="2" xfId="18" applyNumberFormat="1" applyFont="1" applyBorder="1" applyAlignment="1">
      <alignment/>
    </xf>
    <xf numFmtId="171" fontId="7" fillId="0" borderId="20" xfId="18" applyNumberFormat="1" applyFont="1" applyBorder="1" applyAlignment="1">
      <alignment vertical="center"/>
    </xf>
    <xf numFmtId="171" fontId="7" fillId="0" borderId="10" xfId="18" applyNumberFormat="1" applyFont="1" applyBorder="1" applyAlignment="1">
      <alignment vertical="center"/>
    </xf>
    <xf numFmtId="3" fontId="2" fillId="0" borderId="8" xfId="0" applyFont="1" applyBorder="1" applyAlignment="1">
      <alignment vertical="center"/>
    </xf>
    <xf numFmtId="171" fontId="7" fillId="0" borderId="21" xfId="18" applyNumberFormat="1" applyFont="1" applyBorder="1" applyAlignment="1">
      <alignment vertical="center"/>
    </xf>
    <xf numFmtId="171" fontId="1" fillId="0" borderId="21" xfId="18" applyNumberFormat="1" applyFont="1" applyBorder="1" applyAlignment="1">
      <alignment vertical="center"/>
    </xf>
    <xf numFmtId="171" fontId="2" fillId="0" borderId="21" xfId="18" applyNumberFormat="1" applyFont="1" applyBorder="1" applyAlignment="1">
      <alignment vertical="center"/>
    </xf>
    <xf numFmtId="171" fontId="2" fillId="0" borderId="20" xfId="18" applyNumberFormat="1" applyFont="1" applyBorder="1" applyAlignment="1">
      <alignment vertical="center"/>
    </xf>
    <xf numFmtId="171" fontId="2" fillId="0" borderId="10" xfId="18" applyNumberFormat="1" applyFont="1" applyBorder="1" applyAlignment="1">
      <alignment vertical="center"/>
    </xf>
    <xf numFmtId="171" fontId="8" fillId="0" borderId="10" xfId="18" applyNumberFormat="1" applyFont="1" applyBorder="1" applyAlignment="1">
      <alignment vertical="center"/>
    </xf>
    <xf numFmtId="171" fontId="8" fillId="0" borderId="22" xfId="18" applyNumberFormat="1" applyFont="1" applyBorder="1" applyAlignment="1">
      <alignment vertical="center"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workbookViewId="0" topLeftCell="A1">
      <pane xSplit="2" ySplit="19" topLeftCell="E2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S39" sqref="S39"/>
    </sheetView>
  </sheetViews>
  <sheetFormatPr defaultColWidth="9.00390625" defaultRowHeight="12.75"/>
  <cols>
    <col min="1" max="1" width="43.75390625" style="0" customWidth="1"/>
    <col min="2" max="2" width="14.25390625" style="17" customWidth="1"/>
    <col min="3" max="3" width="14.25390625" style="17" hidden="1" customWidth="1"/>
    <col min="4" max="4" width="13.75390625" style="17" hidden="1" customWidth="1"/>
    <col min="5" max="5" width="14.25390625" style="17" customWidth="1"/>
    <col min="6" max="6" width="13.75390625" style="0" customWidth="1"/>
    <col min="7" max="7" width="13.625" style="0" hidden="1" customWidth="1"/>
    <col min="8" max="8" width="13.75390625" style="0" customWidth="1"/>
    <col min="9" max="17" width="13.75390625" style="0" hidden="1" customWidth="1"/>
  </cols>
  <sheetData>
    <row r="1" ht="12.75">
      <c r="E1" s="35"/>
    </row>
    <row r="2" spans="1:17" ht="19.5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9.5" customHeight="1">
      <c r="A3" s="91" t="s">
        <v>201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9.5" customHeight="1">
      <c r="A4" s="92" t="s">
        <v>153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9.5" customHeight="1">
      <c r="A5" s="93" t="s">
        <v>154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5" ht="12.75" customHeight="1">
      <c r="A6" s="9"/>
      <c r="B6" s="16"/>
      <c r="C6" s="16"/>
      <c r="D6" s="16"/>
      <c r="E6" s="16"/>
    </row>
    <row r="7" spans="1:17" ht="12.75" customHeight="1">
      <c r="A7" s="88" t="s">
        <v>3</v>
      </c>
      <c r="B7" s="18" t="s">
        <v>108</v>
      </c>
      <c r="C7" s="18" t="s">
        <v>110</v>
      </c>
      <c r="D7" s="18" t="s">
        <v>87</v>
      </c>
      <c r="E7" s="18" t="s">
        <v>54</v>
      </c>
      <c r="F7" s="18" t="s">
        <v>151</v>
      </c>
      <c r="G7" s="18" t="s">
        <v>87</v>
      </c>
      <c r="H7" s="18" t="s">
        <v>54</v>
      </c>
      <c r="I7" s="18" t="s">
        <v>175</v>
      </c>
      <c r="J7" s="18" t="s">
        <v>87</v>
      </c>
      <c r="K7" s="18" t="s">
        <v>54</v>
      </c>
      <c r="L7" s="18" t="s">
        <v>186</v>
      </c>
      <c r="M7" s="18" t="s">
        <v>87</v>
      </c>
      <c r="N7" s="18" t="s">
        <v>54</v>
      </c>
      <c r="O7" s="18" t="s">
        <v>193</v>
      </c>
      <c r="P7" s="18" t="s">
        <v>87</v>
      </c>
      <c r="Q7" s="18" t="s">
        <v>54</v>
      </c>
    </row>
    <row r="8" spans="1:17" ht="12.75" customHeight="1">
      <c r="A8" s="89"/>
      <c r="B8" s="19" t="s">
        <v>109</v>
      </c>
      <c r="C8" s="19" t="s">
        <v>55</v>
      </c>
      <c r="D8" s="19" t="s">
        <v>88</v>
      </c>
      <c r="E8" s="19" t="s">
        <v>111</v>
      </c>
      <c r="F8" s="19" t="s">
        <v>55</v>
      </c>
      <c r="G8" s="19" t="s">
        <v>88</v>
      </c>
      <c r="H8" s="19" t="s">
        <v>152</v>
      </c>
      <c r="I8" s="19" t="s">
        <v>55</v>
      </c>
      <c r="J8" s="19" t="s">
        <v>88</v>
      </c>
      <c r="K8" s="19" t="s">
        <v>176</v>
      </c>
      <c r="L8" s="19" t="s">
        <v>55</v>
      </c>
      <c r="M8" s="19" t="s">
        <v>88</v>
      </c>
      <c r="N8" s="19" t="s">
        <v>187</v>
      </c>
      <c r="O8" s="19" t="s">
        <v>55</v>
      </c>
      <c r="P8" s="19" t="s">
        <v>88</v>
      </c>
      <c r="Q8" s="19" t="s">
        <v>194</v>
      </c>
    </row>
    <row r="9" spans="1:17" ht="15" customHeight="1">
      <c r="A9" s="1" t="s">
        <v>4</v>
      </c>
      <c r="B9" s="18"/>
      <c r="C9" s="20"/>
      <c r="D9" s="20"/>
      <c r="E9" s="18"/>
      <c r="F9" s="20"/>
      <c r="G9" s="20"/>
      <c r="H9" s="18"/>
      <c r="I9" s="20"/>
      <c r="J9" s="20"/>
      <c r="K9" s="18"/>
      <c r="L9" s="20"/>
      <c r="M9" s="20"/>
      <c r="N9" s="18"/>
      <c r="O9" s="20"/>
      <c r="P9" s="20"/>
      <c r="Q9" s="18"/>
    </row>
    <row r="10" spans="1:17" ht="12.75">
      <c r="A10" s="2" t="s">
        <v>0</v>
      </c>
      <c r="B10" s="39">
        <v>2865000</v>
      </c>
      <c r="C10" s="39">
        <v>10000</v>
      </c>
      <c r="D10" s="39">
        <v>90000</v>
      </c>
      <c r="E10" s="39">
        <f>B10+C10+D10</f>
        <v>2965000</v>
      </c>
      <c r="F10" s="39">
        <f>F12</f>
        <v>24363.2</v>
      </c>
      <c r="G10" s="39"/>
      <c r="H10" s="39">
        <f>E10+F10+G10</f>
        <v>2989363.2</v>
      </c>
      <c r="I10" s="39"/>
      <c r="J10" s="39"/>
      <c r="K10" s="39">
        <f>H10+I10+J10</f>
        <v>2989363.2</v>
      </c>
      <c r="L10" s="39"/>
      <c r="M10" s="39"/>
      <c r="N10" s="39">
        <f>K10+L10+M10</f>
        <v>2989363.2</v>
      </c>
      <c r="O10" s="39"/>
      <c r="P10" s="39"/>
      <c r="Q10" s="39">
        <f>N10+O10+P10</f>
        <v>2989363.2</v>
      </c>
    </row>
    <row r="11" spans="1:17" ht="12.75">
      <c r="A11" s="10" t="s">
        <v>160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8" t="s">
        <v>161</v>
      </c>
      <c r="B12" s="39"/>
      <c r="C12" s="39"/>
      <c r="D12" s="39"/>
      <c r="E12" s="39"/>
      <c r="F12" s="40">
        <v>24363.2</v>
      </c>
      <c r="G12" s="39"/>
      <c r="H12" s="40">
        <f>E12+F12+G12</f>
        <v>24363.2</v>
      </c>
      <c r="I12" s="40"/>
      <c r="J12" s="39"/>
      <c r="K12" s="40">
        <f>H12+I12+J12</f>
        <v>24363.2</v>
      </c>
      <c r="L12" s="40"/>
      <c r="M12" s="39"/>
      <c r="N12" s="40">
        <f>K12+L12+M12</f>
        <v>24363.2</v>
      </c>
      <c r="O12" s="40"/>
      <c r="P12" s="39"/>
      <c r="Q12" s="40">
        <f>N12+O12+P12</f>
        <v>24363.2</v>
      </c>
    </row>
    <row r="13" spans="1:17" ht="12.75">
      <c r="A13" s="2" t="s">
        <v>47</v>
      </c>
      <c r="B13" s="39">
        <f>SUM(B15:B25)</f>
        <v>139525</v>
      </c>
      <c r="C13" s="39">
        <f>SUM(C15:C25)</f>
        <v>120.5</v>
      </c>
      <c r="D13" s="39">
        <f>SUM(D15:D25)</f>
        <v>51445.9</v>
      </c>
      <c r="E13" s="39">
        <f>B13+C13+D13</f>
        <v>191091.4</v>
      </c>
      <c r="F13" s="39">
        <f>SUM(F15:F25)</f>
        <v>8012.1</v>
      </c>
      <c r="G13" s="39">
        <f>SUM(G15:G25)</f>
        <v>0</v>
      </c>
      <c r="H13" s="39">
        <f>E13+F13+G13</f>
        <v>199103.5</v>
      </c>
      <c r="I13" s="39">
        <f>SUM(I15:I25)</f>
        <v>0</v>
      </c>
      <c r="J13" s="39">
        <f>SUM(J15:J25)</f>
        <v>0</v>
      </c>
      <c r="K13" s="39">
        <f>H13+I13+J13</f>
        <v>199103.5</v>
      </c>
      <c r="L13" s="39">
        <f>SUM(L15:L25)</f>
        <v>0</v>
      </c>
      <c r="M13" s="39">
        <f>SUM(M15:M25)</f>
        <v>0</v>
      </c>
      <c r="N13" s="39">
        <f>K13+L13+M13</f>
        <v>199103.5</v>
      </c>
      <c r="O13" s="39">
        <f>SUM(O15:O25)</f>
        <v>0</v>
      </c>
      <c r="P13" s="39">
        <f>SUM(P15:P25)</f>
        <v>0</v>
      </c>
      <c r="Q13" s="39">
        <f>N13+O13+P13</f>
        <v>199103.5</v>
      </c>
    </row>
    <row r="14" spans="1:17" ht="9.75" customHeight="1">
      <c r="A14" s="10" t="s">
        <v>61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8" t="s">
        <v>65</v>
      </c>
      <c r="B15" s="40">
        <v>15000</v>
      </c>
      <c r="C15" s="40"/>
      <c r="D15" s="40"/>
      <c r="E15" s="40">
        <f>B15+C15+D15</f>
        <v>15000</v>
      </c>
      <c r="F15" s="40"/>
      <c r="G15" s="40"/>
      <c r="H15" s="40">
        <f aca="true" t="shared" si="0" ref="H15:H23">E15+F15+G15</f>
        <v>15000</v>
      </c>
      <c r="I15" s="40"/>
      <c r="J15" s="40"/>
      <c r="K15" s="40">
        <f>H15+I15+J15</f>
        <v>15000</v>
      </c>
      <c r="L15" s="40"/>
      <c r="M15" s="40"/>
      <c r="N15" s="40">
        <f aca="true" t="shared" si="1" ref="N15:N24">K15+L15+M15</f>
        <v>15000</v>
      </c>
      <c r="O15" s="40"/>
      <c r="P15" s="40"/>
      <c r="Q15" s="40">
        <f aca="true" t="shared" si="2" ref="Q15:Q24">N15+O15+P15</f>
        <v>15000</v>
      </c>
    </row>
    <row r="16" spans="1:17" ht="12.75">
      <c r="A16" s="8" t="s">
        <v>143</v>
      </c>
      <c r="B16" s="40"/>
      <c r="C16" s="40"/>
      <c r="D16" s="40">
        <v>50000</v>
      </c>
      <c r="E16" s="40">
        <f>B16+C16+D16</f>
        <v>50000</v>
      </c>
      <c r="F16" s="40">
        <v>1000</v>
      </c>
      <c r="G16" s="40"/>
      <c r="H16" s="40">
        <f t="shared" si="0"/>
        <v>51000</v>
      </c>
      <c r="I16" s="40"/>
      <c r="J16" s="40"/>
      <c r="K16" s="40">
        <f>H16+I16+J16</f>
        <v>51000</v>
      </c>
      <c r="L16" s="40"/>
      <c r="M16" s="40"/>
      <c r="N16" s="40">
        <f t="shared" si="1"/>
        <v>51000</v>
      </c>
      <c r="O16" s="40"/>
      <c r="P16" s="40"/>
      <c r="Q16" s="40">
        <f t="shared" si="2"/>
        <v>51000</v>
      </c>
    </row>
    <row r="17" spans="1:17" ht="12.75">
      <c r="A17" s="8" t="s">
        <v>241</v>
      </c>
      <c r="B17" s="40"/>
      <c r="C17" s="40"/>
      <c r="D17" s="40"/>
      <c r="E17" s="40"/>
      <c r="F17" s="40">
        <v>5000</v>
      </c>
      <c r="G17" s="40"/>
      <c r="H17" s="40">
        <f t="shared" si="0"/>
        <v>5000</v>
      </c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8" t="s">
        <v>66</v>
      </c>
      <c r="B18" s="40">
        <v>1245</v>
      </c>
      <c r="C18" s="40"/>
      <c r="D18" s="40"/>
      <c r="E18" s="40">
        <f aca="true" t="shared" si="3" ref="E18:E29">B18+C18+D18</f>
        <v>1245</v>
      </c>
      <c r="F18" s="40"/>
      <c r="G18" s="40"/>
      <c r="H18" s="40">
        <f t="shared" si="0"/>
        <v>1245</v>
      </c>
      <c r="I18" s="40"/>
      <c r="J18" s="40"/>
      <c r="K18" s="40">
        <f>H18+I18+J18</f>
        <v>1245</v>
      </c>
      <c r="L18" s="40"/>
      <c r="M18" s="40"/>
      <c r="N18" s="40">
        <f t="shared" si="1"/>
        <v>1245</v>
      </c>
      <c r="O18" s="40"/>
      <c r="P18" s="40"/>
      <c r="Q18" s="40">
        <f t="shared" si="2"/>
        <v>1245</v>
      </c>
    </row>
    <row r="19" spans="1:17" ht="12.75">
      <c r="A19" s="8" t="s">
        <v>57</v>
      </c>
      <c r="B19" s="40">
        <v>45000</v>
      </c>
      <c r="C19" s="40"/>
      <c r="D19" s="40"/>
      <c r="E19" s="40">
        <f t="shared" si="3"/>
        <v>45000</v>
      </c>
      <c r="F19" s="40"/>
      <c r="G19" s="40"/>
      <c r="H19" s="40">
        <f t="shared" si="0"/>
        <v>45000</v>
      </c>
      <c r="I19" s="40"/>
      <c r="J19" s="40"/>
      <c r="K19" s="40">
        <f>H19+I19+J19</f>
        <v>45000</v>
      </c>
      <c r="L19" s="40"/>
      <c r="M19" s="40"/>
      <c r="N19" s="40">
        <f t="shared" si="1"/>
        <v>45000</v>
      </c>
      <c r="O19" s="40"/>
      <c r="P19" s="40"/>
      <c r="Q19" s="40">
        <f t="shared" si="2"/>
        <v>45000</v>
      </c>
    </row>
    <row r="20" spans="1:17" ht="12.75">
      <c r="A20" s="8" t="s">
        <v>192</v>
      </c>
      <c r="B20" s="40"/>
      <c r="C20" s="40"/>
      <c r="D20" s="40">
        <v>103</v>
      </c>
      <c r="E20" s="40">
        <f t="shared" si="3"/>
        <v>103</v>
      </c>
      <c r="F20" s="40"/>
      <c r="G20" s="40"/>
      <c r="H20" s="40">
        <f t="shared" si="0"/>
        <v>103</v>
      </c>
      <c r="I20" s="40"/>
      <c r="J20" s="40"/>
      <c r="K20" s="40"/>
      <c r="L20" s="40"/>
      <c r="M20" s="40"/>
      <c r="N20" s="40">
        <f t="shared" si="1"/>
        <v>0</v>
      </c>
      <c r="O20" s="40"/>
      <c r="P20" s="40"/>
      <c r="Q20" s="40">
        <f t="shared" si="2"/>
        <v>0</v>
      </c>
    </row>
    <row r="21" spans="1:17" ht="12.75">
      <c r="A21" s="8" t="s">
        <v>212</v>
      </c>
      <c r="B21" s="40"/>
      <c r="C21" s="40">
        <v>120.5</v>
      </c>
      <c r="D21" s="40"/>
      <c r="E21" s="40">
        <f>B21+C21+D21</f>
        <v>120.5</v>
      </c>
      <c r="F21" s="40"/>
      <c r="G21" s="40"/>
      <c r="H21" s="40">
        <f t="shared" si="0"/>
        <v>120.5</v>
      </c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8" t="s">
        <v>158</v>
      </c>
      <c r="B22" s="40"/>
      <c r="C22" s="40"/>
      <c r="D22" s="40"/>
      <c r="E22" s="40">
        <f>B22+C22+D22</f>
        <v>0</v>
      </c>
      <c r="F22" s="40">
        <v>3821.5</v>
      </c>
      <c r="G22" s="40"/>
      <c r="H22" s="40">
        <f t="shared" si="0"/>
        <v>3821.5</v>
      </c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8" t="s">
        <v>231</v>
      </c>
      <c r="B23" s="40"/>
      <c r="C23" s="40"/>
      <c r="D23" s="40"/>
      <c r="E23" s="40">
        <f>B23+C23+D23</f>
        <v>0</v>
      </c>
      <c r="F23" s="40">
        <v>10.6</v>
      </c>
      <c r="G23" s="40"/>
      <c r="H23" s="40">
        <f t="shared" si="0"/>
        <v>10.6</v>
      </c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 hidden="1">
      <c r="A24" s="8" t="s">
        <v>180</v>
      </c>
      <c r="B24" s="40"/>
      <c r="C24" s="40"/>
      <c r="D24" s="40"/>
      <c r="E24" s="40">
        <f t="shared" si="3"/>
        <v>0</v>
      </c>
      <c r="F24" s="40"/>
      <c r="G24" s="40"/>
      <c r="H24" s="40"/>
      <c r="I24" s="40"/>
      <c r="J24" s="40"/>
      <c r="K24" s="40">
        <f>H24+I24+J24</f>
        <v>0</v>
      </c>
      <c r="L24" s="40"/>
      <c r="M24" s="40"/>
      <c r="N24" s="40">
        <f t="shared" si="1"/>
        <v>0</v>
      </c>
      <c r="O24" s="40"/>
      <c r="P24" s="40"/>
      <c r="Q24" s="40">
        <f t="shared" si="2"/>
        <v>0</v>
      </c>
    </row>
    <row r="25" spans="1:17" ht="12.75">
      <c r="A25" s="8" t="s">
        <v>56</v>
      </c>
      <c r="B25" s="40">
        <f>SUM(B26:B29)</f>
        <v>78280</v>
      </c>
      <c r="C25" s="40">
        <f>SUM(C26:C29)</f>
        <v>0</v>
      </c>
      <c r="D25" s="40">
        <f>SUM(D26:D29)</f>
        <v>1342.9</v>
      </c>
      <c r="E25" s="40">
        <f t="shared" si="3"/>
        <v>79622.9</v>
      </c>
      <c r="F25" s="40">
        <f>SUM(F26:F29)</f>
        <v>-1820</v>
      </c>
      <c r="G25" s="40"/>
      <c r="H25" s="40">
        <f aca="true" t="shared" si="4" ref="H25:H30">E25+F25+G25</f>
        <v>77802.9</v>
      </c>
      <c r="I25" s="40">
        <f>SUM(I26:I29)</f>
        <v>0</v>
      </c>
      <c r="J25" s="40">
        <f>SUM(J26:J29)</f>
        <v>0</v>
      </c>
      <c r="K25" s="40">
        <f aca="true" t="shared" si="5" ref="K25:K30">H25+I25+J25</f>
        <v>77802.9</v>
      </c>
      <c r="L25" s="40">
        <f>SUM(L26:L29)</f>
        <v>0</v>
      </c>
      <c r="M25" s="40">
        <f>SUM(M26:M29)</f>
        <v>0</v>
      </c>
      <c r="N25" s="40">
        <f aca="true" t="shared" si="6" ref="N25:N30">K25+L25+M25</f>
        <v>77802.9</v>
      </c>
      <c r="O25" s="40">
        <f>SUM(O26:O29)</f>
        <v>0</v>
      </c>
      <c r="P25" s="40">
        <f>SUM(P26:P29)</f>
        <v>0</v>
      </c>
      <c r="Q25" s="40">
        <f aca="true" t="shared" si="7" ref="Q25:Q30">N25+O25+P25</f>
        <v>77802.9</v>
      </c>
    </row>
    <row r="26" spans="1:17" ht="12.75">
      <c r="A26" s="8" t="s">
        <v>202</v>
      </c>
      <c r="B26" s="40">
        <v>26718</v>
      </c>
      <c r="C26" s="40"/>
      <c r="D26" s="40">
        <v>642.9</v>
      </c>
      <c r="E26" s="40">
        <f t="shared" si="3"/>
        <v>27360.9</v>
      </c>
      <c r="F26" s="40"/>
      <c r="G26" s="40"/>
      <c r="H26" s="40">
        <f t="shared" si="4"/>
        <v>27360.9</v>
      </c>
      <c r="I26" s="40"/>
      <c r="J26" s="40"/>
      <c r="K26" s="40">
        <f t="shared" si="5"/>
        <v>27360.9</v>
      </c>
      <c r="L26" s="40"/>
      <c r="M26" s="40"/>
      <c r="N26" s="40">
        <f t="shared" si="6"/>
        <v>27360.9</v>
      </c>
      <c r="O26" s="40"/>
      <c r="P26" s="40"/>
      <c r="Q26" s="40">
        <f t="shared" si="7"/>
        <v>27360.9</v>
      </c>
    </row>
    <row r="27" spans="1:17" ht="12.75">
      <c r="A27" s="8" t="s">
        <v>58</v>
      </c>
      <c r="B27" s="40">
        <v>26030</v>
      </c>
      <c r="C27" s="40"/>
      <c r="D27" s="40"/>
      <c r="E27" s="40">
        <f t="shared" si="3"/>
        <v>26030</v>
      </c>
      <c r="F27" s="40">
        <v>-1820</v>
      </c>
      <c r="G27" s="40"/>
      <c r="H27" s="40">
        <f t="shared" si="4"/>
        <v>24210</v>
      </c>
      <c r="I27" s="40"/>
      <c r="J27" s="40"/>
      <c r="K27" s="40">
        <f t="shared" si="5"/>
        <v>24210</v>
      </c>
      <c r="L27" s="40"/>
      <c r="M27" s="40"/>
      <c r="N27" s="40">
        <f t="shared" si="6"/>
        <v>24210</v>
      </c>
      <c r="O27" s="40"/>
      <c r="P27" s="40"/>
      <c r="Q27" s="40">
        <f t="shared" si="7"/>
        <v>24210</v>
      </c>
    </row>
    <row r="28" spans="1:17" ht="12.75">
      <c r="A28" s="8" t="s">
        <v>59</v>
      </c>
      <c r="B28" s="40">
        <v>4175</v>
      </c>
      <c r="C28" s="40"/>
      <c r="D28" s="40">
        <v>700</v>
      </c>
      <c r="E28" s="40">
        <f t="shared" si="3"/>
        <v>4875</v>
      </c>
      <c r="F28" s="40"/>
      <c r="G28" s="40"/>
      <c r="H28" s="40">
        <f t="shared" si="4"/>
        <v>4875</v>
      </c>
      <c r="I28" s="40"/>
      <c r="J28" s="40"/>
      <c r="K28" s="40">
        <f t="shared" si="5"/>
        <v>4875</v>
      </c>
      <c r="L28" s="40"/>
      <c r="M28" s="40"/>
      <c r="N28" s="40">
        <f t="shared" si="6"/>
        <v>4875</v>
      </c>
      <c r="O28" s="40"/>
      <c r="P28" s="40"/>
      <c r="Q28" s="40">
        <f t="shared" si="7"/>
        <v>4875</v>
      </c>
    </row>
    <row r="29" spans="1:17" ht="12.75">
      <c r="A29" s="8" t="s">
        <v>60</v>
      </c>
      <c r="B29" s="40">
        <v>21357</v>
      </c>
      <c r="C29" s="40"/>
      <c r="D29" s="40"/>
      <c r="E29" s="40">
        <f t="shared" si="3"/>
        <v>21357</v>
      </c>
      <c r="F29" s="40"/>
      <c r="G29" s="40"/>
      <c r="H29" s="40">
        <f t="shared" si="4"/>
        <v>21357</v>
      </c>
      <c r="I29" s="40"/>
      <c r="J29" s="40"/>
      <c r="K29" s="40">
        <f t="shared" si="5"/>
        <v>21357</v>
      </c>
      <c r="L29" s="40"/>
      <c r="M29" s="40"/>
      <c r="N29" s="40">
        <f t="shared" si="6"/>
        <v>21357</v>
      </c>
      <c r="O29" s="40"/>
      <c r="P29" s="40"/>
      <c r="Q29" s="40">
        <f t="shared" si="7"/>
        <v>21357</v>
      </c>
    </row>
    <row r="30" spans="1:17" ht="13.5" customHeight="1">
      <c r="A30" s="12" t="s">
        <v>80</v>
      </c>
      <c r="B30" s="41">
        <f>B32+B35</f>
        <v>0</v>
      </c>
      <c r="C30" s="41">
        <f>C32+C35</f>
        <v>0</v>
      </c>
      <c r="D30" s="41">
        <f>D32+D35</f>
        <v>0</v>
      </c>
      <c r="E30" s="39">
        <f>B30+C30+D30</f>
        <v>0</v>
      </c>
      <c r="F30" s="41">
        <f>SUM(F32:F35)</f>
        <v>5014.4</v>
      </c>
      <c r="G30" s="41">
        <f>G32+G35</f>
        <v>0</v>
      </c>
      <c r="H30" s="39">
        <f t="shared" si="4"/>
        <v>5014.4</v>
      </c>
      <c r="I30" s="41">
        <f>SUM(I32:I35)</f>
        <v>0</v>
      </c>
      <c r="J30" s="41">
        <f>J32+J35</f>
        <v>0</v>
      </c>
      <c r="K30" s="39">
        <f t="shared" si="5"/>
        <v>5014.4</v>
      </c>
      <c r="L30" s="41">
        <f>SUM(L32:L35)</f>
        <v>0</v>
      </c>
      <c r="M30" s="41">
        <f>M32+M35</f>
        <v>0</v>
      </c>
      <c r="N30" s="39">
        <f t="shared" si="6"/>
        <v>5014.4</v>
      </c>
      <c r="O30" s="41">
        <f>SUM(O32:O35)</f>
        <v>0</v>
      </c>
      <c r="P30" s="41">
        <f>P32+P35</f>
        <v>0</v>
      </c>
      <c r="Q30" s="39">
        <f t="shared" si="7"/>
        <v>5014.4</v>
      </c>
    </row>
    <row r="31" spans="1:17" ht="9.75" customHeight="1">
      <c r="A31" s="10" t="s">
        <v>61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2.75">
      <c r="A32" s="8" t="s">
        <v>81</v>
      </c>
      <c r="B32" s="40"/>
      <c r="C32" s="40"/>
      <c r="D32" s="40"/>
      <c r="E32" s="40">
        <f>B32+C32+D32</f>
        <v>0</v>
      </c>
      <c r="F32" s="40">
        <v>5014.4</v>
      </c>
      <c r="G32" s="40"/>
      <c r="H32" s="40">
        <f>E32+F32+G32</f>
        <v>5014.4</v>
      </c>
      <c r="I32" s="40"/>
      <c r="J32" s="40"/>
      <c r="K32" s="40">
        <f>H32+I32+J32</f>
        <v>5014.4</v>
      </c>
      <c r="L32" s="40"/>
      <c r="M32" s="40"/>
      <c r="N32" s="40">
        <f>K32+L32+M32</f>
        <v>5014.4</v>
      </c>
      <c r="O32" s="40"/>
      <c r="P32" s="40"/>
      <c r="Q32" s="40">
        <f>N32+O32+P32</f>
        <v>5014.4</v>
      </c>
    </row>
    <row r="33" spans="1:17" ht="12.75" hidden="1">
      <c r="A33" s="8" t="s">
        <v>159</v>
      </c>
      <c r="B33" s="40"/>
      <c r="C33" s="40"/>
      <c r="D33" s="40"/>
      <c r="E33" s="40"/>
      <c r="F33" s="40"/>
      <c r="G33" s="40"/>
      <c r="H33" s="40">
        <f>E33+F33+G33</f>
        <v>0</v>
      </c>
      <c r="I33" s="70"/>
      <c r="J33" s="40"/>
      <c r="K33" s="40">
        <f>H33+I33+J33</f>
        <v>0</v>
      </c>
      <c r="L33" s="70"/>
      <c r="M33" s="40"/>
      <c r="N33" s="40">
        <f>K33+L33+M33</f>
        <v>0</v>
      </c>
      <c r="O33" s="70"/>
      <c r="P33" s="40"/>
      <c r="Q33" s="40">
        <f>N33+O33+P33</f>
        <v>0</v>
      </c>
    </row>
    <row r="34" spans="1:17" ht="12.75" hidden="1">
      <c r="A34" s="8" t="s">
        <v>197</v>
      </c>
      <c r="B34" s="40"/>
      <c r="C34" s="40"/>
      <c r="D34" s="40"/>
      <c r="E34" s="40"/>
      <c r="F34" s="40"/>
      <c r="G34" s="40"/>
      <c r="H34" s="40"/>
      <c r="I34" s="70"/>
      <c r="J34" s="40"/>
      <c r="K34" s="40"/>
      <c r="L34" s="70"/>
      <c r="M34" s="40"/>
      <c r="N34" s="40"/>
      <c r="O34" s="70"/>
      <c r="P34" s="40"/>
      <c r="Q34" s="40">
        <f>N34+O34+P34</f>
        <v>0</v>
      </c>
    </row>
    <row r="35" spans="1:17" ht="12.75" hidden="1">
      <c r="A35" s="8" t="s">
        <v>101</v>
      </c>
      <c r="B35" s="40"/>
      <c r="C35" s="40"/>
      <c r="D35" s="40"/>
      <c r="E35" s="40">
        <f>B35+C35+D35</f>
        <v>0</v>
      </c>
      <c r="F35" s="40"/>
      <c r="G35" s="40"/>
      <c r="H35" s="40">
        <f>E35+F35+G35</f>
        <v>0</v>
      </c>
      <c r="I35" s="40"/>
      <c r="J35" s="40"/>
      <c r="K35" s="40">
        <f>H35+I35+J35</f>
        <v>0</v>
      </c>
      <c r="L35" s="40"/>
      <c r="M35" s="40"/>
      <c r="N35" s="40">
        <f>K35+L35+M35</f>
        <v>0</v>
      </c>
      <c r="O35" s="40"/>
      <c r="P35" s="40"/>
      <c r="Q35" s="40">
        <f>N35+O35+P35</f>
        <v>0</v>
      </c>
    </row>
    <row r="36" spans="1:17" ht="12.75">
      <c r="A36" s="2" t="s">
        <v>121</v>
      </c>
      <c r="B36" s="39">
        <f>SUM(B38:B52)</f>
        <v>78247</v>
      </c>
      <c r="C36" s="39">
        <f>SUM(C38:C52)</f>
        <v>1073687.8000000005</v>
      </c>
      <c r="D36" s="39">
        <f>SUM(D38:D52)</f>
        <v>0</v>
      </c>
      <c r="E36" s="39">
        <f>B36+C36+D36</f>
        <v>1151934.8000000005</v>
      </c>
      <c r="F36" s="39">
        <f>SUM(F38:F52)</f>
        <v>1096357.7000000002</v>
      </c>
      <c r="G36" s="39">
        <f>SUM(G38:G52)</f>
        <v>0</v>
      </c>
      <c r="H36" s="39">
        <f>E36+F36+G36</f>
        <v>2248292.500000001</v>
      </c>
      <c r="I36" s="39">
        <f>SUM(I38:I52)</f>
        <v>0</v>
      </c>
      <c r="J36" s="39">
        <f>SUM(J38:J52)</f>
        <v>0</v>
      </c>
      <c r="K36" s="39">
        <f>H36+I36+J36</f>
        <v>2248292.500000001</v>
      </c>
      <c r="L36" s="39">
        <f>SUM(L38:L52)</f>
        <v>0</v>
      </c>
      <c r="M36" s="39">
        <f>SUM(M38:M52)</f>
        <v>0</v>
      </c>
      <c r="N36" s="39">
        <f>K36+L36+M36</f>
        <v>2248292.500000001</v>
      </c>
      <c r="O36" s="39">
        <f>SUM(O38:O52)</f>
        <v>0</v>
      </c>
      <c r="P36" s="39">
        <f>SUM(P38:P52)</f>
        <v>0</v>
      </c>
      <c r="Q36" s="39">
        <f>N36+O36+P36</f>
        <v>2248292.500000001</v>
      </c>
    </row>
    <row r="37" spans="1:17" ht="9.75" customHeight="1">
      <c r="A37" s="3" t="s">
        <v>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2.75">
      <c r="A38" s="4" t="s">
        <v>122</v>
      </c>
      <c r="B38" s="42">
        <v>78097</v>
      </c>
      <c r="C38" s="42"/>
      <c r="D38" s="42"/>
      <c r="E38" s="40">
        <f aca="true" t="shared" si="8" ref="E38:E43">B38+C38</f>
        <v>78097</v>
      </c>
      <c r="F38" s="42"/>
      <c r="G38" s="42"/>
      <c r="H38" s="40">
        <f aca="true" t="shared" si="9" ref="H38:H45">E38+F38+G38</f>
        <v>78097</v>
      </c>
      <c r="I38" s="42"/>
      <c r="J38" s="42"/>
      <c r="K38" s="40">
        <f aca="true" t="shared" si="10" ref="K38:K44">H38+I38+J38</f>
        <v>78097</v>
      </c>
      <c r="L38" s="42"/>
      <c r="M38" s="42"/>
      <c r="N38" s="40">
        <f aca="true" t="shared" si="11" ref="N38:N45">K38+L38+M38</f>
        <v>78097</v>
      </c>
      <c r="O38" s="42"/>
      <c r="P38" s="42"/>
      <c r="Q38" s="40">
        <f aca="true" t="shared" si="12" ref="Q38:Q53">N38+O38+P38</f>
        <v>78097</v>
      </c>
    </row>
    <row r="39" spans="1:17" ht="12.75">
      <c r="A39" s="4" t="s">
        <v>24</v>
      </c>
      <c r="B39" s="42"/>
      <c r="C39" s="42">
        <f>568.5+104.1</f>
        <v>672.6</v>
      </c>
      <c r="D39" s="42"/>
      <c r="E39" s="40">
        <f t="shared" si="8"/>
        <v>672.6</v>
      </c>
      <c r="F39" s="42">
        <f>30+196.3</f>
        <v>226.3</v>
      </c>
      <c r="G39" s="42"/>
      <c r="H39" s="40">
        <f t="shared" si="9"/>
        <v>898.9000000000001</v>
      </c>
      <c r="I39" s="42"/>
      <c r="J39" s="42"/>
      <c r="K39" s="40">
        <f t="shared" si="10"/>
        <v>898.9000000000001</v>
      </c>
      <c r="L39" s="42"/>
      <c r="M39" s="42"/>
      <c r="N39" s="40">
        <f t="shared" si="11"/>
        <v>898.9000000000001</v>
      </c>
      <c r="O39" s="42"/>
      <c r="P39" s="42"/>
      <c r="Q39" s="40">
        <f t="shared" si="12"/>
        <v>898.9000000000001</v>
      </c>
    </row>
    <row r="40" spans="1:17" ht="12.75" customHeight="1">
      <c r="A40" s="4" t="s">
        <v>40</v>
      </c>
      <c r="B40" s="42"/>
      <c r="C40" s="42">
        <f>1057865+106.1+1001.3+639+825+57+1371+138.1</f>
        <v>1062002.5000000002</v>
      </c>
      <c r="D40" s="42"/>
      <c r="E40" s="40">
        <f t="shared" si="8"/>
        <v>1062002.5000000002</v>
      </c>
      <c r="F40" s="42">
        <f>1061275+457.9+586.6+128.6+12+2662+2239.3+1766.7+381</f>
        <v>1069509.1</v>
      </c>
      <c r="G40" s="42"/>
      <c r="H40" s="40">
        <f t="shared" si="9"/>
        <v>2131511.6000000006</v>
      </c>
      <c r="I40" s="42"/>
      <c r="J40" s="42"/>
      <c r="K40" s="40">
        <f t="shared" si="10"/>
        <v>2131511.6000000006</v>
      </c>
      <c r="L40" s="42"/>
      <c r="M40" s="42"/>
      <c r="N40" s="40">
        <f t="shared" si="11"/>
        <v>2131511.6000000006</v>
      </c>
      <c r="O40" s="42"/>
      <c r="P40" s="42"/>
      <c r="Q40" s="40">
        <f t="shared" si="12"/>
        <v>2131511.6000000006</v>
      </c>
    </row>
    <row r="41" spans="1:17" ht="12.75">
      <c r="A41" s="4" t="s">
        <v>49</v>
      </c>
      <c r="B41" s="42"/>
      <c r="C41" s="42">
        <f>819.6+85.5</f>
        <v>905.1</v>
      </c>
      <c r="D41" s="42"/>
      <c r="E41" s="40">
        <f t="shared" si="8"/>
        <v>905.1</v>
      </c>
      <c r="F41" s="42">
        <f>669.8+399.1+106.5+156.9</f>
        <v>1332.3000000000002</v>
      </c>
      <c r="G41" s="42"/>
      <c r="H41" s="40">
        <f t="shared" si="9"/>
        <v>2237.4</v>
      </c>
      <c r="I41" s="42"/>
      <c r="J41" s="42"/>
      <c r="K41" s="40">
        <f t="shared" si="10"/>
        <v>2237.4</v>
      </c>
      <c r="L41" s="42"/>
      <c r="M41" s="42"/>
      <c r="N41" s="40">
        <f t="shared" si="11"/>
        <v>2237.4</v>
      </c>
      <c r="O41" s="42"/>
      <c r="P41" s="42"/>
      <c r="Q41" s="40">
        <f t="shared" si="12"/>
        <v>2237.4</v>
      </c>
    </row>
    <row r="42" spans="1:17" ht="12.75">
      <c r="A42" s="4" t="s">
        <v>75</v>
      </c>
      <c r="B42" s="42"/>
      <c r="C42" s="42">
        <f>721.2+1117.9+4016.6+4234.8</f>
        <v>10090.5</v>
      </c>
      <c r="D42" s="42"/>
      <c r="E42" s="40">
        <f t="shared" si="8"/>
        <v>10090.5</v>
      </c>
      <c r="F42" s="42">
        <f>706.9+4592.4+166.6</f>
        <v>5465.9</v>
      </c>
      <c r="G42" s="42"/>
      <c r="H42" s="40">
        <f t="shared" si="9"/>
        <v>15556.4</v>
      </c>
      <c r="I42" s="42"/>
      <c r="J42" s="42"/>
      <c r="K42" s="40">
        <f t="shared" si="10"/>
        <v>15556.4</v>
      </c>
      <c r="L42" s="42"/>
      <c r="M42" s="42"/>
      <c r="N42" s="40">
        <f t="shared" si="11"/>
        <v>15556.4</v>
      </c>
      <c r="O42" s="42"/>
      <c r="P42" s="42"/>
      <c r="Q42" s="40">
        <f t="shared" si="12"/>
        <v>15556.4</v>
      </c>
    </row>
    <row r="43" spans="1:17" ht="12.75">
      <c r="A43" s="4" t="s">
        <v>171</v>
      </c>
      <c r="B43" s="42"/>
      <c r="C43" s="42"/>
      <c r="D43" s="42"/>
      <c r="E43" s="40">
        <f t="shared" si="8"/>
        <v>0</v>
      </c>
      <c r="F43" s="42">
        <f>320+101</f>
        <v>421</v>
      </c>
      <c r="G43" s="42"/>
      <c r="H43" s="40">
        <f t="shared" si="9"/>
        <v>421</v>
      </c>
      <c r="I43" s="42"/>
      <c r="J43" s="42"/>
      <c r="K43" s="40">
        <f t="shared" si="10"/>
        <v>421</v>
      </c>
      <c r="L43" s="42"/>
      <c r="M43" s="42"/>
      <c r="N43" s="40">
        <f t="shared" si="11"/>
        <v>421</v>
      </c>
      <c r="O43" s="42"/>
      <c r="P43" s="42"/>
      <c r="Q43" s="40">
        <f t="shared" si="12"/>
        <v>421</v>
      </c>
    </row>
    <row r="44" spans="1:17" ht="12.75" hidden="1">
      <c r="A44" s="4" t="s">
        <v>177</v>
      </c>
      <c r="B44" s="42"/>
      <c r="C44" s="42"/>
      <c r="D44" s="42"/>
      <c r="E44" s="40"/>
      <c r="F44" s="42"/>
      <c r="G44" s="42"/>
      <c r="H44" s="40"/>
      <c r="I44" s="42"/>
      <c r="J44" s="42"/>
      <c r="K44" s="40">
        <f t="shared" si="10"/>
        <v>0</v>
      </c>
      <c r="L44" s="42"/>
      <c r="M44" s="42"/>
      <c r="N44" s="40">
        <f t="shared" si="11"/>
        <v>0</v>
      </c>
      <c r="O44" s="42"/>
      <c r="P44" s="42"/>
      <c r="Q44" s="40">
        <f t="shared" si="12"/>
        <v>0</v>
      </c>
    </row>
    <row r="45" spans="1:17" ht="12.75">
      <c r="A45" s="4" t="s">
        <v>230</v>
      </c>
      <c r="B45" s="42"/>
      <c r="C45" s="42"/>
      <c r="D45" s="42"/>
      <c r="E45" s="40"/>
      <c r="F45" s="42">
        <v>8081</v>
      </c>
      <c r="G45" s="42"/>
      <c r="H45" s="40">
        <f t="shared" si="9"/>
        <v>8081</v>
      </c>
      <c r="I45" s="42"/>
      <c r="J45" s="42"/>
      <c r="K45" s="40"/>
      <c r="L45" s="42"/>
      <c r="M45" s="42"/>
      <c r="N45" s="40">
        <f t="shared" si="11"/>
        <v>0</v>
      </c>
      <c r="O45" s="42"/>
      <c r="P45" s="42"/>
      <c r="Q45" s="40">
        <f t="shared" si="12"/>
        <v>0</v>
      </c>
    </row>
    <row r="46" spans="1:17" ht="12.75">
      <c r="A46" s="4" t="s">
        <v>195</v>
      </c>
      <c r="B46" s="42"/>
      <c r="C46" s="42"/>
      <c r="D46" s="42"/>
      <c r="E46" s="40"/>
      <c r="F46" s="42">
        <f>476.3+2965.5</f>
        <v>3441.8</v>
      </c>
      <c r="G46" s="42"/>
      <c r="H46" s="40">
        <f>E46+F46+G46</f>
        <v>3441.8</v>
      </c>
      <c r="I46" s="42"/>
      <c r="J46" s="42"/>
      <c r="K46" s="40"/>
      <c r="L46" s="42"/>
      <c r="M46" s="42"/>
      <c r="N46" s="40"/>
      <c r="O46" s="42"/>
      <c r="P46" s="42"/>
      <c r="Q46" s="40">
        <f t="shared" si="12"/>
        <v>0</v>
      </c>
    </row>
    <row r="47" spans="1:17" ht="12.75" hidden="1">
      <c r="A47" s="4" t="s">
        <v>178</v>
      </c>
      <c r="B47" s="42"/>
      <c r="C47" s="42"/>
      <c r="D47" s="42"/>
      <c r="E47" s="40"/>
      <c r="F47" s="42"/>
      <c r="G47" s="42"/>
      <c r="H47" s="40"/>
      <c r="I47" s="42"/>
      <c r="J47" s="42"/>
      <c r="K47" s="40">
        <f>H47+I47+J47</f>
        <v>0</v>
      </c>
      <c r="L47" s="42"/>
      <c r="M47" s="42"/>
      <c r="N47" s="40">
        <f>K47+L47+M47</f>
        <v>0</v>
      </c>
      <c r="O47" s="42"/>
      <c r="P47" s="42"/>
      <c r="Q47" s="40">
        <f t="shared" si="12"/>
        <v>0</v>
      </c>
    </row>
    <row r="48" spans="1:17" ht="12.75">
      <c r="A48" s="4" t="s">
        <v>155</v>
      </c>
      <c r="B48" s="42"/>
      <c r="C48" s="42">
        <v>1.1</v>
      </c>
      <c r="D48" s="42"/>
      <c r="E48" s="40">
        <f>B48+C48</f>
        <v>1.1</v>
      </c>
      <c r="F48" s="42">
        <v>2.5</v>
      </c>
      <c r="G48" s="42"/>
      <c r="H48" s="40">
        <f>E48+F48+G48</f>
        <v>3.6</v>
      </c>
      <c r="I48" s="42"/>
      <c r="J48" s="42"/>
      <c r="K48" s="40">
        <f>H48+I48+J48</f>
        <v>3.6</v>
      </c>
      <c r="L48" s="42"/>
      <c r="M48" s="42"/>
      <c r="N48" s="40">
        <f>K48+L48+M48</f>
        <v>3.6</v>
      </c>
      <c r="O48" s="42"/>
      <c r="P48" s="42"/>
      <c r="Q48" s="40">
        <f t="shared" si="12"/>
        <v>3.6</v>
      </c>
    </row>
    <row r="49" spans="1:17" ht="12.75" hidden="1">
      <c r="A49" s="4" t="s">
        <v>196</v>
      </c>
      <c r="B49" s="42"/>
      <c r="C49" s="42"/>
      <c r="D49" s="42"/>
      <c r="E49" s="40"/>
      <c r="F49" s="42"/>
      <c r="G49" s="42"/>
      <c r="H49" s="40">
        <f>E49+F49+G49</f>
        <v>0</v>
      </c>
      <c r="I49" s="42"/>
      <c r="J49" s="42"/>
      <c r="K49" s="40"/>
      <c r="L49" s="42"/>
      <c r="M49" s="42"/>
      <c r="N49" s="40"/>
      <c r="O49" s="42"/>
      <c r="P49" s="42"/>
      <c r="Q49" s="40">
        <f t="shared" si="12"/>
        <v>0</v>
      </c>
    </row>
    <row r="50" spans="1:17" ht="12.75">
      <c r="A50" s="4" t="s">
        <v>25</v>
      </c>
      <c r="B50" s="42"/>
      <c r="C50" s="42">
        <v>16</v>
      </c>
      <c r="D50" s="42"/>
      <c r="E50" s="40">
        <f>B50+C50</f>
        <v>16</v>
      </c>
      <c r="F50" s="42"/>
      <c r="G50" s="42"/>
      <c r="H50" s="40">
        <f>E50+F50+G50</f>
        <v>16</v>
      </c>
      <c r="I50" s="42"/>
      <c r="J50" s="42"/>
      <c r="K50" s="40">
        <f>H50+I50+J50</f>
        <v>16</v>
      </c>
      <c r="L50" s="42"/>
      <c r="M50" s="42"/>
      <c r="N50" s="40">
        <f>K50+L50+M50</f>
        <v>16</v>
      </c>
      <c r="O50" s="42"/>
      <c r="P50" s="42"/>
      <c r="Q50" s="40">
        <f t="shared" si="12"/>
        <v>16</v>
      </c>
    </row>
    <row r="51" spans="1:17" ht="12.75">
      <c r="A51" s="4" t="s">
        <v>95</v>
      </c>
      <c r="B51" s="42"/>
      <c r="C51" s="42"/>
      <c r="D51" s="42"/>
      <c r="E51" s="40">
        <f>B51+C51</f>
        <v>0</v>
      </c>
      <c r="F51" s="42">
        <v>7877.8</v>
      </c>
      <c r="G51" s="42"/>
      <c r="H51" s="40">
        <f>E51+F51+G51</f>
        <v>7877.8</v>
      </c>
      <c r="I51" s="42"/>
      <c r="J51" s="42"/>
      <c r="K51" s="40">
        <f>H51+I51+J51</f>
        <v>7877.8</v>
      </c>
      <c r="L51" s="42"/>
      <c r="M51" s="42"/>
      <c r="N51" s="40">
        <f>K51+L51+M51</f>
        <v>7877.8</v>
      </c>
      <c r="O51" s="42"/>
      <c r="P51" s="42"/>
      <c r="Q51" s="40">
        <f t="shared" si="12"/>
        <v>7877.8</v>
      </c>
    </row>
    <row r="52" spans="1:17" ht="12.75">
      <c r="A52" s="4" t="s">
        <v>26</v>
      </c>
      <c r="B52" s="42">
        <v>150</v>
      </c>
      <c r="C52" s="42"/>
      <c r="D52" s="42"/>
      <c r="E52" s="40">
        <f>B52+C52+D52</f>
        <v>150</v>
      </c>
      <c r="F52" s="42"/>
      <c r="G52" s="42"/>
      <c r="H52" s="40">
        <f>E52+F52+G52</f>
        <v>150</v>
      </c>
      <c r="I52" s="42"/>
      <c r="J52" s="42"/>
      <c r="K52" s="40">
        <f>H52+I52+J52</f>
        <v>150</v>
      </c>
      <c r="L52" s="42"/>
      <c r="M52" s="42"/>
      <c r="N52" s="40">
        <f>K52+L52+M52</f>
        <v>150</v>
      </c>
      <c r="O52" s="42"/>
      <c r="P52" s="42"/>
      <c r="Q52" s="40">
        <f t="shared" si="12"/>
        <v>150</v>
      </c>
    </row>
    <row r="53" spans="1:17" ht="12.75" hidden="1">
      <c r="A53" s="12" t="s">
        <v>156</v>
      </c>
      <c r="B53" s="42"/>
      <c r="C53" s="42"/>
      <c r="D53" s="42"/>
      <c r="E53" s="41">
        <f aca="true" t="shared" si="13" ref="E53:J53">E55</f>
        <v>0</v>
      </c>
      <c r="F53" s="41">
        <f t="shared" si="13"/>
        <v>0</v>
      </c>
      <c r="G53" s="41">
        <f t="shared" si="13"/>
        <v>0</v>
      </c>
      <c r="H53" s="41">
        <f t="shared" si="13"/>
        <v>0</v>
      </c>
      <c r="I53" s="41">
        <f t="shared" si="13"/>
        <v>0</v>
      </c>
      <c r="J53" s="41">
        <f t="shared" si="13"/>
        <v>0</v>
      </c>
      <c r="K53" s="41">
        <f>K55+K57</f>
        <v>0</v>
      </c>
      <c r="L53" s="41">
        <f>L55+L57</f>
        <v>0</v>
      </c>
      <c r="M53" s="41">
        <f>M55</f>
        <v>0</v>
      </c>
      <c r="N53" s="39">
        <f>K53+L53+M53</f>
        <v>0</v>
      </c>
      <c r="O53" s="41">
        <f>SUM(O55:O57)</f>
        <v>0</v>
      </c>
      <c r="P53" s="41">
        <f>P55</f>
        <v>0</v>
      </c>
      <c r="Q53" s="39">
        <f t="shared" si="12"/>
        <v>0</v>
      </c>
    </row>
    <row r="54" spans="1:17" ht="12.75" hidden="1">
      <c r="A54" s="10" t="s">
        <v>1</v>
      </c>
      <c r="B54" s="42"/>
      <c r="C54" s="42"/>
      <c r="D54" s="42"/>
      <c r="E54" s="40"/>
      <c r="F54" s="42"/>
      <c r="G54" s="42"/>
      <c r="H54" s="40"/>
      <c r="I54" s="42"/>
      <c r="J54" s="42"/>
      <c r="K54" s="40"/>
      <c r="L54" s="42"/>
      <c r="M54" s="42"/>
      <c r="N54" s="40"/>
      <c r="O54" s="42"/>
      <c r="P54" s="42"/>
      <c r="Q54" s="40"/>
    </row>
    <row r="55" spans="1:17" ht="12.75" hidden="1">
      <c r="A55" s="4" t="s">
        <v>168</v>
      </c>
      <c r="B55" s="42"/>
      <c r="C55" s="42"/>
      <c r="D55" s="42"/>
      <c r="E55" s="40"/>
      <c r="F55" s="42"/>
      <c r="G55" s="42"/>
      <c r="H55" s="40">
        <f>E55+F55+G55</f>
        <v>0</v>
      </c>
      <c r="I55" s="42"/>
      <c r="J55" s="42"/>
      <c r="K55" s="40">
        <f>H55+I55+J55</f>
        <v>0</v>
      </c>
      <c r="L55" s="42"/>
      <c r="M55" s="42"/>
      <c r="N55" s="40">
        <f>K55+L55+M55</f>
        <v>0</v>
      </c>
      <c r="O55" s="42"/>
      <c r="P55" s="42"/>
      <c r="Q55" s="40">
        <f>N55+O55+P55</f>
        <v>0</v>
      </c>
    </row>
    <row r="56" spans="1:17" ht="12.75" hidden="1">
      <c r="A56" s="4" t="s">
        <v>179</v>
      </c>
      <c r="B56" s="42"/>
      <c r="C56" s="42"/>
      <c r="D56" s="42"/>
      <c r="E56" s="40"/>
      <c r="F56" s="42"/>
      <c r="G56" s="42"/>
      <c r="H56" s="40"/>
      <c r="I56" s="42"/>
      <c r="J56" s="42"/>
      <c r="K56" s="40"/>
      <c r="L56" s="42"/>
      <c r="M56" s="42"/>
      <c r="N56" s="40"/>
      <c r="O56" s="42"/>
      <c r="P56" s="42"/>
      <c r="Q56" s="40">
        <f>N56+O56+P56</f>
        <v>0</v>
      </c>
    </row>
    <row r="57" spans="1:17" ht="12.75" hidden="1">
      <c r="A57" s="36" t="s">
        <v>189</v>
      </c>
      <c r="B57" s="46"/>
      <c r="C57" s="46"/>
      <c r="D57" s="46"/>
      <c r="E57" s="48"/>
      <c r="F57" s="46"/>
      <c r="G57" s="46"/>
      <c r="H57" s="48"/>
      <c r="I57" s="46"/>
      <c r="J57" s="46"/>
      <c r="K57" s="48"/>
      <c r="L57" s="46"/>
      <c r="M57" s="46"/>
      <c r="N57" s="48">
        <f>K57+L57+M57</f>
        <v>0</v>
      </c>
      <c r="O57" s="46"/>
      <c r="P57" s="46"/>
      <c r="Q57" s="48">
        <f>N57+O57+P57</f>
        <v>0</v>
      </c>
    </row>
    <row r="58" spans="1:17" ht="12.75">
      <c r="A58" s="2" t="s">
        <v>123</v>
      </c>
      <c r="B58" s="39">
        <f>SUM(B60:B67)</f>
        <v>0</v>
      </c>
      <c r="C58" s="39">
        <f>SUM(C60:C67)</f>
        <v>21020.6</v>
      </c>
      <c r="D58" s="39"/>
      <c r="E58" s="39">
        <f>B58+C58</f>
        <v>21020.6</v>
      </c>
      <c r="F58" s="39">
        <f>SUM(F60:F67)</f>
        <v>9556.5</v>
      </c>
      <c r="G58" s="39"/>
      <c r="H58" s="39">
        <f>E58+F58+G58</f>
        <v>30577.1</v>
      </c>
      <c r="I58" s="39">
        <f>SUM(I60:I67)</f>
        <v>0</v>
      </c>
      <c r="J58" s="39"/>
      <c r="K58" s="39">
        <f>H58+I58+J58</f>
        <v>30577.1</v>
      </c>
      <c r="L58" s="39">
        <f>SUM(L60:L67)</f>
        <v>0</v>
      </c>
      <c r="M58" s="39">
        <f>SUM(M60:M67)</f>
        <v>0</v>
      </c>
      <c r="N58" s="39">
        <f>K58+L58+M58</f>
        <v>30577.1</v>
      </c>
      <c r="O58" s="39">
        <f>SUM(O60:O67)</f>
        <v>0</v>
      </c>
      <c r="P58" s="39">
        <f>SUM(P60:P67)</f>
        <v>0</v>
      </c>
      <c r="Q58" s="39">
        <f>N58+O58+P58</f>
        <v>30577.1</v>
      </c>
    </row>
    <row r="59" spans="1:17" ht="9.75" customHeight="1">
      <c r="A59" s="3" t="s">
        <v>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3.5" customHeight="1" hidden="1">
      <c r="A60" s="4" t="s">
        <v>40</v>
      </c>
      <c r="B60" s="42"/>
      <c r="C60" s="42"/>
      <c r="D60" s="42"/>
      <c r="E60" s="40">
        <f>B60+C60</f>
        <v>0</v>
      </c>
      <c r="F60" s="42"/>
      <c r="G60" s="42"/>
      <c r="H60" s="40">
        <f>E60+F60</f>
        <v>0</v>
      </c>
      <c r="I60" s="42"/>
      <c r="J60" s="42"/>
      <c r="K60" s="40">
        <f>H60+I60</f>
        <v>0</v>
      </c>
      <c r="L60" s="42"/>
      <c r="M60" s="42"/>
      <c r="N60" s="40">
        <f>K60+L60</f>
        <v>0</v>
      </c>
      <c r="O60" s="42"/>
      <c r="P60" s="42"/>
      <c r="Q60" s="40">
        <f>N60+O60</f>
        <v>0</v>
      </c>
    </row>
    <row r="61" spans="1:17" ht="12.75" hidden="1">
      <c r="A61" s="5" t="s">
        <v>79</v>
      </c>
      <c r="B61" s="42"/>
      <c r="C61" s="42"/>
      <c r="D61" s="42"/>
      <c r="E61" s="40">
        <f>B61+C61</f>
        <v>0</v>
      </c>
      <c r="F61" s="42"/>
      <c r="G61" s="42"/>
      <c r="H61" s="40">
        <f>E61+F61</f>
        <v>0</v>
      </c>
      <c r="I61" s="42"/>
      <c r="J61" s="42"/>
      <c r="K61" s="40">
        <f>H61+I61</f>
        <v>0</v>
      </c>
      <c r="L61" s="42"/>
      <c r="M61" s="42"/>
      <c r="N61" s="40">
        <f>K61+L61</f>
        <v>0</v>
      </c>
      <c r="O61" s="42"/>
      <c r="P61" s="42"/>
      <c r="Q61" s="40">
        <f>N61+O61</f>
        <v>0</v>
      </c>
    </row>
    <row r="62" spans="1:17" ht="12.75" hidden="1">
      <c r="A62" s="5" t="s">
        <v>24</v>
      </c>
      <c r="B62" s="42"/>
      <c r="C62" s="42"/>
      <c r="D62" s="42"/>
      <c r="E62" s="40"/>
      <c r="F62" s="42"/>
      <c r="G62" s="42"/>
      <c r="H62" s="40"/>
      <c r="I62" s="42"/>
      <c r="J62" s="42"/>
      <c r="K62" s="40"/>
      <c r="L62" s="42"/>
      <c r="M62" s="42"/>
      <c r="N62" s="40"/>
      <c r="O62" s="42"/>
      <c r="P62" s="42"/>
      <c r="Q62" s="40">
        <f>N62+O62</f>
        <v>0</v>
      </c>
    </row>
    <row r="63" spans="1:17" ht="12.75" hidden="1">
      <c r="A63" s="5" t="s">
        <v>79</v>
      </c>
      <c r="B63" s="42"/>
      <c r="C63" s="42"/>
      <c r="D63" s="42"/>
      <c r="E63" s="40"/>
      <c r="F63" s="42"/>
      <c r="G63" s="42"/>
      <c r="H63" s="40"/>
      <c r="I63" s="42"/>
      <c r="J63" s="42"/>
      <c r="K63" s="40"/>
      <c r="L63" s="42"/>
      <c r="M63" s="42"/>
      <c r="N63" s="40"/>
      <c r="O63" s="42"/>
      <c r="P63" s="42"/>
      <c r="Q63" s="40">
        <f>N63+O63</f>
        <v>0</v>
      </c>
    </row>
    <row r="64" spans="1:17" ht="12.75">
      <c r="A64" s="4" t="s">
        <v>75</v>
      </c>
      <c r="B64" s="42"/>
      <c r="C64" s="42"/>
      <c r="D64" s="42"/>
      <c r="E64" s="40">
        <f>B64+C64</f>
        <v>0</v>
      </c>
      <c r="F64" s="42">
        <f>439.8</f>
        <v>439.8</v>
      </c>
      <c r="G64" s="42"/>
      <c r="H64" s="40">
        <f>E64+F64+G64</f>
        <v>439.8</v>
      </c>
      <c r="I64" s="42"/>
      <c r="J64" s="42"/>
      <c r="K64" s="40">
        <f>H64+I64+J64</f>
        <v>439.8</v>
      </c>
      <c r="L64" s="42"/>
      <c r="M64" s="42"/>
      <c r="N64" s="40">
        <f>K64+L64+M64</f>
        <v>439.8</v>
      </c>
      <c r="O64" s="42"/>
      <c r="P64" s="42"/>
      <c r="Q64" s="40">
        <f>N64+O64+P64</f>
        <v>439.8</v>
      </c>
    </row>
    <row r="65" spans="1:17" ht="12.75">
      <c r="A65" s="4" t="s">
        <v>102</v>
      </c>
      <c r="B65" s="42"/>
      <c r="C65" s="42"/>
      <c r="D65" s="42"/>
      <c r="E65" s="40">
        <f>B65+C65</f>
        <v>0</v>
      </c>
      <c r="F65" s="42">
        <v>130</v>
      </c>
      <c r="G65" s="42"/>
      <c r="H65" s="40">
        <f>E65+F65</f>
        <v>130</v>
      </c>
      <c r="I65" s="42"/>
      <c r="J65" s="42"/>
      <c r="K65" s="40">
        <f>H65+I65</f>
        <v>130</v>
      </c>
      <c r="L65" s="42"/>
      <c r="M65" s="42"/>
      <c r="N65" s="40">
        <f>K65+L65</f>
        <v>130</v>
      </c>
      <c r="O65" s="42"/>
      <c r="P65" s="42"/>
      <c r="Q65" s="40">
        <f>N65+O65</f>
        <v>130</v>
      </c>
    </row>
    <row r="66" spans="1:17" ht="12.75">
      <c r="A66" s="4" t="s">
        <v>195</v>
      </c>
      <c r="B66" s="42"/>
      <c r="C66" s="42"/>
      <c r="D66" s="42"/>
      <c r="E66" s="40"/>
      <c r="F66" s="42">
        <v>8049.2</v>
      </c>
      <c r="G66" s="42"/>
      <c r="H66" s="40">
        <f>E66+F66+G66</f>
        <v>8049.2</v>
      </c>
      <c r="I66" s="42"/>
      <c r="J66" s="42"/>
      <c r="K66" s="40"/>
      <c r="L66" s="42"/>
      <c r="M66" s="42"/>
      <c r="N66" s="40"/>
      <c r="O66" s="42"/>
      <c r="P66" s="42"/>
      <c r="Q66" s="40"/>
    </row>
    <row r="67" spans="1:17" ht="12.75">
      <c r="A67" s="4" t="s">
        <v>213</v>
      </c>
      <c r="B67" s="42"/>
      <c r="C67" s="42">
        <f>18264.6+2756</f>
        <v>21020.6</v>
      </c>
      <c r="D67" s="42"/>
      <c r="E67" s="40">
        <f>B67+C67</f>
        <v>21020.6</v>
      </c>
      <c r="F67" s="42">
        <v>937.5</v>
      </c>
      <c r="G67" s="42"/>
      <c r="H67" s="40">
        <f>E67+F67</f>
        <v>21958.1</v>
      </c>
      <c r="I67" s="42"/>
      <c r="J67" s="42"/>
      <c r="K67" s="40">
        <f>H67+I67</f>
        <v>21958.1</v>
      </c>
      <c r="L67" s="42"/>
      <c r="M67" s="42"/>
      <c r="N67" s="40">
        <f>K67+L67</f>
        <v>21958.1</v>
      </c>
      <c r="O67" s="42"/>
      <c r="P67" s="42"/>
      <c r="Q67" s="40">
        <f>N67+O67</f>
        <v>21958.1</v>
      </c>
    </row>
    <row r="68" spans="1:17" ht="12.75" hidden="1">
      <c r="A68" s="12" t="s">
        <v>157</v>
      </c>
      <c r="B68" s="42"/>
      <c r="C68" s="42"/>
      <c r="D68" s="42"/>
      <c r="E68" s="41">
        <f>E70</f>
        <v>0</v>
      </c>
      <c r="F68" s="41">
        <f>F70</f>
        <v>0</v>
      </c>
      <c r="G68" s="41">
        <f>G70</f>
        <v>0</v>
      </c>
      <c r="H68" s="41">
        <f>H70+H72</f>
        <v>0</v>
      </c>
      <c r="I68" s="41">
        <f>I70+I72</f>
        <v>0</v>
      </c>
      <c r="J68" s="41">
        <f>J70</f>
        <v>0</v>
      </c>
      <c r="K68" s="41">
        <f>K70+K72</f>
        <v>0</v>
      </c>
      <c r="L68" s="41">
        <f>L70+L72</f>
        <v>0</v>
      </c>
      <c r="M68" s="41">
        <f>M70</f>
        <v>0</v>
      </c>
      <c r="N68" s="41">
        <f>SUM(N70:N72)</f>
        <v>0</v>
      </c>
      <c r="O68" s="41">
        <f>SUM(O70:O72)</f>
        <v>0</v>
      </c>
      <c r="P68" s="41">
        <f>P70</f>
        <v>0</v>
      </c>
      <c r="Q68" s="41">
        <f>N68+O68</f>
        <v>0</v>
      </c>
    </row>
    <row r="69" spans="1:17" ht="12.75" hidden="1">
      <c r="A69" s="10" t="s">
        <v>1</v>
      </c>
      <c r="B69" s="42"/>
      <c r="C69" s="42"/>
      <c r="D69" s="42"/>
      <c r="E69" s="40"/>
      <c r="F69" s="42"/>
      <c r="G69" s="42"/>
      <c r="H69" s="40"/>
      <c r="I69" s="42"/>
      <c r="J69" s="42"/>
      <c r="K69" s="40"/>
      <c r="L69" s="42"/>
      <c r="M69" s="42"/>
      <c r="N69" s="40"/>
      <c r="O69" s="42"/>
      <c r="P69" s="42"/>
      <c r="Q69" s="40"/>
    </row>
    <row r="70" spans="1:17" ht="12.75" hidden="1">
      <c r="A70" s="4" t="s">
        <v>169</v>
      </c>
      <c r="B70" s="42"/>
      <c r="C70" s="42"/>
      <c r="D70" s="42"/>
      <c r="E70" s="40"/>
      <c r="F70" s="42"/>
      <c r="G70" s="42"/>
      <c r="H70" s="40">
        <f>E70+F70+G70</f>
        <v>0</v>
      </c>
      <c r="I70" s="42"/>
      <c r="J70" s="42"/>
      <c r="K70" s="40">
        <f>H70+I70+J70</f>
        <v>0</v>
      </c>
      <c r="L70" s="42"/>
      <c r="M70" s="42"/>
      <c r="N70" s="40">
        <f>K70+L70+M70</f>
        <v>0</v>
      </c>
      <c r="O70" s="42"/>
      <c r="P70" s="42"/>
      <c r="Q70" s="40">
        <f>N70+O70+P70</f>
        <v>0</v>
      </c>
    </row>
    <row r="71" spans="1:17" ht="12.75" hidden="1">
      <c r="A71" s="4" t="s">
        <v>101</v>
      </c>
      <c r="B71" s="42"/>
      <c r="C71" s="42"/>
      <c r="D71" s="42"/>
      <c r="E71" s="40"/>
      <c r="F71" s="42"/>
      <c r="G71" s="42"/>
      <c r="H71" s="40"/>
      <c r="I71" s="42"/>
      <c r="J71" s="42"/>
      <c r="K71" s="40"/>
      <c r="L71" s="42"/>
      <c r="M71" s="42"/>
      <c r="N71" s="40"/>
      <c r="O71" s="42"/>
      <c r="P71" s="42"/>
      <c r="Q71" s="40">
        <v>9500</v>
      </c>
    </row>
    <row r="72" spans="1:17" ht="12.75" hidden="1">
      <c r="A72" s="4" t="s">
        <v>179</v>
      </c>
      <c r="B72" s="42"/>
      <c r="C72" s="42"/>
      <c r="D72" s="42"/>
      <c r="E72" s="40"/>
      <c r="F72" s="42"/>
      <c r="G72" s="42"/>
      <c r="H72" s="40"/>
      <c r="I72" s="42"/>
      <c r="J72" s="42"/>
      <c r="K72" s="40">
        <f>H72+I72+J72</f>
        <v>0</v>
      </c>
      <c r="L72" s="42"/>
      <c r="M72" s="42"/>
      <c r="N72" s="40">
        <f>K72+L72+M72</f>
        <v>0</v>
      </c>
      <c r="O72" s="42"/>
      <c r="P72" s="42"/>
      <c r="Q72" s="40">
        <f>N72+O72+P72</f>
        <v>0</v>
      </c>
    </row>
    <row r="73" spans="1:17" ht="12.75" hidden="1">
      <c r="A73" s="12" t="s">
        <v>64</v>
      </c>
      <c r="B73" s="41"/>
      <c r="C73" s="41"/>
      <c r="D73" s="41"/>
      <c r="E73" s="41">
        <f>B73+C73+D73</f>
        <v>0</v>
      </c>
      <c r="F73" s="41"/>
      <c r="G73" s="41"/>
      <c r="H73" s="41">
        <f>E73+F73+G73</f>
        <v>0</v>
      </c>
      <c r="I73" s="41"/>
      <c r="J73" s="41"/>
      <c r="K73" s="41">
        <f>H73+I73+J73</f>
        <v>0</v>
      </c>
      <c r="L73" s="41"/>
      <c r="M73" s="41"/>
      <c r="N73" s="41">
        <f>K73+L73+M73</f>
        <v>0</v>
      </c>
      <c r="O73" s="41"/>
      <c r="P73" s="41"/>
      <c r="Q73" s="41">
        <f>N73+O73+P73</f>
        <v>0</v>
      </c>
    </row>
    <row r="74" spans="1:17" ht="21.75" customHeight="1" thickBot="1">
      <c r="A74" s="11" t="s">
        <v>2</v>
      </c>
      <c r="B74" s="43">
        <f>B10+B13+B36+B73+B58+B30</f>
        <v>3082772</v>
      </c>
      <c r="C74" s="43">
        <f>C10+C13+C36+C73+C58+C30</f>
        <v>1104828.9000000006</v>
      </c>
      <c r="D74" s="43">
        <f>D10+D13+D36+D73+D58+D30</f>
        <v>141445.9</v>
      </c>
      <c r="E74" s="43">
        <f>E10+E13+E36+E73+E58+E30+E68+E53</f>
        <v>4329046.8</v>
      </c>
      <c r="F74" s="43">
        <f>F10+F13+F36+F73+F58+F30+F68+F53</f>
        <v>1143303.9000000001</v>
      </c>
      <c r="G74" s="43">
        <f>G10+G13+G36+G73+G58+G30</f>
        <v>0</v>
      </c>
      <c r="H74" s="43">
        <f>H10+H13+H36+H73+H58+H30+H68+H53</f>
        <v>5472350.700000001</v>
      </c>
      <c r="I74" s="43">
        <f>I10+I13+I36+I73+I58+I30+I68+I53</f>
        <v>0</v>
      </c>
      <c r="J74" s="43">
        <f>J10+J13+J36+J73+J58+J30</f>
        <v>0</v>
      </c>
      <c r="K74" s="43">
        <f>K10+K13+K36+K73+K58+K30+K68+K53</f>
        <v>5472350.700000001</v>
      </c>
      <c r="L74" s="43">
        <f>L10+L13+L36+L73+L58+L30+L68+L53</f>
        <v>0</v>
      </c>
      <c r="M74" s="43">
        <f>M10+M13+M36+M73+M58+M30</f>
        <v>0</v>
      </c>
      <c r="N74" s="43">
        <f>N10+N13+N36+N73+N58+N30+N68+N53</f>
        <v>5472350.700000001</v>
      </c>
      <c r="O74" s="43">
        <f>O10+O13+O36+O73+O58+O30+O68+O53</f>
        <v>0</v>
      </c>
      <c r="P74" s="43">
        <f>P10+P13+P36+P73+P58+P30</f>
        <v>0</v>
      </c>
      <c r="Q74" s="43">
        <f>Q10+Q13+Q36+Q73+Q58+Q30+Q68+Q53</f>
        <v>5472350.700000001</v>
      </c>
    </row>
    <row r="75" spans="1:17" ht="24.75" customHeight="1">
      <c r="A75" s="2" t="s">
        <v>5</v>
      </c>
      <c r="B75" s="39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19.5" customHeight="1">
      <c r="A76" s="2" t="s">
        <v>14</v>
      </c>
      <c r="B76" s="39">
        <f>B77+B85</f>
        <v>45200</v>
      </c>
      <c r="C76" s="39">
        <f>C77+C85</f>
        <v>1160</v>
      </c>
      <c r="D76" s="39">
        <f>D77+D85</f>
        <v>3820</v>
      </c>
      <c r="E76" s="39">
        <f>B76+C76+D76</f>
        <v>50180</v>
      </c>
      <c r="F76" s="39">
        <f>F77+F85</f>
        <v>187.29999999999998</v>
      </c>
      <c r="G76" s="39">
        <f>G77+G85</f>
        <v>0</v>
      </c>
      <c r="H76" s="39">
        <f>E76+F76+G76</f>
        <v>50367.3</v>
      </c>
      <c r="I76" s="39">
        <f>I77+I85</f>
        <v>0</v>
      </c>
      <c r="J76" s="39">
        <f>J77+J85</f>
        <v>0</v>
      </c>
      <c r="K76" s="39">
        <f>H76+I76+J76</f>
        <v>50367.3</v>
      </c>
      <c r="L76" s="39">
        <f>L77+L85</f>
        <v>0</v>
      </c>
      <c r="M76" s="39">
        <f>M77+M85</f>
        <v>0</v>
      </c>
      <c r="N76" s="39">
        <f>K76+L76+M76</f>
        <v>50367.3</v>
      </c>
      <c r="O76" s="39">
        <f>O77+O85</f>
        <v>0</v>
      </c>
      <c r="P76" s="39">
        <f>P77+P85</f>
        <v>0</v>
      </c>
      <c r="Q76" s="39">
        <f>N76+O76+P76</f>
        <v>50367.3</v>
      </c>
    </row>
    <row r="77" spans="1:17" ht="15" customHeight="1">
      <c r="A77" s="6" t="s">
        <v>34</v>
      </c>
      <c r="B77" s="44">
        <f aca="true" t="shared" si="14" ref="B77:Q77">SUM(B79:B84)</f>
        <v>45200</v>
      </c>
      <c r="C77" s="44">
        <f t="shared" si="14"/>
        <v>1160</v>
      </c>
      <c r="D77" s="44">
        <f t="shared" si="14"/>
        <v>3820</v>
      </c>
      <c r="E77" s="44">
        <f t="shared" si="14"/>
        <v>50180</v>
      </c>
      <c r="F77" s="44">
        <f t="shared" si="14"/>
        <v>187.29999999999998</v>
      </c>
      <c r="G77" s="44">
        <f t="shared" si="14"/>
        <v>0</v>
      </c>
      <c r="H77" s="44">
        <f t="shared" si="14"/>
        <v>50367.3</v>
      </c>
      <c r="I77" s="44">
        <f t="shared" si="14"/>
        <v>0</v>
      </c>
      <c r="J77" s="44">
        <f t="shared" si="14"/>
        <v>0</v>
      </c>
      <c r="K77" s="44">
        <f t="shared" si="14"/>
        <v>50367.3</v>
      </c>
      <c r="L77" s="44">
        <f t="shared" si="14"/>
        <v>0</v>
      </c>
      <c r="M77" s="44">
        <f t="shared" si="14"/>
        <v>0</v>
      </c>
      <c r="N77" s="44">
        <f t="shared" si="14"/>
        <v>50367.3</v>
      </c>
      <c r="O77" s="44">
        <f t="shared" si="14"/>
        <v>0</v>
      </c>
      <c r="P77" s="44">
        <f t="shared" si="14"/>
        <v>0</v>
      </c>
      <c r="Q77" s="44">
        <f t="shared" si="14"/>
        <v>50367.3</v>
      </c>
    </row>
    <row r="78" spans="1:17" ht="10.5" customHeight="1">
      <c r="A78" s="3" t="s">
        <v>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2.75" customHeight="1">
      <c r="A79" s="4" t="s">
        <v>6</v>
      </c>
      <c r="B79" s="42">
        <v>20247</v>
      </c>
      <c r="C79" s="42"/>
      <c r="D79" s="42"/>
      <c r="E79" s="42">
        <f>B79+C79</f>
        <v>20247</v>
      </c>
      <c r="F79" s="42">
        <v>138.7</v>
      </c>
      <c r="G79" s="42"/>
      <c r="H79" s="40">
        <f aca="true" t="shared" si="15" ref="H79:H85">E79+F79+G79</f>
        <v>20385.7</v>
      </c>
      <c r="I79" s="42"/>
      <c r="J79" s="42"/>
      <c r="K79" s="40">
        <f aca="true" t="shared" si="16" ref="K79:K85">H79+I79+J79</f>
        <v>20385.7</v>
      </c>
      <c r="L79" s="42"/>
      <c r="M79" s="42"/>
      <c r="N79" s="40">
        <f aca="true" t="shared" si="17" ref="N79:N85">K79+L79+M79</f>
        <v>20385.7</v>
      </c>
      <c r="O79" s="42"/>
      <c r="P79" s="42"/>
      <c r="Q79" s="40">
        <f aca="true" t="shared" si="18" ref="Q79:Q85">N79+O79+P79</f>
        <v>20385.7</v>
      </c>
    </row>
    <row r="80" spans="1:17" ht="12.75" customHeight="1">
      <c r="A80" s="4" t="s">
        <v>7</v>
      </c>
      <c r="B80" s="42">
        <v>5039</v>
      </c>
      <c r="C80" s="42"/>
      <c r="D80" s="42"/>
      <c r="E80" s="42">
        <f>B80+C80</f>
        <v>5039</v>
      </c>
      <c r="F80" s="42">
        <v>48.6</v>
      </c>
      <c r="G80" s="42"/>
      <c r="H80" s="40">
        <f t="shared" si="15"/>
        <v>5087.6</v>
      </c>
      <c r="I80" s="42"/>
      <c r="J80" s="42"/>
      <c r="K80" s="40">
        <f t="shared" si="16"/>
        <v>5087.6</v>
      </c>
      <c r="L80" s="42"/>
      <c r="M80" s="42"/>
      <c r="N80" s="40">
        <f t="shared" si="17"/>
        <v>5087.6</v>
      </c>
      <c r="O80" s="42"/>
      <c r="P80" s="42"/>
      <c r="Q80" s="40">
        <f t="shared" si="18"/>
        <v>5087.6</v>
      </c>
    </row>
    <row r="81" spans="1:17" ht="12.75" customHeight="1">
      <c r="A81" s="4" t="s">
        <v>8</v>
      </c>
      <c r="B81" s="42">
        <v>1800</v>
      </c>
      <c r="C81" s="42"/>
      <c r="D81" s="42">
        <v>180</v>
      </c>
      <c r="E81" s="42">
        <f>B81+C81+D81</f>
        <v>1980</v>
      </c>
      <c r="F81" s="42"/>
      <c r="G81" s="42"/>
      <c r="H81" s="40">
        <f t="shared" si="15"/>
        <v>1980</v>
      </c>
      <c r="I81" s="42"/>
      <c r="J81" s="42"/>
      <c r="K81" s="40">
        <f t="shared" si="16"/>
        <v>1980</v>
      </c>
      <c r="L81" s="42"/>
      <c r="M81" s="42"/>
      <c r="N81" s="40">
        <f t="shared" si="17"/>
        <v>1980</v>
      </c>
      <c r="O81" s="42"/>
      <c r="P81" s="42"/>
      <c r="Q81" s="40">
        <f t="shared" si="18"/>
        <v>1980</v>
      </c>
    </row>
    <row r="82" spans="1:17" ht="12.75" customHeight="1">
      <c r="A82" s="4" t="s">
        <v>9</v>
      </c>
      <c r="B82" s="42">
        <v>7464</v>
      </c>
      <c r="C82" s="42">
        <v>300</v>
      </c>
      <c r="D82" s="42">
        <v>3500</v>
      </c>
      <c r="E82" s="42">
        <f>B82+C82+D82</f>
        <v>11264</v>
      </c>
      <c r="F82" s="42"/>
      <c r="G82" s="42"/>
      <c r="H82" s="40">
        <f t="shared" si="15"/>
        <v>11264</v>
      </c>
      <c r="I82" s="42"/>
      <c r="J82" s="42"/>
      <c r="K82" s="40">
        <f t="shared" si="16"/>
        <v>11264</v>
      </c>
      <c r="L82" s="42"/>
      <c r="M82" s="42"/>
      <c r="N82" s="40">
        <f t="shared" si="17"/>
        <v>11264</v>
      </c>
      <c r="O82" s="42"/>
      <c r="P82" s="42"/>
      <c r="Q82" s="40">
        <f t="shared" si="18"/>
        <v>11264</v>
      </c>
    </row>
    <row r="83" spans="1:17" ht="12.75" customHeight="1">
      <c r="A83" s="4" t="s">
        <v>28</v>
      </c>
      <c r="B83" s="42">
        <v>2000</v>
      </c>
      <c r="C83" s="42"/>
      <c r="D83" s="42"/>
      <c r="E83" s="42">
        <f>SUM(B83:D83)</f>
        <v>2000</v>
      </c>
      <c r="F83" s="42"/>
      <c r="G83" s="42"/>
      <c r="H83" s="40">
        <f t="shared" si="15"/>
        <v>2000</v>
      </c>
      <c r="I83" s="42"/>
      <c r="J83" s="42"/>
      <c r="K83" s="40">
        <f t="shared" si="16"/>
        <v>2000</v>
      </c>
      <c r="L83" s="42"/>
      <c r="M83" s="42"/>
      <c r="N83" s="40">
        <f t="shared" si="17"/>
        <v>2000</v>
      </c>
      <c r="O83" s="42"/>
      <c r="P83" s="42"/>
      <c r="Q83" s="40">
        <f t="shared" si="18"/>
        <v>2000</v>
      </c>
    </row>
    <row r="84" spans="1:17" ht="12.75" customHeight="1">
      <c r="A84" s="36" t="s">
        <v>10</v>
      </c>
      <c r="B84" s="46">
        <v>8650</v>
      </c>
      <c r="C84" s="46">
        <f>560+300</f>
        <v>860</v>
      </c>
      <c r="D84" s="46">
        <v>140</v>
      </c>
      <c r="E84" s="46">
        <f>SUM(B84:D84)</f>
        <v>9650</v>
      </c>
      <c r="F84" s="46"/>
      <c r="G84" s="46"/>
      <c r="H84" s="48">
        <f t="shared" si="15"/>
        <v>9650</v>
      </c>
      <c r="I84" s="42"/>
      <c r="J84" s="42"/>
      <c r="K84" s="40">
        <f t="shared" si="16"/>
        <v>9650</v>
      </c>
      <c r="L84" s="42"/>
      <c r="M84" s="42"/>
      <c r="N84" s="40">
        <f t="shared" si="17"/>
        <v>9650</v>
      </c>
      <c r="O84" s="42"/>
      <c r="P84" s="42"/>
      <c r="Q84" s="40">
        <f t="shared" si="18"/>
        <v>9650</v>
      </c>
    </row>
    <row r="85" spans="1:17" ht="12.75" customHeight="1" hidden="1">
      <c r="A85" s="13" t="s">
        <v>35</v>
      </c>
      <c r="B85" s="45">
        <f>SUM(B87:B88)</f>
        <v>0</v>
      </c>
      <c r="C85" s="45">
        <f>SUM(C87:C88)</f>
        <v>0</v>
      </c>
      <c r="D85" s="45">
        <f>SUM(D87:D88)</f>
        <v>0</v>
      </c>
      <c r="E85" s="45">
        <f>B85+C85+D85</f>
        <v>0</v>
      </c>
      <c r="F85" s="45">
        <f>SUM(F87:F88)</f>
        <v>0</v>
      </c>
      <c r="G85" s="45">
        <f>SUM(G87:G88)</f>
        <v>0</v>
      </c>
      <c r="H85" s="45">
        <f t="shared" si="15"/>
        <v>0</v>
      </c>
      <c r="I85" s="45">
        <f>SUM(I87:I88)</f>
        <v>0</v>
      </c>
      <c r="J85" s="45">
        <f>SUM(J87:J88)</f>
        <v>0</v>
      </c>
      <c r="K85" s="45">
        <f t="shared" si="16"/>
        <v>0</v>
      </c>
      <c r="L85" s="45">
        <f>SUM(L87:L88)</f>
        <v>0</v>
      </c>
      <c r="M85" s="45">
        <f>SUM(M87:M88)</f>
        <v>0</v>
      </c>
      <c r="N85" s="45">
        <f t="shared" si="17"/>
        <v>0</v>
      </c>
      <c r="O85" s="45">
        <f>SUM(O87:O88)</f>
        <v>0</v>
      </c>
      <c r="P85" s="45">
        <f>SUM(P87:P88)</f>
        <v>0</v>
      </c>
      <c r="Q85" s="45">
        <f t="shared" si="18"/>
        <v>0</v>
      </c>
    </row>
    <row r="86" spans="1:17" ht="9.75" customHeight="1" hidden="1">
      <c r="A86" s="10" t="s">
        <v>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2.75" customHeight="1" hidden="1">
      <c r="A87" s="8" t="s">
        <v>38</v>
      </c>
      <c r="B87" s="40"/>
      <c r="C87" s="40"/>
      <c r="D87" s="40"/>
      <c r="E87" s="42">
        <f>B87+C87</f>
        <v>0</v>
      </c>
      <c r="F87" s="40"/>
      <c r="G87" s="40"/>
      <c r="H87" s="40">
        <f>E87+F87+G87</f>
        <v>0</v>
      </c>
      <c r="I87" s="40"/>
      <c r="J87" s="40"/>
      <c r="K87" s="40">
        <f>H87+I87+J87</f>
        <v>0</v>
      </c>
      <c r="L87" s="40"/>
      <c r="M87" s="40"/>
      <c r="N87" s="40">
        <f>K87+L87+M87</f>
        <v>0</v>
      </c>
      <c r="O87" s="40"/>
      <c r="P87" s="40"/>
      <c r="Q87" s="40">
        <f>N87+O87+P87</f>
        <v>0</v>
      </c>
    </row>
    <row r="88" spans="1:17" ht="12.75" customHeight="1" hidden="1">
      <c r="A88" s="36" t="s">
        <v>10</v>
      </c>
      <c r="B88" s="46"/>
      <c r="C88" s="46"/>
      <c r="D88" s="46"/>
      <c r="E88" s="46">
        <f>SUM(B88:D88)</f>
        <v>0</v>
      </c>
      <c r="F88" s="46"/>
      <c r="G88" s="46"/>
      <c r="H88" s="48">
        <f>E88+F88+G88</f>
        <v>0</v>
      </c>
      <c r="I88" s="46"/>
      <c r="J88" s="46"/>
      <c r="K88" s="48">
        <f>H88+I88+J88</f>
        <v>0</v>
      </c>
      <c r="L88" s="46"/>
      <c r="M88" s="46"/>
      <c r="N88" s="48">
        <f>K88+L88+M88</f>
        <v>0</v>
      </c>
      <c r="O88" s="46"/>
      <c r="P88" s="46"/>
      <c r="Q88" s="48">
        <f>N88+O88+P88</f>
        <v>0</v>
      </c>
    </row>
    <row r="89" spans="1:17" ht="19.5" customHeight="1">
      <c r="A89" s="2" t="s">
        <v>15</v>
      </c>
      <c r="B89" s="39">
        <f>B90</f>
        <v>244237</v>
      </c>
      <c r="C89" s="39">
        <f>C90</f>
        <v>17103.2</v>
      </c>
      <c r="D89" s="39">
        <f>D90</f>
        <v>1643</v>
      </c>
      <c r="E89" s="39">
        <f>B89+C89+D89</f>
        <v>262983.2</v>
      </c>
      <c r="F89" s="39">
        <f>F90</f>
        <v>30</v>
      </c>
      <c r="G89" s="39">
        <f>G90</f>
        <v>0</v>
      </c>
      <c r="H89" s="39">
        <f>E89+F89+G89</f>
        <v>263013.2</v>
      </c>
      <c r="I89" s="39">
        <f>I90</f>
        <v>0</v>
      </c>
      <c r="J89" s="39">
        <f>J90</f>
        <v>0</v>
      </c>
      <c r="K89" s="39">
        <f>H89+I89+J89</f>
        <v>263013.2</v>
      </c>
      <c r="L89" s="39">
        <f>L90+L101</f>
        <v>0</v>
      </c>
      <c r="M89" s="39">
        <f>M90</f>
        <v>0</v>
      </c>
      <c r="N89" s="39">
        <f>K89+L89+M89</f>
        <v>263013.2</v>
      </c>
      <c r="O89" s="39">
        <f>O90+O101</f>
        <v>0</v>
      </c>
      <c r="P89" s="39">
        <f>P90</f>
        <v>0</v>
      </c>
      <c r="Q89" s="39">
        <f>N89+O89+P89</f>
        <v>263013.2</v>
      </c>
    </row>
    <row r="90" spans="1:17" ht="15" customHeight="1">
      <c r="A90" s="6" t="s">
        <v>34</v>
      </c>
      <c r="B90" s="44">
        <f>SUM(B92:B100)</f>
        <v>244237</v>
      </c>
      <c r="C90" s="44">
        <f>SUM(C92:C100)</f>
        <v>17103.2</v>
      </c>
      <c r="D90" s="44">
        <f>SUM(D92:D100)</f>
        <v>1643</v>
      </c>
      <c r="E90" s="44">
        <f>B90+C90+D90</f>
        <v>262983.2</v>
      </c>
      <c r="F90" s="44">
        <f>SUM(F92:F100)</f>
        <v>30</v>
      </c>
      <c r="G90" s="44">
        <f>SUM(G92:G100)</f>
        <v>0</v>
      </c>
      <c r="H90" s="44">
        <f>E90+F90+G90</f>
        <v>263013.2</v>
      </c>
      <c r="I90" s="44">
        <f>SUM(I92:I100)</f>
        <v>0</v>
      </c>
      <c r="J90" s="44">
        <f>SUM(J92:J100)</f>
        <v>0</v>
      </c>
      <c r="K90" s="44">
        <f>H90+I90+J90</f>
        <v>263013.2</v>
      </c>
      <c r="L90" s="44">
        <f>SUM(L92:L100)</f>
        <v>0</v>
      </c>
      <c r="M90" s="44">
        <f>SUM(M92:M100)</f>
        <v>0</v>
      </c>
      <c r="N90" s="44">
        <f>K90+L90+M90</f>
        <v>263013.2</v>
      </c>
      <c r="O90" s="44">
        <f>SUM(O92:O100)</f>
        <v>0</v>
      </c>
      <c r="P90" s="44">
        <f>SUM(P92:P100)</f>
        <v>0</v>
      </c>
      <c r="Q90" s="44">
        <f>N90+O90+P90</f>
        <v>263013.2</v>
      </c>
    </row>
    <row r="91" spans="1:17" ht="10.5" customHeight="1">
      <c r="A91" s="3" t="s">
        <v>1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ht="12.75" customHeight="1">
      <c r="A92" s="4" t="s">
        <v>11</v>
      </c>
      <c r="B92" s="42">
        <v>118069</v>
      </c>
      <c r="C92" s="42">
        <v>7384</v>
      </c>
      <c r="D92" s="42"/>
      <c r="E92" s="42">
        <f>B92+C92</f>
        <v>125453</v>
      </c>
      <c r="F92" s="42"/>
      <c r="G92" s="42"/>
      <c r="H92" s="40">
        <f aca="true" t="shared" si="19" ref="H92:H99">E92+F92+G92</f>
        <v>125453</v>
      </c>
      <c r="I92" s="42"/>
      <c r="J92" s="42"/>
      <c r="K92" s="40">
        <f aca="true" t="shared" si="20" ref="K92:K101">H92+I92+J92</f>
        <v>125453</v>
      </c>
      <c r="L92" s="42"/>
      <c r="M92" s="42"/>
      <c r="N92" s="40">
        <f aca="true" t="shared" si="21" ref="N92:N101">K92+L92+M92</f>
        <v>125453</v>
      </c>
      <c r="O92" s="42"/>
      <c r="P92" s="42"/>
      <c r="Q92" s="40">
        <f aca="true" t="shared" si="22" ref="Q92:Q101">N92+O92+P92</f>
        <v>125453</v>
      </c>
    </row>
    <row r="93" spans="1:17" ht="12.75" customHeight="1">
      <c r="A93" s="4" t="s">
        <v>7</v>
      </c>
      <c r="B93" s="42">
        <v>41383</v>
      </c>
      <c r="C93" s="42">
        <v>2616</v>
      </c>
      <c r="D93" s="42"/>
      <c r="E93" s="42">
        <f>B93+C93</f>
        <v>43999</v>
      </c>
      <c r="F93" s="42"/>
      <c r="G93" s="42"/>
      <c r="H93" s="40">
        <f t="shared" si="19"/>
        <v>43999</v>
      </c>
      <c r="I93" s="42"/>
      <c r="J93" s="42"/>
      <c r="K93" s="40">
        <f t="shared" si="20"/>
        <v>43999</v>
      </c>
      <c r="L93" s="42"/>
      <c r="M93" s="42"/>
      <c r="N93" s="40">
        <f t="shared" si="21"/>
        <v>43999</v>
      </c>
      <c r="O93" s="42"/>
      <c r="P93" s="42"/>
      <c r="Q93" s="40">
        <f t="shared" si="22"/>
        <v>43999</v>
      </c>
    </row>
    <row r="94" spans="1:17" ht="12.75" customHeight="1">
      <c r="A94" s="4" t="s">
        <v>12</v>
      </c>
      <c r="B94" s="42">
        <v>280</v>
      </c>
      <c r="C94" s="42"/>
      <c r="D94" s="42"/>
      <c r="E94" s="42">
        <f>B94+C94</f>
        <v>280</v>
      </c>
      <c r="F94" s="42"/>
      <c r="G94" s="42"/>
      <c r="H94" s="40">
        <f t="shared" si="19"/>
        <v>280</v>
      </c>
      <c r="I94" s="42"/>
      <c r="J94" s="42"/>
      <c r="K94" s="40">
        <f t="shared" si="20"/>
        <v>280</v>
      </c>
      <c r="L94" s="42"/>
      <c r="M94" s="42"/>
      <c r="N94" s="40">
        <f t="shared" si="21"/>
        <v>280</v>
      </c>
      <c r="O94" s="42"/>
      <c r="P94" s="42"/>
      <c r="Q94" s="40">
        <f t="shared" si="22"/>
        <v>280</v>
      </c>
    </row>
    <row r="95" spans="1:17" ht="12.75" customHeight="1">
      <c r="A95" s="4" t="s">
        <v>9</v>
      </c>
      <c r="B95" s="42">
        <v>43290</v>
      </c>
      <c r="C95" s="42">
        <f>7103.2-5600</f>
        <v>1503.1999999999998</v>
      </c>
      <c r="D95" s="42">
        <v>1643</v>
      </c>
      <c r="E95" s="42">
        <f>B95+C95+D95</f>
        <v>46436.2</v>
      </c>
      <c r="F95" s="42"/>
      <c r="G95" s="42"/>
      <c r="H95" s="40">
        <f t="shared" si="19"/>
        <v>46436.2</v>
      </c>
      <c r="I95" s="42"/>
      <c r="J95" s="42"/>
      <c r="K95" s="40">
        <f t="shared" si="20"/>
        <v>46436.2</v>
      </c>
      <c r="L95" s="42"/>
      <c r="M95" s="42"/>
      <c r="N95" s="40">
        <f t="shared" si="21"/>
        <v>46436.2</v>
      </c>
      <c r="O95" s="42"/>
      <c r="P95" s="42"/>
      <c r="Q95" s="40">
        <f t="shared" si="22"/>
        <v>46436.2</v>
      </c>
    </row>
    <row r="96" spans="1:17" ht="12.75" customHeight="1">
      <c r="A96" s="4" t="s">
        <v>13</v>
      </c>
      <c r="B96" s="42">
        <v>152</v>
      </c>
      <c r="C96" s="42"/>
      <c r="D96" s="42"/>
      <c r="E96" s="42">
        <f>B96+C96</f>
        <v>152</v>
      </c>
      <c r="F96" s="42"/>
      <c r="G96" s="42"/>
      <c r="H96" s="40">
        <f t="shared" si="19"/>
        <v>152</v>
      </c>
      <c r="I96" s="42"/>
      <c r="J96" s="42"/>
      <c r="K96" s="40">
        <f t="shared" si="20"/>
        <v>152</v>
      </c>
      <c r="L96" s="42"/>
      <c r="M96" s="42"/>
      <c r="N96" s="40">
        <f t="shared" si="21"/>
        <v>152</v>
      </c>
      <c r="O96" s="42"/>
      <c r="P96" s="42"/>
      <c r="Q96" s="40">
        <f t="shared" si="22"/>
        <v>152</v>
      </c>
    </row>
    <row r="97" spans="1:17" ht="12.75" customHeight="1">
      <c r="A97" s="4" t="s">
        <v>50</v>
      </c>
      <c r="B97" s="42">
        <v>580</v>
      </c>
      <c r="C97" s="42"/>
      <c r="D97" s="42"/>
      <c r="E97" s="42">
        <f>B97+C97</f>
        <v>580</v>
      </c>
      <c r="F97" s="42"/>
      <c r="G97" s="42"/>
      <c r="H97" s="40">
        <f t="shared" si="19"/>
        <v>580</v>
      </c>
      <c r="I97" s="42"/>
      <c r="J97" s="42"/>
      <c r="K97" s="40">
        <f t="shared" si="20"/>
        <v>580</v>
      </c>
      <c r="L97" s="42"/>
      <c r="M97" s="42"/>
      <c r="N97" s="40">
        <f t="shared" si="21"/>
        <v>580</v>
      </c>
      <c r="O97" s="42"/>
      <c r="P97" s="42"/>
      <c r="Q97" s="40">
        <f t="shared" si="22"/>
        <v>580</v>
      </c>
    </row>
    <row r="98" spans="1:17" ht="12.75" customHeight="1">
      <c r="A98" s="4" t="s">
        <v>203</v>
      </c>
      <c r="B98" s="42">
        <v>40483</v>
      </c>
      <c r="C98" s="42">
        <v>5600</v>
      </c>
      <c r="D98" s="42"/>
      <c r="E98" s="42">
        <f>B98+C98</f>
        <v>46083</v>
      </c>
      <c r="F98" s="42"/>
      <c r="G98" s="42"/>
      <c r="H98" s="40">
        <f t="shared" si="19"/>
        <v>46083</v>
      </c>
      <c r="I98" s="42"/>
      <c r="J98" s="42"/>
      <c r="K98" s="40">
        <f t="shared" si="20"/>
        <v>46083</v>
      </c>
      <c r="L98" s="42"/>
      <c r="M98" s="42"/>
      <c r="N98" s="40">
        <f t="shared" si="21"/>
        <v>46083</v>
      </c>
      <c r="O98" s="42"/>
      <c r="P98" s="42"/>
      <c r="Q98" s="40">
        <f t="shared" si="22"/>
        <v>46083</v>
      </c>
    </row>
    <row r="99" spans="1:17" ht="12.75" customHeight="1">
      <c r="A99" s="36" t="s">
        <v>181</v>
      </c>
      <c r="B99" s="46"/>
      <c r="C99" s="46"/>
      <c r="D99" s="46"/>
      <c r="E99" s="46"/>
      <c r="F99" s="46">
        <v>30</v>
      </c>
      <c r="G99" s="46"/>
      <c r="H99" s="48">
        <f t="shared" si="19"/>
        <v>30</v>
      </c>
      <c r="I99" s="42"/>
      <c r="J99" s="42"/>
      <c r="K99" s="40">
        <f t="shared" si="20"/>
        <v>30</v>
      </c>
      <c r="L99" s="42"/>
      <c r="M99" s="42"/>
      <c r="N99" s="40">
        <f t="shared" si="21"/>
        <v>30</v>
      </c>
      <c r="O99" s="42"/>
      <c r="P99" s="42"/>
      <c r="Q99" s="40">
        <f t="shared" si="22"/>
        <v>30</v>
      </c>
    </row>
    <row r="100" spans="1:17" ht="12.75" customHeight="1" hidden="1">
      <c r="A100" s="4" t="s">
        <v>182</v>
      </c>
      <c r="B100" s="42"/>
      <c r="C100" s="42"/>
      <c r="D100" s="42"/>
      <c r="E100" s="42"/>
      <c r="F100" s="42"/>
      <c r="G100" s="42"/>
      <c r="H100" s="40"/>
      <c r="I100" s="42"/>
      <c r="J100" s="42"/>
      <c r="K100" s="40">
        <f t="shared" si="20"/>
        <v>0</v>
      </c>
      <c r="L100" s="42"/>
      <c r="M100" s="42"/>
      <c r="N100" s="40">
        <f t="shared" si="21"/>
        <v>0</v>
      </c>
      <c r="O100" s="42"/>
      <c r="P100" s="42"/>
      <c r="Q100" s="40">
        <f t="shared" si="22"/>
        <v>0</v>
      </c>
    </row>
    <row r="101" spans="1:17" ht="12.75" customHeight="1" hidden="1">
      <c r="A101" s="6" t="s">
        <v>35</v>
      </c>
      <c r="B101" s="44">
        <f>B103</f>
        <v>0</v>
      </c>
      <c r="C101" s="44">
        <f>C103</f>
        <v>0</v>
      </c>
      <c r="D101" s="44">
        <f>D103</f>
        <v>0</v>
      </c>
      <c r="E101" s="44">
        <f>B101+C101+D101</f>
        <v>0</v>
      </c>
      <c r="F101" s="44">
        <f>F103</f>
        <v>0</v>
      </c>
      <c r="G101" s="44">
        <f>G103</f>
        <v>0</v>
      </c>
      <c r="H101" s="44">
        <f>E101+F101+G101</f>
        <v>0</v>
      </c>
      <c r="I101" s="44">
        <f>I103</f>
        <v>0</v>
      </c>
      <c r="J101" s="44">
        <f>J103</f>
        <v>0</v>
      </c>
      <c r="K101" s="44">
        <f t="shared" si="20"/>
        <v>0</v>
      </c>
      <c r="L101" s="44">
        <f>L103</f>
        <v>0</v>
      </c>
      <c r="M101" s="44">
        <f>M103</f>
        <v>0</v>
      </c>
      <c r="N101" s="44">
        <f t="shared" si="21"/>
        <v>0</v>
      </c>
      <c r="O101" s="44">
        <f>O103</f>
        <v>0</v>
      </c>
      <c r="P101" s="44">
        <f>P103</f>
        <v>0</v>
      </c>
      <c r="Q101" s="44">
        <f t="shared" si="22"/>
        <v>0</v>
      </c>
    </row>
    <row r="102" spans="1:17" ht="12.75" customHeight="1" hidden="1">
      <c r="A102" s="3" t="s">
        <v>1</v>
      </c>
      <c r="B102" s="42"/>
      <c r="C102" s="42"/>
      <c r="D102" s="42"/>
      <c r="E102" s="39"/>
      <c r="F102" s="42"/>
      <c r="G102" s="42"/>
      <c r="H102" s="39"/>
      <c r="I102" s="42"/>
      <c r="J102" s="42"/>
      <c r="K102" s="39"/>
      <c r="L102" s="42"/>
      <c r="M102" s="42"/>
      <c r="N102" s="39"/>
      <c r="O102" s="42"/>
      <c r="P102" s="42"/>
      <c r="Q102" s="39"/>
    </row>
    <row r="103" spans="1:17" ht="12.75" customHeight="1" hidden="1">
      <c r="A103" s="36" t="s">
        <v>188</v>
      </c>
      <c r="B103" s="46"/>
      <c r="C103" s="46"/>
      <c r="D103" s="46"/>
      <c r="E103" s="46">
        <f>SUM(B103:D103)</f>
        <v>0</v>
      </c>
      <c r="F103" s="46"/>
      <c r="G103" s="46"/>
      <c r="H103" s="46">
        <f>SUM(E103:G103)</f>
        <v>0</v>
      </c>
      <c r="I103" s="46"/>
      <c r="J103" s="46"/>
      <c r="K103" s="46"/>
      <c r="L103" s="46"/>
      <c r="M103" s="46"/>
      <c r="N103" s="46">
        <f>SUM(K103:M103)</f>
        <v>0</v>
      </c>
      <c r="O103" s="46"/>
      <c r="P103" s="46"/>
      <c r="Q103" s="46">
        <f>SUM(N103:P103)</f>
        <v>0</v>
      </c>
    </row>
    <row r="104" spans="1:17" ht="18.75" customHeight="1">
      <c r="A104" s="2" t="s">
        <v>72</v>
      </c>
      <c r="B104" s="39">
        <f>B105+B115</f>
        <v>133200</v>
      </c>
      <c r="C104" s="39">
        <f>C105+C115</f>
        <v>3468.1</v>
      </c>
      <c r="D104" s="39">
        <f>D105+D115</f>
        <v>19972.7</v>
      </c>
      <c r="E104" s="39">
        <f>B104+C104+D104</f>
        <v>156640.80000000002</v>
      </c>
      <c r="F104" s="39">
        <f>F105+F115</f>
        <v>8996.3</v>
      </c>
      <c r="G104" s="39">
        <f>G105+G115</f>
        <v>0</v>
      </c>
      <c r="H104" s="39">
        <f>E104+F104+G104</f>
        <v>165637.1</v>
      </c>
      <c r="I104" s="39">
        <f>I105+I115</f>
        <v>0</v>
      </c>
      <c r="J104" s="39">
        <f>J105+J115</f>
        <v>0</v>
      </c>
      <c r="K104" s="39">
        <f>H104+I104+J104</f>
        <v>165637.1</v>
      </c>
      <c r="L104" s="39">
        <f>L105+L115</f>
        <v>0</v>
      </c>
      <c r="M104" s="39">
        <f>M105+M115</f>
        <v>0</v>
      </c>
      <c r="N104" s="39">
        <f>K104+L104+M104</f>
        <v>165637.1</v>
      </c>
      <c r="O104" s="39">
        <f>O105+O115</f>
        <v>0</v>
      </c>
      <c r="P104" s="39">
        <f>P105+P115</f>
        <v>0</v>
      </c>
      <c r="Q104" s="39">
        <f>N104+O104+P104</f>
        <v>165637.1</v>
      </c>
    </row>
    <row r="105" spans="1:17" ht="15" customHeight="1">
      <c r="A105" s="6" t="s">
        <v>34</v>
      </c>
      <c r="B105" s="44">
        <f>SUM(B107:B113)</f>
        <v>88200</v>
      </c>
      <c r="C105" s="44">
        <f>SUM(C107:C113)</f>
        <v>271.1</v>
      </c>
      <c r="D105" s="44">
        <f>SUM(D107:D113)</f>
        <v>240</v>
      </c>
      <c r="E105" s="44">
        <f>B105+C105+D105</f>
        <v>88711.1</v>
      </c>
      <c r="F105" s="44">
        <f>SUM(F107:F113)</f>
        <v>3517.3</v>
      </c>
      <c r="G105" s="44">
        <f>SUM(G107:G113)</f>
        <v>0</v>
      </c>
      <c r="H105" s="44">
        <f>E105+F105+G105</f>
        <v>92228.40000000001</v>
      </c>
      <c r="I105" s="44">
        <f>SUM(I107:I113)</f>
        <v>0</v>
      </c>
      <c r="J105" s="44">
        <f>SUM(J107:J113)</f>
        <v>0</v>
      </c>
      <c r="K105" s="44">
        <f>H105+I105+J105</f>
        <v>92228.40000000001</v>
      </c>
      <c r="L105" s="44">
        <f>SUM(L107:L113)</f>
        <v>0</v>
      </c>
      <c r="M105" s="44">
        <f>SUM(M107:M113)</f>
        <v>0</v>
      </c>
      <c r="N105" s="44">
        <f>K105+L105+M105</f>
        <v>92228.40000000001</v>
      </c>
      <c r="O105" s="44">
        <f>SUM(O107:O113)</f>
        <v>0</v>
      </c>
      <c r="P105" s="44">
        <f>SUM(P107:P113)</f>
        <v>0</v>
      </c>
      <c r="Q105" s="44">
        <f>N105+O105+P105</f>
        <v>92228.40000000001</v>
      </c>
    </row>
    <row r="106" spans="1:17" ht="10.5" customHeight="1">
      <c r="A106" s="3" t="s">
        <v>1</v>
      </c>
      <c r="B106" s="42"/>
      <c r="C106" s="42"/>
      <c r="D106" s="42"/>
      <c r="E106" s="39"/>
      <c r="F106" s="42"/>
      <c r="G106" s="42"/>
      <c r="H106" s="39"/>
      <c r="I106" s="42"/>
      <c r="J106" s="42"/>
      <c r="K106" s="39"/>
      <c r="L106" s="42"/>
      <c r="M106" s="42"/>
      <c r="N106" s="39"/>
      <c r="O106" s="42"/>
      <c r="P106" s="42"/>
      <c r="Q106" s="39"/>
    </row>
    <row r="107" spans="1:17" ht="12.75" customHeight="1">
      <c r="A107" s="7" t="s">
        <v>124</v>
      </c>
      <c r="B107" s="47">
        <v>45000</v>
      </c>
      <c r="C107" s="47"/>
      <c r="D107" s="47"/>
      <c r="E107" s="42">
        <f>B107+C107</f>
        <v>45000</v>
      </c>
      <c r="F107" s="47"/>
      <c r="G107" s="47"/>
      <c r="H107" s="40">
        <f aca="true" t="shared" si="23" ref="H107:H115">E107+F107+G107</f>
        <v>45000</v>
      </c>
      <c r="I107" s="47"/>
      <c r="J107" s="47"/>
      <c r="K107" s="40">
        <f aca="true" t="shared" si="24" ref="K107:K115">H107+I107+J107</f>
        <v>45000</v>
      </c>
      <c r="L107" s="47"/>
      <c r="M107" s="47"/>
      <c r="N107" s="40">
        <f aca="true" t="shared" si="25" ref="N107:N115">K107+L107+M107</f>
        <v>45000</v>
      </c>
      <c r="O107" s="47"/>
      <c r="P107" s="47"/>
      <c r="Q107" s="40">
        <f aca="true" t="shared" si="26" ref="Q107:Q115">N107+O107+P107</f>
        <v>45000</v>
      </c>
    </row>
    <row r="108" spans="1:17" ht="12.75" customHeight="1">
      <c r="A108" s="4" t="s">
        <v>9</v>
      </c>
      <c r="B108" s="42">
        <v>43200</v>
      </c>
      <c r="C108" s="42"/>
      <c r="D108" s="42">
        <v>240</v>
      </c>
      <c r="E108" s="42">
        <f>SUM(B108:D108)</f>
        <v>43440</v>
      </c>
      <c r="F108" s="42">
        <v>-200</v>
      </c>
      <c r="G108" s="42"/>
      <c r="H108" s="40">
        <f t="shared" si="23"/>
        <v>43240</v>
      </c>
      <c r="I108" s="42"/>
      <c r="J108" s="42"/>
      <c r="K108" s="40">
        <f t="shared" si="24"/>
        <v>43240</v>
      </c>
      <c r="L108" s="42"/>
      <c r="M108" s="42"/>
      <c r="N108" s="40">
        <f t="shared" si="25"/>
        <v>43240</v>
      </c>
      <c r="O108" s="42"/>
      <c r="P108" s="42"/>
      <c r="Q108" s="40">
        <f t="shared" si="26"/>
        <v>43240</v>
      </c>
    </row>
    <row r="109" spans="1:17" ht="12.75" customHeight="1" hidden="1">
      <c r="A109" s="4" t="s">
        <v>125</v>
      </c>
      <c r="B109" s="42"/>
      <c r="C109" s="42"/>
      <c r="D109" s="42"/>
      <c r="E109" s="42">
        <f>SUM(B109:D109)</f>
        <v>0</v>
      </c>
      <c r="F109" s="42"/>
      <c r="G109" s="42"/>
      <c r="H109" s="40">
        <f t="shared" si="23"/>
        <v>0</v>
      </c>
      <c r="I109" s="42"/>
      <c r="J109" s="42"/>
      <c r="K109" s="40">
        <f t="shared" si="24"/>
        <v>0</v>
      </c>
      <c r="L109" s="42"/>
      <c r="M109" s="42"/>
      <c r="N109" s="40">
        <f t="shared" si="25"/>
        <v>0</v>
      </c>
      <c r="O109" s="42"/>
      <c r="P109" s="42"/>
      <c r="Q109" s="40">
        <f t="shared" si="26"/>
        <v>0</v>
      </c>
    </row>
    <row r="110" spans="1:17" ht="12.75" customHeight="1" hidden="1">
      <c r="A110" s="4" t="s">
        <v>147</v>
      </c>
      <c r="B110" s="42"/>
      <c r="C110" s="42"/>
      <c r="D110" s="42"/>
      <c r="E110" s="42">
        <f>SUM(B110:D110)</f>
        <v>0</v>
      </c>
      <c r="F110" s="42"/>
      <c r="G110" s="42"/>
      <c r="H110" s="40">
        <f t="shared" si="23"/>
        <v>0</v>
      </c>
      <c r="I110" s="42"/>
      <c r="J110" s="42"/>
      <c r="K110" s="40">
        <f t="shared" si="24"/>
        <v>0</v>
      </c>
      <c r="L110" s="42"/>
      <c r="M110" s="42"/>
      <c r="N110" s="40">
        <f t="shared" si="25"/>
        <v>0</v>
      </c>
      <c r="O110" s="42"/>
      <c r="P110" s="42"/>
      <c r="Q110" s="40">
        <f t="shared" si="26"/>
        <v>0</v>
      </c>
    </row>
    <row r="111" spans="1:17" ht="12.75" customHeight="1">
      <c r="A111" s="4" t="s">
        <v>183</v>
      </c>
      <c r="B111" s="42"/>
      <c r="C111" s="42"/>
      <c r="D111" s="42"/>
      <c r="E111" s="42"/>
      <c r="F111" s="42">
        <v>196.3</v>
      </c>
      <c r="G111" s="42"/>
      <c r="H111" s="40">
        <f t="shared" si="23"/>
        <v>196.3</v>
      </c>
      <c r="I111" s="42"/>
      <c r="J111" s="42"/>
      <c r="K111" s="40">
        <f t="shared" si="24"/>
        <v>196.3</v>
      </c>
      <c r="L111" s="42"/>
      <c r="M111" s="42"/>
      <c r="N111" s="40">
        <f t="shared" si="25"/>
        <v>196.3</v>
      </c>
      <c r="O111" s="42"/>
      <c r="P111" s="42"/>
      <c r="Q111" s="40">
        <f t="shared" si="26"/>
        <v>196.3</v>
      </c>
    </row>
    <row r="112" spans="1:17" ht="12.75" customHeight="1">
      <c r="A112" s="4" t="s">
        <v>41</v>
      </c>
      <c r="B112" s="42"/>
      <c r="C112" s="42"/>
      <c r="D112" s="42"/>
      <c r="E112" s="42"/>
      <c r="F112" s="42">
        <v>3521</v>
      </c>
      <c r="G112" s="42"/>
      <c r="H112" s="40">
        <f t="shared" si="23"/>
        <v>3521</v>
      </c>
      <c r="I112" s="42"/>
      <c r="J112" s="42"/>
      <c r="K112" s="40">
        <f t="shared" si="24"/>
        <v>3521</v>
      </c>
      <c r="L112" s="42"/>
      <c r="M112" s="42"/>
      <c r="N112" s="40">
        <f t="shared" si="25"/>
        <v>3521</v>
      </c>
      <c r="O112" s="42"/>
      <c r="P112" s="42"/>
      <c r="Q112" s="40">
        <f t="shared" si="26"/>
        <v>3521</v>
      </c>
    </row>
    <row r="113" spans="1:17" ht="12.75" customHeight="1">
      <c r="A113" s="8" t="s">
        <v>51</v>
      </c>
      <c r="B113" s="40"/>
      <c r="C113" s="40">
        <v>271.1</v>
      </c>
      <c r="D113" s="40"/>
      <c r="E113" s="42">
        <f>SUM(B113:D113)</f>
        <v>271.1</v>
      </c>
      <c r="F113" s="40"/>
      <c r="G113" s="40"/>
      <c r="H113" s="40">
        <f t="shared" si="23"/>
        <v>271.1</v>
      </c>
      <c r="I113" s="40"/>
      <c r="J113" s="40"/>
      <c r="K113" s="40">
        <f t="shared" si="24"/>
        <v>271.1</v>
      </c>
      <c r="L113" s="40"/>
      <c r="M113" s="40"/>
      <c r="N113" s="40">
        <f t="shared" si="25"/>
        <v>271.1</v>
      </c>
      <c r="O113" s="40"/>
      <c r="P113" s="40"/>
      <c r="Q113" s="40">
        <f t="shared" si="26"/>
        <v>271.1</v>
      </c>
    </row>
    <row r="114" spans="1:17" ht="12.75" customHeight="1">
      <c r="A114" s="8" t="s">
        <v>126</v>
      </c>
      <c r="B114" s="40"/>
      <c r="C114" s="40">
        <v>271.1</v>
      </c>
      <c r="D114" s="40"/>
      <c r="E114" s="42">
        <f>SUM(B114:D114)</f>
        <v>271.1</v>
      </c>
      <c r="F114" s="40"/>
      <c r="G114" s="40"/>
      <c r="H114" s="40">
        <f t="shared" si="23"/>
        <v>271.1</v>
      </c>
      <c r="I114" s="48"/>
      <c r="J114" s="48"/>
      <c r="K114" s="48">
        <f t="shared" si="24"/>
        <v>271.1</v>
      </c>
      <c r="L114" s="48"/>
      <c r="M114" s="48"/>
      <c r="N114" s="48">
        <f t="shared" si="25"/>
        <v>271.1</v>
      </c>
      <c r="O114" s="48"/>
      <c r="P114" s="48"/>
      <c r="Q114" s="48">
        <f t="shared" si="26"/>
        <v>271.1</v>
      </c>
    </row>
    <row r="115" spans="1:17" ht="15" customHeight="1">
      <c r="A115" s="13" t="s">
        <v>35</v>
      </c>
      <c r="B115" s="45">
        <f>SUM(B117:B121)</f>
        <v>45000</v>
      </c>
      <c r="C115" s="45">
        <f>SUM(C117:C121)</f>
        <v>3197</v>
      </c>
      <c r="D115" s="45">
        <f>SUM(D117:D121)</f>
        <v>19732.7</v>
      </c>
      <c r="E115" s="45">
        <f>B115+C115+D115</f>
        <v>67929.7</v>
      </c>
      <c r="F115" s="45">
        <f>SUM(F117:F121)</f>
        <v>5479</v>
      </c>
      <c r="G115" s="45">
        <f>SUM(G117:G121)</f>
        <v>0</v>
      </c>
      <c r="H115" s="45">
        <f t="shared" si="23"/>
        <v>73408.7</v>
      </c>
      <c r="I115" s="45">
        <f>SUM(I117:I121)</f>
        <v>0</v>
      </c>
      <c r="J115" s="45">
        <f>SUM(J117:J121)</f>
        <v>0</v>
      </c>
      <c r="K115" s="45">
        <f t="shared" si="24"/>
        <v>73408.7</v>
      </c>
      <c r="L115" s="45">
        <f>SUM(L117:L121)</f>
        <v>0</v>
      </c>
      <c r="M115" s="45">
        <f>SUM(M117:M121)</f>
        <v>0</v>
      </c>
      <c r="N115" s="45">
        <f t="shared" si="25"/>
        <v>73408.7</v>
      </c>
      <c r="O115" s="45">
        <f>SUM(O117:O121)</f>
        <v>0</v>
      </c>
      <c r="P115" s="45">
        <f>SUM(P117:P121)</f>
        <v>0</v>
      </c>
      <c r="Q115" s="45">
        <f t="shared" si="26"/>
        <v>73408.7</v>
      </c>
    </row>
    <row r="116" spans="1:17" ht="10.5" customHeight="1">
      <c r="A116" s="10" t="s">
        <v>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ht="12.75" customHeight="1">
      <c r="A117" s="8" t="s">
        <v>217</v>
      </c>
      <c r="B117" s="40"/>
      <c r="C117" s="40">
        <v>3468.1</v>
      </c>
      <c r="D117" s="40"/>
      <c r="E117" s="42">
        <f>SUM(B117:D117)</f>
        <v>3468.1</v>
      </c>
      <c r="F117" s="40"/>
      <c r="G117" s="40"/>
      <c r="H117" s="42">
        <f>SUM(E117:G117)</f>
        <v>3468.1</v>
      </c>
      <c r="I117" s="40"/>
      <c r="J117" s="40"/>
      <c r="K117" s="42">
        <f>SUM(H117:J117)</f>
        <v>3468.1</v>
      </c>
      <c r="L117" s="40"/>
      <c r="M117" s="40"/>
      <c r="N117" s="42">
        <f>SUM(K117:M117)</f>
        <v>3468.1</v>
      </c>
      <c r="O117" s="40"/>
      <c r="P117" s="40"/>
      <c r="Q117" s="42">
        <f>SUM(N117:P117)</f>
        <v>3468.1</v>
      </c>
    </row>
    <row r="118" spans="1:17" ht="12.75" customHeight="1">
      <c r="A118" s="8" t="s">
        <v>133</v>
      </c>
      <c r="B118" s="40"/>
      <c r="C118" s="40"/>
      <c r="D118" s="40">
        <v>18832.7</v>
      </c>
      <c r="E118" s="42">
        <f>SUM(B118:D118)</f>
        <v>18832.7</v>
      </c>
      <c r="F118" s="40"/>
      <c r="G118" s="40"/>
      <c r="H118" s="42">
        <f>SUM(E118:G118)</f>
        <v>18832.7</v>
      </c>
      <c r="I118" s="40"/>
      <c r="J118" s="40"/>
      <c r="K118" s="42">
        <f>SUM(H118:J118)</f>
        <v>18832.7</v>
      </c>
      <c r="L118" s="40"/>
      <c r="M118" s="40"/>
      <c r="N118" s="42">
        <f>SUM(K118:M118)</f>
        <v>18832.7</v>
      </c>
      <c r="O118" s="40"/>
      <c r="P118" s="40"/>
      <c r="Q118" s="42">
        <f>SUM(N118:P118)</f>
        <v>18832.7</v>
      </c>
    </row>
    <row r="119" spans="1:17" ht="12.75" customHeight="1">
      <c r="A119" s="8" t="s">
        <v>38</v>
      </c>
      <c r="B119" s="40"/>
      <c r="C119" s="40"/>
      <c r="D119" s="40">
        <v>900</v>
      </c>
      <c r="E119" s="42">
        <f>SUM(B119:D119)</f>
        <v>900</v>
      </c>
      <c r="F119" s="40"/>
      <c r="G119" s="40"/>
      <c r="H119" s="40">
        <f>E119+F119+G119</f>
        <v>900</v>
      </c>
      <c r="I119" s="40"/>
      <c r="J119" s="40"/>
      <c r="K119" s="40">
        <f>H119+I119+J119</f>
        <v>900</v>
      </c>
      <c r="L119" s="40"/>
      <c r="M119" s="40"/>
      <c r="N119" s="40">
        <f>K119+L119+M119</f>
        <v>900</v>
      </c>
      <c r="O119" s="40"/>
      <c r="P119" s="40"/>
      <c r="Q119" s="40">
        <f>N119+O119+P119</f>
        <v>900</v>
      </c>
    </row>
    <row r="120" spans="1:17" ht="12.75" customHeight="1">
      <c r="A120" s="4" t="s">
        <v>41</v>
      </c>
      <c r="B120" s="40"/>
      <c r="C120" s="40"/>
      <c r="D120" s="40"/>
      <c r="E120" s="42"/>
      <c r="F120" s="40">
        <v>5479</v>
      </c>
      <c r="G120" s="40"/>
      <c r="H120" s="40">
        <f>E120+F120+G120</f>
        <v>5479</v>
      </c>
      <c r="I120" s="40"/>
      <c r="J120" s="40"/>
      <c r="K120" s="40">
        <f>H120+I120+J120</f>
        <v>5479</v>
      </c>
      <c r="L120" s="40"/>
      <c r="M120" s="40"/>
      <c r="N120" s="40">
        <f>K120+L120+M120</f>
        <v>5479</v>
      </c>
      <c r="O120" s="40"/>
      <c r="P120" s="40"/>
      <c r="Q120" s="40">
        <f>N120+O120+P120</f>
        <v>5479</v>
      </c>
    </row>
    <row r="121" spans="1:17" ht="12.75" customHeight="1">
      <c r="A121" s="8" t="s">
        <v>51</v>
      </c>
      <c r="B121" s="40">
        <v>45000</v>
      </c>
      <c r="C121" s="40">
        <v>-271.1</v>
      </c>
      <c r="D121" s="40"/>
      <c r="E121" s="42">
        <f>SUM(B121:D121)</f>
        <v>44728.9</v>
      </c>
      <c r="F121" s="40"/>
      <c r="G121" s="40"/>
      <c r="H121" s="42">
        <f>SUM(E121:G121)</f>
        <v>44728.9</v>
      </c>
      <c r="I121" s="40"/>
      <c r="J121" s="40"/>
      <c r="K121" s="42">
        <f>SUM(H121:J121)</f>
        <v>44728.9</v>
      </c>
      <c r="L121" s="40"/>
      <c r="M121" s="40"/>
      <c r="N121" s="42">
        <f>SUM(K121:M121)</f>
        <v>44728.9</v>
      </c>
      <c r="O121" s="40"/>
      <c r="P121" s="40"/>
      <c r="Q121" s="42">
        <f>SUM(N121:P121)</f>
        <v>44728.9</v>
      </c>
    </row>
    <row r="122" spans="1:17" ht="12.75" customHeight="1">
      <c r="A122" s="67" t="s">
        <v>127</v>
      </c>
      <c r="B122" s="48"/>
      <c r="C122" s="48">
        <v>18435</v>
      </c>
      <c r="D122" s="48"/>
      <c r="E122" s="46">
        <f>SUM(B122:D122)</f>
        <v>18435</v>
      </c>
      <c r="F122" s="48"/>
      <c r="G122" s="48"/>
      <c r="H122" s="46">
        <f>SUM(E122:G122)</f>
        <v>18435</v>
      </c>
      <c r="I122" s="48"/>
      <c r="J122" s="48"/>
      <c r="K122" s="46">
        <f>SUM(H122:J122)</f>
        <v>18435</v>
      </c>
      <c r="L122" s="48"/>
      <c r="M122" s="48"/>
      <c r="N122" s="46">
        <f>SUM(K122:M122)</f>
        <v>18435</v>
      </c>
      <c r="O122" s="48"/>
      <c r="P122" s="48"/>
      <c r="Q122" s="46">
        <f>SUM(N122:P122)</f>
        <v>18435</v>
      </c>
    </row>
    <row r="123" spans="1:17" ht="18.75" customHeight="1">
      <c r="A123" s="12" t="s">
        <v>148</v>
      </c>
      <c r="B123" s="41">
        <f aca="true" t="shared" si="27" ref="B123:Q123">B124+B130</f>
        <v>3670</v>
      </c>
      <c r="C123" s="41">
        <f t="shared" si="27"/>
        <v>1428</v>
      </c>
      <c r="D123" s="41">
        <f t="shared" si="27"/>
        <v>300</v>
      </c>
      <c r="E123" s="41">
        <f t="shared" si="27"/>
        <v>5398</v>
      </c>
      <c r="F123" s="41">
        <f t="shared" si="27"/>
        <v>0</v>
      </c>
      <c r="G123" s="41">
        <f t="shared" si="27"/>
        <v>0</v>
      </c>
      <c r="H123" s="41">
        <f t="shared" si="27"/>
        <v>5398</v>
      </c>
      <c r="I123" s="41">
        <f t="shared" si="27"/>
        <v>0</v>
      </c>
      <c r="J123" s="41">
        <f t="shared" si="27"/>
        <v>0</v>
      </c>
      <c r="K123" s="41">
        <f t="shared" si="27"/>
        <v>5398</v>
      </c>
      <c r="L123" s="41">
        <f t="shared" si="27"/>
        <v>0</v>
      </c>
      <c r="M123" s="41">
        <f t="shared" si="27"/>
        <v>0</v>
      </c>
      <c r="N123" s="41">
        <f t="shared" si="27"/>
        <v>5398</v>
      </c>
      <c r="O123" s="41">
        <f t="shared" si="27"/>
        <v>0</v>
      </c>
      <c r="P123" s="41">
        <f t="shared" si="27"/>
        <v>0</v>
      </c>
      <c r="Q123" s="41">
        <f t="shared" si="27"/>
        <v>5398</v>
      </c>
    </row>
    <row r="124" spans="1:17" ht="15" customHeight="1">
      <c r="A124" s="6" t="s">
        <v>34</v>
      </c>
      <c r="B124" s="44">
        <f>SUM(B126:B129)</f>
        <v>3670</v>
      </c>
      <c r="C124" s="44">
        <f>SUM(C126:C129)</f>
        <v>1428</v>
      </c>
      <c r="D124" s="44">
        <f>SUM(D126:D129)</f>
        <v>300</v>
      </c>
      <c r="E124" s="44">
        <f>B124+C124+D124</f>
        <v>5398</v>
      </c>
      <c r="F124" s="44">
        <f>SUM(F126:F129)</f>
        <v>0</v>
      </c>
      <c r="G124" s="44">
        <f>SUM(G126:G129)</f>
        <v>0</v>
      </c>
      <c r="H124" s="44">
        <f>E124+F124+G124</f>
        <v>5398</v>
      </c>
      <c r="I124" s="44">
        <f>SUM(I126:I129)</f>
        <v>0</v>
      </c>
      <c r="J124" s="44">
        <f>SUM(J126:J129)</f>
        <v>0</v>
      </c>
      <c r="K124" s="44">
        <f>H124+I124+J124</f>
        <v>5398</v>
      </c>
      <c r="L124" s="44">
        <f>SUM(L126:L129)</f>
        <v>0</v>
      </c>
      <c r="M124" s="44">
        <f>SUM(M126:M129)</f>
        <v>0</v>
      </c>
      <c r="N124" s="44">
        <f>K124+L124+M124</f>
        <v>5398</v>
      </c>
      <c r="O124" s="44">
        <f>SUM(O126:O129)</f>
        <v>0</v>
      </c>
      <c r="P124" s="44">
        <f>SUM(P126:P129)</f>
        <v>0</v>
      </c>
      <c r="Q124" s="44">
        <f>N124+O124+P124</f>
        <v>5398</v>
      </c>
    </row>
    <row r="125" spans="1:17" ht="9.75" customHeight="1">
      <c r="A125" s="3" t="s">
        <v>1</v>
      </c>
      <c r="B125" s="42"/>
      <c r="C125" s="42"/>
      <c r="D125" s="42"/>
      <c r="E125" s="39"/>
      <c r="F125" s="42"/>
      <c r="G125" s="42"/>
      <c r="H125" s="39"/>
      <c r="I125" s="42"/>
      <c r="J125" s="42"/>
      <c r="K125" s="39"/>
      <c r="L125" s="42"/>
      <c r="M125" s="42"/>
      <c r="N125" s="39"/>
      <c r="O125" s="42"/>
      <c r="P125" s="42"/>
      <c r="Q125" s="39"/>
    </row>
    <row r="126" spans="1:17" ht="12.75" customHeight="1">
      <c r="A126" s="4" t="s">
        <v>9</v>
      </c>
      <c r="B126" s="42">
        <v>3670</v>
      </c>
      <c r="C126" s="42">
        <v>-1900</v>
      </c>
      <c r="D126" s="42">
        <v>300</v>
      </c>
      <c r="E126" s="42">
        <f>SUM(B126:D126)</f>
        <v>2070</v>
      </c>
      <c r="F126" s="42"/>
      <c r="G126" s="42"/>
      <c r="H126" s="42">
        <f>SUM(E126:G126)</f>
        <v>2070</v>
      </c>
      <c r="I126" s="42"/>
      <c r="J126" s="42"/>
      <c r="K126" s="42">
        <f>SUM(H126:J126)</f>
        <v>2070</v>
      </c>
      <c r="L126" s="42"/>
      <c r="M126" s="42"/>
      <c r="N126" s="42">
        <f>SUM(K126:M126)</f>
        <v>2070</v>
      </c>
      <c r="O126" s="42"/>
      <c r="P126" s="42"/>
      <c r="Q126" s="42">
        <f>SUM(N126:P126)</f>
        <v>2070</v>
      </c>
    </row>
    <row r="127" spans="1:17" ht="12.75" customHeight="1">
      <c r="A127" s="5" t="s">
        <v>33</v>
      </c>
      <c r="B127" s="42"/>
      <c r="C127" s="42">
        <f>57+1371</f>
        <v>1428</v>
      </c>
      <c r="D127" s="42"/>
      <c r="E127" s="42">
        <f>SUM(B127:D127)</f>
        <v>1428</v>
      </c>
      <c r="F127" s="42"/>
      <c r="G127" s="42"/>
      <c r="H127" s="42">
        <f>SUM(E127:G127)</f>
        <v>1428</v>
      </c>
      <c r="I127" s="42"/>
      <c r="J127" s="42"/>
      <c r="K127" s="42">
        <f>SUM(H127:J127)</f>
        <v>1428</v>
      </c>
      <c r="L127" s="42"/>
      <c r="M127" s="42"/>
      <c r="N127" s="42">
        <f>SUM(K127:M127)</f>
        <v>1428</v>
      </c>
      <c r="O127" s="42"/>
      <c r="P127" s="42"/>
      <c r="Q127" s="42">
        <f>SUM(N127:P127)</f>
        <v>1428</v>
      </c>
    </row>
    <row r="128" spans="1:17" ht="12.75" customHeight="1">
      <c r="A128" s="36" t="s">
        <v>125</v>
      </c>
      <c r="B128" s="46"/>
      <c r="C128" s="46">
        <v>1900</v>
      </c>
      <c r="D128" s="46"/>
      <c r="E128" s="46">
        <f>SUM(B128:D128)</f>
        <v>1900</v>
      </c>
      <c r="F128" s="46"/>
      <c r="G128" s="46"/>
      <c r="H128" s="46">
        <f>SUM(E128:G128)</f>
        <v>1900</v>
      </c>
      <c r="I128" s="42"/>
      <c r="J128" s="42"/>
      <c r="K128" s="42">
        <f>SUM(H128:J128)</f>
        <v>1900</v>
      </c>
      <c r="L128" s="42"/>
      <c r="M128" s="42"/>
      <c r="N128" s="42">
        <f>SUM(K128:M128)</f>
        <v>1900</v>
      </c>
      <c r="O128" s="42"/>
      <c r="P128" s="42"/>
      <c r="Q128" s="42">
        <f>SUM(N128:P128)</f>
        <v>1900</v>
      </c>
    </row>
    <row r="129" spans="1:17" ht="12.75" customHeight="1" hidden="1">
      <c r="A129" s="4" t="s">
        <v>41</v>
      </c>
      <c r="B129" s="42"/>
      <c r="C129" s="42"/>
      <c r="D129" s="42"/>
      <c r="E129" s="42">
        <f>SUM(B129:D129)</f>
        <v>0</v>
      </c>
      <c r="F129" s="42"/>
      <c r="G129" s="42"/>
      <c r="H129" s="42">
        <f>SUM(E129:G129)</f>
        <v>0</v>
      </c>
      <c r="I129" s="42"/>
      <c r="J129" s="42"/>
      <c r="K129" s="42">
        <f>SUM(H129:J129)</f>
        <v>0</v>
      </c>
      <c r="L129" s="42"/>
      <c r="M129" s="42"/>
      <c r="N129" s="42">
        <f>SUM(K129:M129)</f>
        <v>0</v>
      </c>
      <c r="O129" s="42"/>
      <c r="P129" s="42"/>
      <c r="Q129" s="42">
        <f>SUM(N129:P129)</f>
        <v>0</v>
      </c>
    </row>
    <row r="130" spans="1:17" ht="12.75" customHeight="1" hidden="1">
      <c r="A130" s="6" t="s">
        <v>35</v>
      </c>
      <c r="B130" s="44">
        <f>B132</f>
        <v>0</v>
      </c>
      <c r="C130" s="44">
        <f>C132</f>
        <v>0</v>
      </c>
      <c r="D130" s="44">
        <f>D132</f>
        <v>0</v>
      </c>
      <c r="E130" s="44">
        <f>B130+C130+D130</f>
        <v>0</v>
      </c>
      <c r="F130" s="44">
        <f>F132</f>
        <v>0</v>
      </c>
      <c r="G130" s="44">
        <f>G132</f>
        <v>0</v>
      </c>
      <c r="H130" s="44">
        <f>E130+F130+G130</f>
        <v>0</v>
      </c>
      <c r="I130" s="44">
        <f>I132</f>
        <v>0</v>
      </c>
      <c r="J130" s="44">
        <f>J132</f>
        <v>0</v>
      </c>
      <c r="K130" s="44">
        <f>H130+I130+J130</f>
        <v>0</v>
      </c>
      <c r="L130" s="44">
        <f>L132</f>
        <v>0</v>
      </c>
      <c r="M130" s="44">
        <f>M132</f>
        <v>0</v>
      </c>
      <c r="N130" s="44">
        <f>K130+L130+M130</f>
        <v>0</v>
      </c>
      <c r="O130" s="44">
        <f>O132</f>
        <v>0</v>
      </c>
      <c r="P130" s="44">
        <f>P132</f>
        <v>0</v>
      </c>
      <c r="Q130" s="44">
        <f>N130+O130+P130</f>
        <v>0</v>
      </c>
    </row>
    <row r="131" spans="1:17" ht="12.75" customHeight="1" hidden="1">
      <c r="A131" s="3" t="s">
        <v>1</v>
      </c>
      <c r="B131" s="42"/>
      <c r="C131" s="42"/>
      <c r="D131" s="42"/>
      <c r="E131" s="39"/>
      <c r="F131" s="42"/>
      <c r="G131" s="42"/>
      <c r="H131" s="39"/>
      <c r="I131" s="42"/>
      <c r="J131" s="42"/>
      <c r="K131" s="39"/>
      <c r="L131" s="42"/>
      <c r="M131" s="42"/>
      <c r="N131" s="39"/>
      <c r="O131" s="42"/>
      <c r="P131" s="42"/>
      <c r="Q131" s="39"/>
    </row>
    <row r="132" spans="1:17" ht="12.75" customHeight="1" hidden="1">
      <c r="A132" s="36" t="s">
        <v>41</v>
      </c>
      <c r="B132" s="46"/>
      <c r="C132" s="46"/>
      <c r="D132" s="46"/>
      <c r="E132" s="46">
        <f>SUM(B132:D132)</f>
        <v>0</v>
      </c>
      <c r="F132" s="46"/>
      <c r="G132" s="46"/>
      <c r="H132" s="46">
        <f>SUM(E132:G132)</f>
        <v>0</v>
      </c>
      <c r="I132" s="46"/>
      <c r="J132" s="46"/>
      <c r="K132" s="46">
        <f>SUM(H132:J132)</f>
        <v>0</v>
      </c>
      <c r="L132" s="46"/>
      <c r="M132" s="46"/>
      <c r="N132" s="46">
        <f>SUM(K132:M132)</f>
        <v>0</v>
      </c>
      <c r="O132" s="46"/>
      <c r="P132" s="46"/>
      <c r="Q132" s="46">
        <f>SUM(N132:P132)</f>
        <v>0</v>
      </c>
    </row>
    <row r="133" spans="1:17" ht="18.75" customHeight="1">
      <c r="A133" s="2" t="s">
        <v>16</v>
      </c>
      <c r="B133" s="39">
        <f>B134+B144</f>
        <v>939417</v>
      </c>
      <c r="C133" s="39">
        <f>C134+C144</f>
        <v>23853.899999999998</v>
      </c>
      <c r="D133" s="39">
        <f>D134+D144</f>
        <v>164569</v>
      </c>
      <c r="E133" s="39">
        <f>B133+C133+D133</f>
        <v>1127839.9</v>
      </c>
      <c r="F133" s="39">
        <f>F134+F144</f>
        <v>1067.5</v>
      </c>
      <c r="G133" s="39">
        <f>G134+G144</f>
        <v>0</v>
      </c>
      <c r="H133" s="39">
        <f>E133+F133+G133</f>
        <v>1128907.4</v>
      </c>
      <c r="I133" s="39">
        <f>I134+I144</f>
        <v>0</v>
      </c>
      <c r="J133" s="39">
        <f>J134+J144</f>
        <v>0</v>
      </c>
      <c r="K133" s="39">
        <f>H133+I133+J133</f>
        <v>1128907.4</v>
      </c>
      <c r="L133" s="39">
        <f>L134+L144</f>
        <v>0</v>
      </c>
      <c r="M133" s="39">
        <f>M134+M144</f>
        <v>0</v>
      </c>
      <c r="N133" s="39">
        <f>K133+L133+M133</f>
        <v>1128907.4</v>
      </c>
      <c r="O133" s="39">
        <f>O134+O144</f>
        <v>0</v>
      </c>
      <c r="P133" s="39">
        <f>P134+P144</f>
        <v>0</v>
      </c>
      <c r="Q133" s="39">
        <f>N133+O133+P133</f>
        <v>1128907.4</v>
      </c>
    </row>
    <row r="134" spans="1:17" ht="12.75" customHeight="1">
      <c r="A134" s="6" t="s">
        <v>34</v>
      </c>
      <c r="B134" s="44">
        <f>SUM(B137:B143)</f>
        <v>939417</v>
      </c>
      <c r="C134" s="44">
        <f>SUM(C137:C143)</f>
        <v>0</v>
      </c>
      <c r="D134" s="44">
        <f>SUM(D137:D143)</f>
        <v>156469</v>
      </c>
      <c r="E134" s="44">
        <f>B134+C134+D134</f>
        <v>1095886</v>
      </c>
      <c r="F134" s="44">
        <f>SUM(F137:F143)</f>
        <v>0</v>
      </c>
      <c r="G134" s="44">
        <f>SUM(G137:G143)</f>
        <v>0</v>
      </c>
      <c r="H134" s="44">
        <f>E134+F134+G134</f>
        <v>1095886</v>
      </c>
      <c r="I134" s="44">
        <f>SUM(I137:I143)</f>
        <v>0</v>
      </c>
      <c r="J134" s="44">
        <f>SUM(J137:J143)</f>
        <v>0</v>
      </c>
      <c r="K134" s="44">
        <f>H134+I134+J134</f>
        <v>1095886</v>
      </c>
      <c r="L134" s="44">
        <f>SUM(L137:L143)</f>
        <v>0</v>
      </c>
      <c r="M134" s="44">
        <f>SUM(M137:M143)</f>
        <v>0</v>
      </c>
      <c r="N134" s="44">
        <f>K134+L134+M134</f>
        <v>1095886</v>
      </c>
      <c r="O134" s="44">
        <f>SUM(O137:O143)</f>
        <v>0</v>
      </c>
      <c r="P134" s="44">
        <f>SUM(P137:P143)</f>
        <v>0</v>
      </c>
      <c r="Q134" s="44">
        <f>N134+O134+P134</f>
        <v>1095886</v>
      </c>
    </row>
    <row r="135" spans="1:17" ht="10.5" customHeight="1">
      <c r="A135" s="3" t="s">
        <v>1</v>
      </c>
      <c r="B135" s="42"/>
      <c r="C135" s="42"/>
      <c r="D135" s="42"/>
      <c r="E135" s="39"/>
      <c r="F135" s="42"/>
      <c r="G135" s="42"/>
      <c r="H135" s="39"/>
      <c r="I135" s="42"/>
      <c r="J135" s="42"/>
      <c r="K135" s="39"/>
      <c r="L135" s="42"/>
      <c r="M135" s="42"/>
      <c r="N135" s="39"/>
      <c r="O135" s="42"/>
      <c r="P135" s="42"/>
      <c r="Q135" s="39"/>
    </row>
    <row r="136" spans="1:17" ht="12.75" customHeight="1">
      <c r="A136" s="5" t="s">
        <v>36</v>
      </c>
      <c r="B136" s="42">
        <f>B137+B138</f>
        <v>500231</v>
      </c>
      <c r="C136" s="42">
        <f aca="true" t="shared" si="28" ref="C136:H136">C137+C138</f>
        <v>0</v>
      </c>
      <c r="D136" s="42">
        <f t="shared" si="28"/>
        <v>64569</v>
      </c>
      <c r="E136" s="42">
        <f t="shared" si="28"/>
        <v>564800</v>
      </c>
      <c r="F136" s="42">
        <f t="shared" si="28"/>
        <v>0</v>
      </c>
      <c r="G136" s="42">
        <f t="shared" si="28"/>
        <v>0</v>
      </c>
      <c r="H136" s="42">
        <f t="shared" si="28"/>
        <v>564800</v>
      </c>
      <c r="I136" s="42"/>
      <c r="J136" s="42"/>
      <c r="K136" s="39"/>
      <c r="L136" s="42"/>
      <c r="M136" s="42"/>
      <c r="N136" s="39"/>
      <c r="O136" s="42"/>
      <c r="P136" s="42"/>
      <c r="Q136" s="39"/>
    </row>
    <row r="137" spans="1:17" ht="12.75" customHeight="1">
      <c r="A137" s="5" t="s">
        <v>224</v>
      </c>
      <c r="B137" s="77">
        <v>202696</v>
      </c>
      <c r="C137" s="77"/>
      <c r="D137" s="77">
        <v>34604</v>
      </c>
      <c r="E137" s="77">
        <f aca="true" t="shared" si="29" ref="E137:E144">B137+C137+D137</f>
        <v>237300</v>
      </c>
      <c r="F137" s="77"/>
      <c r="G137" s="77"/>
      <c r="H137" s="77">
        <f aca="true" t="shared" si="30" ref="H137:H144">E137+F137+G137</f>
        <v>237300</v>
      </c>
      <c r="I137" s="42"/>
      <c r="J137" s="42"/>
      <c r="K137" s="42">
        <f aca="true" t="shared" si="31" ref="K137:K144">H137+I137+J137</f>
        <v>237300</v>
      </c>
      <c r="L137" s="42"/>
      <c r="M137" s="42"/>
      <c r="N137" s="42">
        <f aca="true" t="shared" si="32" ref="N137:N144">K137+L137+M137</f>
        <v>237300</v>
      </c>
      <c r="O137" s="42"/>
      <c r="P137" s="42"/>
      <c r="Q137" s="42">
        <f aca="true" t="shared" si="33" ref="Q137:Q144">N137+O137+P137</f>
        <v>237300</v>
      </c>
    </row>
    <row r="138" spans="1:17" ht="12.75" customHeight="1">
      <c r="A138" s="4" t="s">
        <v>225</v>
      </c>
      <c r="B138" s="77">
        <v>297535</v>
      </c>
      <c r="C138" s="77"/>
      <c r="D138" s="77">
        <v>29965</v>
      </c>
      <c r="E138" s="77">
        <f t="shared" si="29"/>
        <v>327500</v>
      </c>
      <c r="F138" s="77"/>
      <c r="G138" s="77"/>
      <c r="H138" s="77">
        <f t="shared" si="30"/>
        <v>327500</v>
      </c>
      <c r="I138" s="42"/>
      <c r="J138" s="42"/>
      <c r="K138" s="42">
        <f t="shared" si="31"/>
        <v>327500</v>
      </c>
      <c r="L138" s="42"/>
      <c r="M138" s="42"/>
      <c r="N138" s="42">
        <f t="shared" si="32"/>
        <v>327500</v>
      </c>
      <c r="O138" s="42"/>
      <c r="P138" s="42"/>
      <c r="Q138" s="42">
        <f t="shared" si="33"/>
        <v>327500</v>
      </c>
    </row>
    <row r="139" spans="1:17" ht="12.75" customHeight="1">
      <c r="A139" s="7" t="s">
        <v>18</v>
      </c>
      <c r="B139" s="47">
        <v>10000</v>
      </c>
      <c r="C139" s="47"/>
      <c r="D139" s="47"/>
      <c r="E139" s="42">
        <f t="shared" si="29"/>
        <v>10000</v>
      </c>
      <c r="F139" s="47"/>
      <c r="G139" s="47"/>
      <c r="H139" s="42">
        <f t="shared" si="30"/>
        <v>10000</v>
      </c>
      <c r="I139" s="47"/>
      <c r="J139" s="47"/>
      <c r="K139" s="42">
        <f t="shared" si="31"/>
        <v>10000</v>
      </c>
      <c r="L139" s="47"/>
      <c r="M139" s="47"/>
      <c r="N139" s="42">
        <f t="shared" si="32"/>
        <v>10000</v>
      </c>
      <c r="O139" s="47"/>
      <c r="P139" s="47"/>
      <c r="Q139" s="42">
        <f t="shared" si="33"/>
        <v>10000</v>
      </c>
    </row>
    <row r="140" spans="1:17" ht="12.75" customHeight="1">
      <c r="A140" s="4" t="s">
        <v>128</v>
      </c>
      <c r="B140" s="42">
        <v>0</v>
      </c>
      <c r="C140" s="42">
        <v>2400</v>
      </c>
      <c r="D140" s="42"/>
      <c r="E140" s="42">
        <f t="shared" si="29"/>
        <v>2400</v>
      </c>
      <c r="F140" s="42"/>
      <c r="G140" s="42"/>
      <c r="H140" s="42">
        <f t="shared" si="30"/>
        <v>2400</v>
      </c>
      <c r="I140" s="42"/>
      <c r="J140" s="42"/>
      <c r="K140" s="42">
        <f t="shared" si="31"/>
        <v>2400</v>
      </c>
      <c r="L140" s="42"/>
      <c r="M140" s="42"/>
      <c r="N140" s="42">
        <f t="shared" si="32"/>
        <v>2400</v>
      </c>
      <c r="O140" s="42"/>
      <c r="P140" s="42"/>
      <c r="Q140" s="42">
        <f t="shared" si="33"/>
        <v>2400</v>
      </c>
    </row>
    <row r="141" spans="1:17" ht="12.75" customHeight="1">
      <c r="A141" s="4" t="s">
        <v>222</v>
      </c>
      <c r="B141" s="42"/>
      <c r="C141" s="42"/>
      <c r="D141" s="42">
        <v>30000</v>
      </c>
      <c r="E141" s="42">
        <f t="shared" si="29"/>
        <v>30000</v>
      </c>
      <c r="F141" s="42"/>
      <c r="G141" s="42"/>
      <c r="H141" s="42">
        <f t="shared" si="30"/>
        <v>30000</v>
      </c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ht="12.75" customHeight="1">
      <c r="A142" s="4" t="s">
        <v>107</v>
      </c>
      <c r="B142" s="42">
        <v>67796</v>
      </c>
      <c r="C142" s="42"/>
      <c r="D142" s="42"/>
      <c r="E142" s="42">
        <f t="shared" si="29"/>
        <v>67796</v>
      </c>
      <c r="F142" s="42"/>
      <c r="G142" s="42"/>
      <c r="H142" s="42">
        <f t="shared" si="30"/>
        <v>67796</v>
      </c>
      <c r="I142" s="42"/>
      <c r="J142" s="42"/>
      <c r="K142" s="42">
        <f t="shared" si="31"/>
        <v>67796</v>
      </c>
      <c r="L142" s="42"/>
      <c r="M142" s="42"/>
      <c r="N142" s="42">
        <f t="shared" si="32"/>
        <v>67796</v>
      </c>
      <c r="O142" s="42"/>
      <c r="P142" s="42"/>
      <c r="Q142" s="42">
        <f t="shared" si="33"/>
        <v>67796</v>
      </c>
    </row>
    <row r="143" spans="1:17" ht="12.75" customHeight="1">
      <c r="A143" s="4" t="s">
        <v>9</v>
      </c>
      <c r="B143" s="42">
        <v>361390</v>
      </c>
      <c r="C143" s="42">
        <v>-2400</v>
      </c>
      <c r="D143" s="42">
        <v>61900</v>
      </c>
      <c r="E143" s="42">
        <f t="shared" si="29"/>
        <v>420890</v>
      </c>
      <c r="F143" s="42"/>
      <c r="G143" s="42"/>
      <c r="H143" s="42">
        <f t="shared" si="30"/>
        <v>420890</v>
      </c>
      <c r="I143" s="42"/>
      <c r="J143" s="42"/>
      <c r="K143" s="42">
        <f t="shared" si="31"/>
        <v>420890</v>
      </c>
      <c r="L143" s="42"/>
      <c r="M143" s="42"/>
      <c r="N143" s="42">
        <f t="shared" si="32"/>
        <v>420890</v>
      </c>
      <c r="O143" s="42"/>
      <c r="P143" s="42"/>
      <c r="Q143" s="42">
        <f t="shared" si="33"/>
        <v>420890</v>
      </c>
    </row>
    <row r="144" spans="1:17" ht="13.5" customHeight="1">
      <c r="A144" s="13" t="s">
        <v>35</v>
      </c>
      <c r="B144" s="45">
        <f>SUM(B146:B154)</f>
        <v>0</v>
      </c>
      <c r="C144" s="45">
        <f>SUM(C146:C154)</f>
        <v>23853.899999999998</v>
      </c>
      <c r="D144" s="45">
        <f>SUM(D146:D154)</f>
        <v>8100</v>
      </c>
      <c r="E144" s="45">
        <f t="shared" si="29"/>
        <v>31953.899999999998</v>
      </c>
      <c r="F144" s="45">
        <f>SUM(F146:F154)</f>
        <v>1067.5</v>
      </c>
      <c r="G144" s="45">
        <f>SUM(G146:G154)</f>
        <v>0</v>
      </c>
      <c r="H144" s="45">
        <f t="shared" si="30"/>
        <v>33021.399999999994</v>
      </c>
      <c r="I144" s="45">
        <f>SUM(I146:I154)</f>
        <v>0</v>
      </c>
      <c r="J144" s="45">
        <f>SUM(J146:J154)</f>
        <v>0</v>
      </c>
      <c r="K144" s="45">
        <f t="shared" si="31"/>
        <v>33021.399999999994</v>
      </c>
      <c r="L144" s="45">
        <f>SUM(L146:L154)</f>
        <v>0</v>
      </c>
      <c r="M144" s="45">
        <f>SUM(M146:M154)</f>
        <v>0</v>
      </c>
      <c r="N144" s="45">
        <f t="shared" si="32"/>
        <v>33021.399999999994</v>
      </c>
      <c r="O144" s="45">
        <f>SUM(O146:O154)</f>
        <v>0</v>
      </c>
      <c r="P144" s="45">
        <f>SUM(P146:P154)</f>
        <v>0</v>
      </c>
      <c r="Q144" s="45">
        <f t="shared" si="33"/>
        <v>33021.399999999994</v>
      </c>
    </row>
    <row r="145" spans="1:17" ht="10.5" customHeight="1">
      <c r="A145" s="10" t="s">
        <v>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 ht="12.75" customHeight="1">
      <c r="A146" s="8" t="s">
        <v>38</v>
      </c>
      <c r="B146" s="40"/>
      <c r="C146" s="40"/>
      <c r="D146" s="40">
        <v>8100</v>
      </c>
      <c r="E146" s="42">
        <f aca="true" t="shared" si="34" ref="E146:E154">B146+C146+D146</f>
        <v>8100</v>
      </c>
      <c r="F146" s="40"/>
      <c r="G146" s="40"/>
      <c r="H146" s="42">
        <f>E146+F146+G146</f>
        <v>8100</v>
      </c>
      <c r="I146" s="40"/>
      <c r="J146" s="40"/>
      <c r="K146" s="42">
        <f>H146+I146+J146</f>
        <v>8100</v>
      </c>
      <c r="L146" s="40"/>
      <c r="M146" s="40"/>
      <c r="N146" s="42">
        <f>K146+L146+M146</f>
        <v>8100</v>
      </c>
      <c r="O146" s="40"/>
      <c r="P146" s="40"/>
      <c r="Q146" s="42">
        <f>N146+O146+P146</f>
        <v>8100</v>
      </c>
    </row>
    <row r="147" spans="1:17" ht="12.75" customHeight="1" hidden="1">
      <c r="A147" s="8" t="s">
        <v>219</v>
      </c>
      <c r="B147" s="40"/>
      <c r="C147" s="40"/>
      <c r="D147" s="40"/>
      <c r="E147" s="42">
        <f t="shared" si="34"/>
        <v>0</v>
      </c>
      <c r="F147" s="40"/>
      <c r="G147" s="40"/>
      <c r="H147" s="42">
        <f>E147+F147+G147</f>
        <v>0</v>
      </c>
      <c r="I147" s="40"/>
      <c r="J147" s="40"/>
      <c r="K147" s="42">
        <f>H147+I147+J147</f>
        <v>0</v>
      </c>
      <c r="L147" s="40"/>
      <c r="M147" s="40"/>
      <c r="N147" s="42">
        <f>K147+L147+M147</f>
        <v>0</v>
      </c>
      <c r="O147" s="40"/>
      <c r="P147" s="40"/>
      <c r="Q147" s="42">
        <f>N147+O147+P147</f>
        <v>0</v>
      </c>
    </row>
    <row r="148" spans="1:17" ht="12.75" customHeight="1">
      <c r="A148" s="8" t="s">
        <v>232</v>
      </c>
      <c r="B148" s="40"/>
      <c r="C148" s="40"/>
      <c r="D148" s="40"/>
      <c r="E148" s="42"/>
      <c r="F148" s="40">
        <v>130</v>
      </c>
      <c r="G148" s="40"/>
      <c r="H148" s="42">
        <f>E148+F148+G148</f>
        <v>130</v>
      </c>
      <c r="I148" s="40"/>
      <c r="J148" s="40"/>
      <c r="K148" s="42"/>
      <c r="L148" s="40"/>
      <c r="M148" s="40"/>
      <c r="N148" s="42"/>
      <c r="O148" s="40"/>
      <c r="P148" s="40"/>
      <c r="Q148" s="42"/>
    </row>
    <row r="149" spans="1:17" ht="12.75" customHeight="1">
      <c r="A149" s="8" t="s">
        <v>199</v>
      </c>
      <c r="B149" s="40"/>
      <c r="C149" s="40">
        <f>18264.6+2756</f>
        <v>21020.6</v>
      </c>
      <c r="D149" s="40"/>
      <c r="E149" s="42">
        <f t="shared" si="34"/>
        <v>21020.6</v>
      </c>
      <c r="F149" s="40">
        <v>937.5</v>
      </c>
      <c r="G149" s="40"/>
      <c r="H149" s="42">
        <f>E149+F149+G149</f>
        <v>21958.1</v>
      </c>
      <c r="I149" s="40"/>
      <c r="J149" s="40"/>
      <c r="K149" s="42"/>
      <c r="L149" s="40"/>
      <c r="M149" s="40"/>
      <c r="N149" s="42"/>
      <c r="O149" s="40"/>
      <c r="P149" s="40"/>
      <c r="Q149" s="42">
        <f>N149+O149+P149</f>
        <v>0</v>
      </c>
    </row>
    <row r="150" spans="1:17" ht="12.75" customHeight="1">
      <c r="A150" s="67" t="s">
        <v>218</v>
      </c>
      <c r="B150" s="48"/>
      <c r="C150" s="48">
        <v>2833.3</v>
      </c>
      <c r="D150" s="48"/>
      <c r="E150" s="46">
        <f t="shared" si="34"/>
        <v>2833.3</v>
      </c>
      <c r="F150" s="48"/>
      <c r="G150" s="48"/>
      <c r="H150" s="46">
        <f>E150+F150+G150</f>
        <v>2833.3</v>
      </c>
      <c r="I150" s="40"/>
      <c r="J150" s="40"/>
      <c r="K150" s="42"/>
      <c r="L150" s="40"/>
      <c r="M150" s="40"/>
      <c r="N150" s="42"/>
      <c r="O150" s="40"/>
      <c r="P150" s="40"/>
      <c r="Q150" s="42"/>
    </row>
    <row r="151" spans="1:17" ht="12.75" customHeight="1" hidden="1">
      <c r="A151" s="8" t="s">
        <v>200</v>
      </c>
      <c r="B151" s="40"/>
      <c r="C151" s="40"/>
      <c r="D151" s="40"/>
      <c r="E151" s="42">
        <f t="shared" si="34"/>
        <v>0</v>
      </c>
      <c r="F151" s="40"/>
      <c r="G151" s="40"/>
      <c r="H151" s="42"/>
      <c r="I151" s="40"/>
      <c r="J151" s="40"/>
      <c r="K151" s="42"/>
      <c r="L151" s="40"/>
      <c r="M151" s="40"/>
      <c r="N151" s="42"/>
      <c r="O151" s="40"/>
      <c r="P151" s="40"/>
      <c r="Q151" s="42">
        <f>N151+O151+P151</f>
        <v>0</v>
      </c>
    </row>
    <row r="152" spans="1:17" ht="12.75" customHeight="1" hidden="1">
      <c r="A152" s="37" t="s">
        <v>149</v>
      </c>
      <c r="B152" s="48"/>
      <c r="C152" s="48"/>
      <c r="D152" s="48"/>
      <c r="E152" s="46">
        <f t="shared" si="34"/>
        <v>0</v>
      </c>
      <c r="F152" s="48"/>
      <c r="G152" s="48"/>
      <c r="H152" s="46">
        <f>E152+F152+G152</f>
        <v>0</v>
      </c>
      <c r="I152" s="48"/>
      <c r="J152" s="48"/>
      <c r="K152" s="46">
        <f>H152+I152+J152</f>
        <v>0</v>
      </c>
      <c r="L152" s="48"/>
      <c r="M152" s="48"/>
      <c r="N152" s="46">
        <f>K152+L152+M152</f>
        <v>0</v>
      </c>
      <c r="O152" s="48"/>
      <c r="P152" s="48"/>
      <c r="Q152" s="46">
        <f>N152+O152+P152</f>
        <v>0</v>
      </c>
    </row>
    <row r="153" spans="1:17" ht="12.75" customHeight="1" hidden="1">
      <c r="A153" s="8" t="s">
        <v>103</v>
      </c>
      <c r="B153" s="40"/>
      <c r="C153" s="40"/>
      <c r="D153" s="40"/>
      <c r="E153" s="42">
        <f t="shared" si="34"/>
        <v>0</v>
      </c>
      <c r="F153" s="40"/>
      <c r="G153" s="40"/>
      <c r="H153" s="42">
        <f>E153+F153+G153</f>
        <v>0</v>
      </c>
      <c r="I153" s="40"/>
      <c r="J153" s="40"/>
      <c r="K153" s="42">
        <f>H153+I153+J153</f>
        <v>0</v>
      </c>
      <c r="L153" s="40"/>
      <c r="M153" s="40"/>
      <c r="N153" s="42">
        <f>K153+L153+M153</f>
        <v>0</v>
      </c>
      <c r="O153" s="40"/>
      <c r="P153" s="40"/>
      <c r="Q153" s="42">
        <f>N153+O153+P153</f>
        <v>0</v>
      </c>
    </row>
    <row r="154" spans="1:17" ht="12.75" customHeight="1" hidden="1">
      <c r="A154" s="8" t="s">
        <v>52</v>
      </c>
      <c r="B154" s="40"/>
      <c r="C154" s="40"/>
      <c r="D154" s="40"/>
      <c r="E154" s="42">
        <f t="shared" si="34"/>
        <v>0</v>
      </c>
      <c r="F154" s="40"/>
      <c r="G154" s="40"/>
      <c r="H154" s="42">
        <f>E154+F154+G154</f>
        <v>0</v>
      </c>
      <c r="I154" s="40"/>
      <c r="J154" s="40"/>
      <c r="K154" s="42">
        <f>H154+I154+J154</f>
        <v>0</v>
      </c>
      <c r="L154" s="40"/>
      <c r="M154" s="40"/>
      <c r="N154" s="42">
        <f>K154+L154+M154</f>
        <v>0</v>
      </c>
      <c r="O154" s="40"/>
      <c r="P154" s="40"/>
      <c r="Q154" s="42">
        <f>N154+O154+P154</f>
        <v>0</v>
      </c>
    </row>
    <row r="155" spans="1:17" ht="12.75" customHeight="1" hidden="1">
      <c r="A155" s="8" t="s">
        <v>74</v>
      </c>
      <c r="B155" s="40"/>
      <c r="C155" s="40"/>
      <c r="D155" s="40"/>
      <c r="E155" s="42">
        <f>B155+C155</f>
        <v>0</v>
      </c>
      <c r="F155" s="40"/>
      <c r="G155" s="40"/>
      <c r="H155" s="42">
        <f>E155+F155</f>
        <v>0</v>
      </c>
      <c r="I155" s="40"/>
      <c r="J155" s="40"/>
      <c r="K155" s="42">
        <f>H155+I155</f>
        <v>0</v>
      </c>
      <c r="L155" s="40"/>
      <c r="M155" s="40"/>
      <c r="N155" s="42">
        <f>K155+L155</f>
        <v>0</v>
      </c>
      <c r="O155" s="40"/>
      <c r="P155" s="40"/>
      <c r="Q155" s="42">
        <f>N155+O155</f>
        <v>0</v>
      </c>
    </row>
    <row r="156" spans="1:17" ht="18.75" customHeight="1">
      <c r="A156" s="2" t="s">
        <v>84</v>
      </c>
      <c r="B156" s="39">
        <f aca="true" t="shared" si="35" ref="B156:Q156">B157</f>
        <v>7000</v>
      </c>
      <c r="C156" s="39">
        <f t="shared" si="35"/>
        <v>0</v>
      </c>
      <c r="D156" s="39">
        <f t="shared" si="35"/>
        <v>0</v>
      </c>
      <c r="E156" s="39">
        <f t="shared" si="35"/>
        <v>7000</v>
      </c>
      <c r="F156" s="39">
        <f t="shared" si="35"/>
        <v>4400</v>
      </c>
      <c r="G156" s="39">
        <f t="shared" si="35"/>
        <v>0</v>
      </c>
      <c r="H156" s="39">
        <f t="shared" si="35"/>
        <v>11400</v>
      </c>
      <c r="I156" s="39">
        <f t="shared" si="35"/>
        <v>0</v>
      </c>
      <c r="J156" s="39">
        <f t="shared" si="35"/>
        <v>0</v>
      </c>
      <c r="K156" s="39">
        <f t="shared" si="35"/>
        <v>11400</v>
      </c>
      <c r="L156" s="39">
        <f t="shared" si="35"/>
        <v>0</v>
      </c>
      <c r="M156" s="39">
        <f t="shared" si="35"/>
        <v>0</v>
      </c>
      <c r="N156" s="39">
        <f t="shared" si="35"/>
        <v>11400</v>
      </c>
      <c r="O156" s="39">
        <f t="shared" si="35"/>
        <v>0</v>
      </c>
      <c r="P156" s="39">
        <f t="shared" si="35"/>
        <v>0</v>
      </c>
      <c r="Q156" s="39">
        <f t="shared" si="35"/>
        <v>11400</v>
      </c>
    </row>
    <row r="157" spans="1:17" ht="15" customHeight="1">
      <c r="A157" s="6" t="s">
        <v>34</v>
      </c>
      <c r="B157" s="44">
        <f>SUM(B159:B160)</f>
        <v>7000</v>
      </c>
      <c r="C157" s="44">
        <f>SUM(C159:C159)</f>
        <v>0</v>
      </c>
      <c r="D157" s="44">
        <f>SUM(D159:D159)</f>
        <v>0</v>
      </c>
      <c r="E157" s="44">
        <f>B157+C157</f>
        <v>7000</v>
      </c>
      <c r="F157" s="44">
        <f>SUM(F159:F160)</f>
        <v>4400</v>
      </c>
      <c r="G157" s="44">
        <f>SUM(G159:G160)</f>
        <v>0</v>
      </c>
      <c r="H157" s="44">
        <f>E157+F157+G157</f>
        <v>11400</v>
      </c>
      <c r="I157" s="44">
        <f>SUM(I159:I160)</f>
        <v>0</v>
      </c>
      <c r="J157" s="44">
        <f>SUM(J159:J160)</f>
        <v>0</v>
      </c>
      <c r="K157" s="44">
        <f>H157+I157+J157</f>
        <v>11400</v>
      </c>
      <c r="L157" s="44">
        <f>SUM(L159:L160)</f>
        <v>0</v>
      </c>
      <c r="M157" s="44">
        <f>SUM(M159:M160)</f>
        <v>0</v>
      </c>
      <c r="N157" s="44">
        <f>K157+L157+M157</f>
        <v>11400</v>
      </c>
      <c r="O157" s="44">
        <f>SUM(O159:O160)</f>
        <v>0</v>
      </c>
      <c r="P157" s="44">
        <f>SUM(P159:P160)</f>
        <v>0</v>
      </c>
      <c r="Q157" s="44">
        <f>N157+O157+P157</f>
        <v>11400</v>
      </c>
    </row>
    <row r="158" spans="1:17" ht="10.5" customHeight="1">
      <c r="A158" s="3" t="s">
        <v>1</v>
      </c>
      <c r="B158" s="42"/>
      <c r="C158" s="42"/>
      <c r="D158" s="42"/>
      <c r="E158" s="39"/>
      <c r="F158" s="42"/>
      <c r="G158" s="42"/>
      <c r="H158" s="39"/>
      <c r="I158" s="42"/>
      <c r="J158" s="42"/>
      <c r="K158" s="39"/>
      <c r="L158" s="42"/>
      <c r="M158" s="42"/>
      <c r="N158" s="39"/>
      <c r="O158" s="42"/>
      <c r="P158" s="42"/>
      <c r="Q158" s="39"/>
    </row>
    <row r="159" spans="1:17" ht="12.75" customHeight="1">
      <c r="A159" s="8" t="s">
        <v>9</v>
      </c>
      <c r="B159" s="40">
        <v>7000</v>
      </c>
      <c r="C159" s="40"/>
      <c r="D159" s="40"/>
      <c r="E159" s="42">
        <f>B159+C159+D159</f>
        <v>7000</v>
      </c>
      <c r="F159" s="40">
        <v>1400</v>
      </c>
      <c r="G159" s="40"/>
      <c r="H159" s="42">
        <f>E159+F159+G159</f>
        <v>8400</v>
      </c>
      <c r="I159" s="40"/>
      <c r="J159" s="40"/>
      <c r="K159" s="40">
        <f>H159+I159+J159</f>
        <v>8400</v>
      </c>
      <c r="L159" s="40"/>
      <c r="M159" s="40"/>
      <c r="N159" s="40">
        <f>K159+L159+M159</f>
        <v>8400</v>
      </c>
      <c r="O159" s="40"/>
      <c r="P159" s="40"/>
      <c r="Q159" s="40">
        <f>N159+O159+P159</f>
        <v>8400</v>
      </c>
    </row>
    <row r="160" spans="1:17" ht="12.75" customHeight="1">
      <c r="A160" s="37" t="s">
        <v>41</v>
      </c>
      <c r="B160" s="48"/>
      <c r="C160" s="48"/>
      <c r="D160" s="48"/>
      <c r="E160" s="46"/>
      <c r="F160" s="48">
        <v>3000</v>
      </c>
      <c r="G160" s="48"/>
      <c r="H160" s="46">
        <f>E160+F160+G160</f>
        <v>3000</v>
      </c>
      <c r="I160" s="48"/>
      <c r="J160" s="48"/>
      <c r="K160" s="46">
        <f>H160+I160+J160</f>
        <v>3000</v>
      </c>
      <c r="L160" s="48"/>
      <c r="M160" s="48"/>
      <c r="N160" s="46">
        <f>K160+L160+M160</f>
        <v>3000</v>
      </c>
      <c r="O160" s="48"/>
      <c r="P160" s="48"/>
      <c r="Q160" s="46">
        <f>N160+O160+P160</f>
        <v>3000</v>
      </c>
    </row>
    <row r="161" spans="1:17" ht="16.5" customHeight="1">
      <c r="A161" s="12" t="s">
        <v>63</v>
      </c>
      <c r="B161" s="41">
        <f aca="true" t="shared" si="36" ref="B161:Q161">B162+B168</f>
        <v>63986</v>
      </c>
      <c r="C161" s="41">
        <f t="shared" si="36"/>
        <v>0</v>
      </c>
      <c r="D161" s="41">
        <f t="shared" si="36"/>
        <v>16000</v>
      </c>
      <c r="E161" s="41">
        <f t="shared" si="36"/>
        <v>79986</v>
      </c>
      <c r="F161" s="41">
        <f t="shared" si="36"/>
        <v>0</v>
      </c>
      <c r="G161" s="41">
        <f t="shared" si="36"/>
        <v>0</v>
      </c>
      <c r="H161" s="41">
        <f t="shared" si="36"/>
        <v>79986</v>
      </c>
      <c r="I161" s="41">
        <f t="shared" si="36"/>
        <v>0</v>
      </c>
      <c r="J161" s="41">
        <f t="shared" si="36"/>
        <v>0</v>
      </c>
      <c r="K161" s="41">
        <f t="shared" si="36"/>
        <v>79986</v>
      </c>
      <c r="L161" s="41">
        <f t="shared" si="36"/>
        <v>0</v>
      </c>
      <c r="M161" s="41">
        <f t="shared" si="36"/>
        <v>0</v>
      </c>
      <c r="N161" s="41">
        <f t="shared" si="36"/>
        <v>79986</v>
      </c>
      <c r="O161" s="41">
        <f t="shared" si="36"/>
        <v>0</v>
      </c>
      <c r="P161" s="41">
        <f t="shared" si="36"/>
        <v>0</v>
      </c>
      <c r="Q161" s="41">
        <f t="shared" si="36"/>
        <v>79986</v>
      </c>
    </row>
    <row r="162" spans="1:17" ht="15" customHeight="1">
      <c r="A162" s="6" t="s">
        <v>34</v>
      </c>
      <c r="B162" s="44">
        <f>SUM(B164:B167)</f>
        <v>59236</v>
      </c>
      <c r="C162" s="44">
        <f>SUM(C164:C166)</f>
        <v>0</v>
      </c>
      <c r="D162" s="44">
        <f>SUM(D164:D166)</f>
        <v>3000</v>
      </c>
      <c r="E162" s="44">
        <f>B162+C162+D162</f>
        <v>62236</v>
      </c>
      <c r="F162" s="44">
        <f>SUM(F164:F166)</f>
        <v>0</v>
      </c>
      <c r="G162" s="44">
        <f>SUM(G164:G166)</f>
        <v>0</v>
      </c>
      <c r="H162" s="44">
        <f>E162+F162+G162</f>
        <v>62236</v>
      </c>
      <c r="I162" s="44">
        <f>SUM(I164:I166)</f>
        <v>0</v>
      </c>
      <c r="J162" s="44">
        <f>SUM(J164:J166)</f>
        <v>0</v>
      </c>
      <c r="K162" s="44">
        <f>H162+I162+J162</f>
        <v>62236</v>
      </c>
      <c r="L162" s="44">
        <f>SUM(L164:L167)</f>
        <v>0</v>
      </c>
      <c r="M162" s="44">
        <f>SUM(M164:M166)</f>
        <v>0</v>
      </c>
      <c r="N162" s="44">
        <f>K162+L162+M162</f>
        <v>62236</v>
      </c>
      <c r="O162" s="44">
        <f>SUM(O164:O167)</f>
        <v>0</v>
      </c>
      <c r="P162" s="44">
        <f>SUM(P164:P166)</f>
        <v>0</v>
      </c>
      <c r="Q162" s="44">
        <f>N162+O162+P162</f>
        <v>62236</v>
      </c>
    </row>
    <row r="163" spans="1:17" ht="10.5" customHeight="1">
      <c r="A163" s="3" t="s">
        <v>1</v>
      </c>
      <c r="B163" s="42"/>
      <c r="C163" s="42"/>
      <c r="D163" s="42"/>
      <c r="E163" s="39"/>
      <c r="F163" s="42"/>
      <c r="G163" s="42"/>
      <c r="H163" s="39"/>
      <c r="I163" s="42"/>
      <c r="J163" s="42"/>
      <c r="K163" s="39"/>
      <c r="L163" s="42"/>
      <c r="M163" s="42"/>
      <c r="N163" s="39"/>
      <c r="O163" s="42"/>
      <c r="P163" s="42"/>
      <c r="Q163" s="39"/>
    </row>
    <row r="164" spans="1:17" ht="12.75" customHeight="1">
      <c r="A164" s="4" t="s">
        <v>9</v>
      </c>
      <c r="B164" s="42">
        <v>11707</v>
      </c>
      <c r="C164" s="42"/>
      <c r="D164" s="42">
        <v>3000</v>
      </c>
      <c r="E164" s="42">
        <f>B164+C164+D164</f>
        <v>14707</v>
      </c>
      <c r="F164" s="42"/>
      <c r="G164" s="42"/>
      <c r="H164" s="42">
        <f>E164+F164+G164</f>
        <v>14707</v>
      </c>
      <c r="I164" s="42"/>
      <c r="J164" s="42"/>
      <c r="K164" s="42">
        <f>H164+I164+J164</f>
        <v>14707</v>
      </c>
      <c r="L164" s="42"/>
      <c r="M164" s="42"/>
      <c r="N164" s="42">
        <f>K164+L164+M164</f>
        <v>14707</v>
      </c>
      <c r="O164" s="42"/>
      <c r="P164" s="42"/>
      <c r="Q164" s="42">
        <f>N164+O164+P164</f>
        <v>14707</v>
      </c>
    </row>
    <row r="165" spans="1:17" ht="12.75" customHeight="1">
      <c r="A165" s="4" t="s">
        <v>204</v>
      </c>
      <c r="B165" s="42">
        <v>25529</v>
      </c>
      <c r="C165" s="42"/>
      <c r="D165" s="42"/>
      <c r="E165" s="42">
        <f>B165+C165+D165</f>
        <v>25529</v>
      </c>
      <c r="F165" s="42"/>
      <c r="G165" s="42"/>
      <c r="H165" s="42">
        <f>E165+F165+G165</f>
        <v>25529</v>
      </c>
      <c r="I165" s="42"/>
      <c r="J165" s="42"/>
      <c r="K165" s="42">
        <f>H165+I165+J165</f>
        <v>25529</v>
      </c>
      <c r="L165" s="42"/>
      <c r="M165" s="42"/>
      <c r="N165" s="42">
        <f>K165+L165+M165</f>
        <v>25529</v>
      </c>
      <c r="O165" s="42"/>
      <c r="P165" s="42"/>
      <c r="Q165" s="42">
        <f>N165+O165+P165</f>
        <v>25529</v>
      </c>
    </row>
    <row r="166" spans="1:17" ht="12.75" customHeight="1">
      <c r="A166" s="4" t="s">
        <v>27</v>
      </c>
      <c r="B166" s="42">
        <v>22000</v>
      </c>
      <c r="C166" s="42"/>
      <c r="D166" s="42"/>
      <c r="E166" s="42">
        <f>B166+C166+D166</f>
        <v>22000</v>
      </c>
      <c r="F166" s="42"/>
      <c r="G166" s="42"/>
      <c r="H166" s="42">
        <f>E166+F166+G166</f>
        <v>22000</v>
      </c>
      <c r="I166" s="42"/>
      <c r="J166" s="42"/>
      <c r="K166" s="42">
        <f>H166+I166+J166</f>
        <v>22000</v>
      </c>
      <c r="L166" s="42"/>
      <c r="M166" s="42"/>
      <c r="N166" s="42">
        <f>K166+L166+M166</f>
        <v>22000</v>
      </c>
      <c r="O166" s="42"/>
      <c r="P166" s="42"/>
      <c r="Q166" s="42">
        <f>N166+O166+P166</f>
        <v>22000</v>
      </c>
    </row>
    <row r="167" spans="1:17" ht="12.75" customHeight="1" hidden="1">
      <c r="A167" s="4" t="s">
        <v>163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>
        <f>K167+L167+M167</f>
        <v>0</v>
      </c>
      <c r="O167" s="42"/>
      <c r="P167" s="42"/>
      <c r="Q167" s="42">
        <f>N167+O167+P167</f>
        <v>0</v>
      </c>
    </row>
    <row r="168" spans="1:17" ht="15" customHeight="1">
      <c r="A168" s="13" t="s">
        <v>35</v>
      </c>
      <c r="B168" s="45">
        <f>B171+B170</f>
        <v>4750</v>
      </c>
      <c r="C168" s="45">
        <f>C171+C170</f>
        <v>0</v>
      </c>
      <c r="D168" s="45">
        <f>D171+D170</f>
        <v>13000</v>
      </c>
      <c r="E168" s="44">
        <f>B168+C168+D168</f>
        <v>17750</v>
      </c>
      <c r="F168" s="45">
        <f>SUM(F170:F171)</f>
        <v>0</v>
      </c>
      <c r="G168" s="45">
        <f>SUM(G170:G171)</f>
        <v>0</v>
      </c>
      <c r="H168" s="44">
        <f>E168+F168+G168</f>
        <v>17750</v>
      </c>
      <c r="I168" s="45">
        <f>SUM(I170:I171)</f>
        <v>0</v>
      </c>
      <c r="J168" s="45">
        <f>SUM(J170:J171)</f>
        <v>0</v>
      </c>
      <c r="K168" s="44">
        <f>H168+I168+J168</f>
        <v>17750</v>
      </c>
      <c r="L168" s="45">
        <f>SUM(L170:L171)</f>
        <v>0</v>
      </c>
      <c r="M168" s="45">
        <f>SUM(M170:M171)</f>
        <v>0</v>
      </c>
      <c r="N168" s="44">
        <f>K168+L168+M168</f>
        <v>17750</v>
      </c>
      <c r="O168" s="45">
        <f>SUM(O170:O171)</f>
        <v>0</v>
      </c>
      <c r="P168" s="45">
        <f>SUM(P170:P171)</f>
        <v>0</v>
      </c>
      <c r="Q168" s="44">
        <f>N168+O168+P168</f>
        <v>17750</v>
      </c>
    </row>
    <row r="169" spans="1:17" ht="10.5" customHeight="1">
      <c r="A169" s="10" t="s">
        <v>1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 ht="12.75" customHeight="1" hidden="1">
      <c r="A170" s="5" t="s">
        <v>38</v>
      </c>
      <c r="B170" s="42"/>
      <c r="C170" s="42"/>
      <c r="D170" s="42"/>
      <c r="E170" s="42">
        <f>B170+C170+D170</f>
        <v>0</v>
      </c>
      <c r="F170" s="42"/>
      <c r="G170" s="42"/>
      <c r="H170" s="42">
        <f>E170+F170+G170</f>
        <v>0</v>
      </c>
      <c r="I170" s="42"/>
      <c r="J170" s="42"/>
      <c r="K170" s="42">
        <f>H170+I170+J170</f>
        <v>0</v>
      </c>
      <c r="L170" s="42"/>
      <c r="M170" s="42"/>
      <c r="N170" s="42">
        <f>K170+L170+M170</f>
        <v>0</v>
      </c>
      <c r="O170" s="42"/>
      <c r="P170" s="42"/>
      <c r="Q170" s="42">
        <f>N170+O170+P170</f>
        <v>0</v>
      </c>
    </row>
    <row r="171" spans="1:17" ht="12.75" customHeight="1">
      <c r="A171" s="32" t="s">
        <v>38</v>
      </c>
      <c r="B171" s="46">
        <v>4750</v>
      </c>
      <c r="C171" s="46"/>
      <c r="D171" s="46">
        <v>13000</v>
      </c>
      <c r="E171" s="46">
        <f>B171+C171+D171</f>
        <v>17750</v>
      </c>
      <c r="F171" s="46"/>
      <c r="G171" s="46"/>
      <c r="H171" s="46">
        <f>E171+F171+G171</f>
        <v>17750</v>
      </c>
      <c r="I171" s="46"/>
      <c r="J171" s="46"/>
      <c r="K171" s="46">
        <f>H171+I171+J171</f>
        <v>17750</v>
      </c>
      <c r="L171" s="46"/>
      <c r="M171" s="46"/>
      <c r="N171" s="46">
        <f>K171+L171+M171</f>
        <v>17750</v>
      </c>
      <c r="O171" s="46"/>
      <c r="P171" s="46"/>
      <c r="Q171" s="46">
        <f>N171+O171+P171</f>
        <v>17750</v>
      </c>
    </row>
    <row r="172" spans="1:17" ht="19.5" customHeight="1">
      <c r="A172" s="2" t="s">
        <v>53</v>
      </c>
      <c r="B172" s="39">
        <f aca="true" t="shared" si="37" ref="B172:Q172">B173+B202</f>
        <v>237400</v>
      </c>
      <c r="C172" s="39">
        <f t="shared" si="37"/>
        <v>40895.4</v>
      </c>
      <c r="D172" s="39">
        <f t="shared" si="37"/>
        <v>-15708.599999999999</v>
      </c>
      <c r="E172" s="39">
        <f t="shared" si="37"/>
        <v>262586.8</v>
      </c>
      <c r="F172" s="39">
        <f t="shared" si="37"/>
        <v>90918.09999999999</v>
      </c>
      <c r="G172" s="39">
        <f t="shared" si="37"/>
        <v>0</v>
      </c>
      <c r="H172" s="39">
        <f t="shared" si="37"/>
        <v>353504.9</v>
      </c>
      <c r="I172" s="39">
        <f t="shared" si="37"/>
        <v>0</v>
      </c>
      <c r="J172" s="39">
        <f t="shared" si="37"/>
        <v>0</v>
      </c>
      <c r="K172" s="39">
        <f t="shared" si="37"/>
        <v>340990.69999999995</v>
      </c>
      <c r="L172" s="39">
        <f t="shared" si="37"/>
        <v>0</v>
      </c>
      <c r="M172" s="39">
        <f t="shared" si="37"/>
        <v>0</v>
      </c>
      <c r="N172" s="39">
        <f t="shared" si="37"/>
        <v>340990.69999999995</v>
      </c>
      <c r="O172" s="39">
        <f t="shared" si="37"/>
        <v>0</v>
      </c>
      <c r="P172" s="39">
        <f t="shared" si="37"/>
        <v>0</v>
      </c>
      <c r="Q172" s="39">
        <f t="shared" si="37"/>
        <v>340990.69999999995</v>
      </c>
    </row>
    <row r="173" spans="1:17" ht="15" customHeight="1">
      <c r="A173" s="6" t="s">
        <v>34</v>
      </c>
      <c r="B173" s="44">
        <f aca="true" t="shared" si="38" ref="B173:Q173">SUM(B175:B190)+B193</f>
        <v>153900</v>
      </c>
      <c r="C173" s="44">
        <f t="shared" si="38"/>
        <v>23674.800000000003</v>
      </c>
      <c r="D173" s="44">
        <f t="shared" si="38"/>
        <v>-25708.6</v>
      </c>
      <c r="E173" s="44">
        <f t="shared" si="38"/>
        <v>151866.19999999998</v>
      </c>
      <c r="F173" s="44">
        <f t="shared" si="38"/>
        <v>25209.099999999995</v>
      </c>
      <c r="G173" s="44">
        <f t="shared" si="38"/>
        <v>0</v>
      </c>
      <c r="H173" s="44">
        <f t="shared" si="38"/>
        <v>177075.3</v>
      </c>
      <c r="I173" s="44">
        <f t="shared" si="38"/>
        <v>0</v>
      </c>
      <c r="J173" s="44">
        <f t="shared" si="38"/>
        <v>0</v>
      </c>
      <c r="K173" s="44">
        <f t="shared" si="38"/>
        <v>173110.3</v>
      </c>
      <c r="L173" s="44">
        <f t="shared" si="38"/>
        <v>0</v>
      </c>
      <c r="M173" s="44">
        <f t="shared" si="38"/>
        <v>0</v>
      </c>
      <c r="N173" s="44">
        <f t="shared" si="38"/>
        <v>173110.3</v>
      </c>
      <c r="O173" s="44">
        <f t="shared" si="38"/>
        <v>0</v>
      </c>
      <c r="P173" s="44">
        <f t="shared" si="38"/>
        <v>0</v>
      </c>
      <c r="Q173" s="44">
        <f t="shared" si="38"/>
        <v>173110.3</v>
      </c>
    </row>
    <row r="174" spans="1:17" ht="10.5" customHeight="1">
      <c r="A174" s="10" t="s">
        <v>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ht="12.75" customHeight="1">
      <c r="A175" s="4" t="s">
        <v>9</v>
      </c>
      <c r="B175" s="42">
        <v>4000</v>
      </c>
      <c r="C175" s="42"/>
      <c r="D175" s="42"/>
      <c r="E175" s="42">
        <f aca="true" t="shared" si="39" ref="E175:E191">SUM(A175:D175)</f>
        <v>4000</v>
      </c>
      <c r="F175" s="42"/>
      <c r="G175" s="42"/>
      <c r="H175" s="42">
        <f aca="true" t="shared" si="40" ref="H175:H182">SUM(E175:G175)</f>
        <v>4000</v>
      </c>
      <c r="I175" s="42"/>
      <c r="J175" s="42"/>
      <c r="K175" s="42">
        <f aca="true" t="shared" si="41" ref="K175:K183">SUM(H175:J175)</f>
        <v>4000</v>
      </c>
      <c r="L175" s="42"/>
      <c r="M175" s="42"/>
      <c r="N175" s="42">
        <f aca="true" t="shared" si="42" ref="N175:N183">SUM(K175:M175)</f>
        <v>4000</v>
      </c>
      <c r="O175" s="42"/>
      <c r="P175" s="42"/>
      <c r="Q175" s="42">
        <f aca="true" t="shared" si="43" ref="Q175:Q183">SUM(N175:P175)</f>
        <v>4000</v>
      </c>
    </row>
    <row r="176" spans="1:17" ht="12.75" customHeight="1">
      <c r="A176" s="4" t="s">
        <v>18</v>
      </c>
      <c r="B176" s="42">
        <v>500</v>
      </c>
      <c r="C176" s="42"/>
      <c r="D176" s="42">
        <v>1291.4</v>
      </c>
      <c r="E176" s="42">
        <f t="shared" si="39"/>
        <v>1791.4</v>
      </c>
      <c r="F176" s="42"/>
      <c r="G176" s="42"/>
      <c r="H176" s="42">
        <f t="shared" si="40"/>
        <v>1791.4</v>
      </c>
      <c r="I176" s="42"/>
      <c r="J176" s="42"/>
      <c r="K176" s="42">
        <f t="shared" si="41"/>
        <v>1791.4</v>
      </c>
      <c r="L176" s="42"/>
      <c r="M176" s="42"/>
      <c r="N176" s="42">
        <f t="shared" si="42"/>
        <v>1791.4</v>
      </c>
      <c r="O176" s="42"/>
      <c r="P176" s="42"/>
      <c r="Q176" s="42">
        <f t="shared" si="43"/>
        <v>1791.4</v>
      </c>
    </row>
    <row r="177" spans="1:17" ht="12.75" customHeight="1">
      <c r="A177" s="30" t="s">
        <v>130</v>
      </c>
      <c r="B177" s="42">
        <v>1200</v>
      </c>
      <c r="C177" s="42"/>
      <c r="D177" s="42"/>
      <c r="E177" s="42">
        <f t="shared" si="39"/>
        <v>1200</v>
      </c>
      <c r="F177" s="42"/>
      <c r="G177" s="42"/>
      <c r="H177" s="42">
        <f t="shared" si="40"/>
        <v>1200</v>
      </c>
      <c r="I177" s="42"/>
      <c r="J177" s="42"/>
      <c r="K177" s="42">
        <f t="shared" si="41"/>
        <v>1200</v>
      </c>
      <c r="L177" s="42"/>
      <c r="M177" s="42"/>
      <c r="N177" s="42">
        <f t="shared" si="42"/>
        <v>1200</v>
      </c>
      <c r="O177" s="42"/>
      <c r="P177" s="42"/>
      <c r="Q177" s="42">
        <f t="shared" si="43"/>
        <v>1200</v>
      </c>
    </row>
    <row r="178" spans="1:17" ht="12.75" customHeight="1">
      <c r="A178" s="30" t="s">
        <v>206</v>
      </c>
      <c r="B178" s="42">
        <v>3200</v>
      </c>
      <c r="C178" s="42">
        <v>1800</v>
      </c>
      <c r="D178" s="42"/>
      <c r="E178" s="42">
        <f t="shared" si="39"/>
        <v>5000</v>
      </c>
      <c r="F178" s="42">
        <v>200</v>
      </c>
      <c r="G178" s="42"/>
      <c r="H178" s="42">
        <f t="shared" si="40"/>
        <v>5200</v>
      </c>
      <c r="I178" s="42"/>
      <c r="J178" s="42"/>
      <c r="K178" s="42">
        <f t="shared" si="41"/>
        <v>5200</v>
      </c>
      <c r="L178" s="42"/>
      <c r="M178" s="42"/>
      <c r="N178" s="42">
        <f t="shared" si="42"/>
        <v>5200</v>
      </c>
      <c r="O178" s="42"/>
      <c r="P178" s="42"/>
      <c r="Q178" s="42">
        <f t="shared" si="43"/>
        <v>5200</v>
      </c>
    </row>
    <row r="179" spans="1:17" ht="12.75" customHeight="1">
      <c r="A179" s="30" t="s">
        <v>205</v>
      </c>
      <c r="B179" s="42"/>
      <c r="C179" s="42">
        <f>11940.6+120.5</f>
        <v>12061.1</v>
      </c>
      <c r="D179" s="42"/>
      <c r="E179" s="42">
        <f t="shared" si="39"/>
        <v>12061.1</v>
      </c>
      <c r="F179" s="42"/>
      <c r="G179" s="42"/>
      <c r="H179" s="42">
        <f t="shared" si="40"/>
        <v>12061.1</v>
      </c>
      <c r="I179" s="42"/>
      <c r="J179" s="42"/>
      <c r="K179" s="42">
        <f t="shared" si="41"/>
        <v>12061.1</v>
      </c>
      <c r="L179" s="42"/>
      <c r="M179" s="42"/>
      <c r="N179" s="42">
        <f t="shared" si="42"/>
        <v>12061.1</v>
      </c>
      <c r="O179" s="42"/>
      <c r="P179" s="42"/>
      <c r="Q179" s="42">
        <f t="shared" si="43"/>
        <v>12061.1</v>
      </c>
    </row>
    <row r="180" spans="1:17" ht="12.75" customHeight="1">
      <c r="A180" s="8" t="s">
        <v>233</v>
      </c>
      <c r="B180" s="42"/>
      <c r="C180" s="42"/>
      <c r="D180" s="42"/>
      <c r="E180" s="42">
        <f t="shared" si="39"/>
        <v>0</v>
      </c>
      <c r="F180" s="42">
        <v>669.8</v>
      </c>
      <c r="G180" s="42"/>
      <c r="H180" s="42">
        <f t="shared" si="40"/>
        <v>669.8</v>
      </c>
      <c r="I180" s="42"/>
      <c r="J180" s="42"/>
      <c r="K180" s="42">
        <f t="shared" si="41"/>
        <v>669.8</v>
      </c>
      <c r="L180" s="42"/>
      <c r="M180" s="42"/>
      <c r="N180" s="42">
        <f t="shared" si="42"/>
        <v>669.8</v>
      </c>
      <c r="O180" s="42"/>
      <c r="P180" s="42"/>
      <c r="Q180" s="42">
        <f t="shared" si="43"/>
        <v>669.8</v>
      </c>
    </row>
    <row r="181" spans="1:17" ht="12.75" customHeight="1">
      <c r="A181" s="8" t="s">
        <v>99</v>
      </c>
      <c r="B181" s="42"/>
      <c r="C181" s="42">
        <v>4234.8</v>
      </c>
      <c r="D181" s="42"/>
      <c r="E181" s="42">
        <f t="shared" si="39"/>
        <v>4234.8</v>
      </c>
      <c r="F181" s="42">
        <v>4592.4</v>
      </c>
      <c r="G181" s="42"/>
      <c r="H181" s="42">
        <f t="shared" si="40"/>
        <v>8827.2</v>
      </c>
      <c r="I181" s="42"/>
      <c r="J181" s="42"/>
      <c r="K181" s="42">
        <f t="shared" si="41"/>
        <v>8827.2</v>
      </c>
      <c r="L181" s="42"/>
      <c r="M181" s="42"/>
      <c r="N181" s="42">
        <f t="shared" si="42"/>
        <v>8827.2</v>
      </c>
      <c r="O181" s="42"/>
      <c r="P181" s="42"/>
      <c r="Q181" s="42">
        <f t="shared" si="43"/>
        <v>8827.2</v>
      </c>
    </row>
    <row r="182" spans="1:17" ht="12.75" customHeight="1">
      <c r="A182" s="8" t="s">
        <v>100</v>
      </c>
      <c r="B182" s="42"/>
      <c r="C182" s="42">
        <v>4016.6</v>
      </c>
      <c r="D182" s="42"/>
      <c r="E182" s="42">
        <f t="shared" si="39"/>
        <v>4016.6</v>
      </c>
      <c r="F182" s="42">
        <v>706.9</v>
      </c>
      <c r="G182" s="42"/>
      <c r="H182" s="42">
        <f t="shared" si="40"/>
        <v>4723.5</v>
      </c>
      <c r="I182" s="42"/>
      <c r="J182" s="42"/>
      <c r="K182" s="42">
        <f t="shared" si="41"/>
        <v>4723.5</v>
      </c>
      <c r="L182" s="42"/>
      <c r="M182" s="42"/>
      <c r="N182" s="42">
        <f t="shared" si="42"/>
        <v>4723.5</v>
      </c>
      <c r="O182" s="42"/>
      <c r="P182" s="42"/>
      <c r="Q182" s="42">
        <f t="shared" si="43"/>
        <v>4723.5</v>
      </c>
    </row>
    <row r="183" spans="1:17" ht="12.75" customHeight="1">
      <c r="A183" s="4" t="s">
        <v>145</v>
      </c>
      <c r="B183" s="42"/>
      <c r="C183" s="42">
        <v>1117.9</v>
      </c>
      <c r="D183" s="42"/>
      <c r="E183" s="42">
        <f t="shared" si="39"/>
        <v>1117.9</v>
      </c>
      <c r="F183" s="42">
        <v>166.6</v>
      </c>
      <c r="G183" s="42"/>
      <c r="H183" s="42">
        <f>SUM(E183:G183)</f>
        <v>1284.5</v>
      </c>
      <c r="I183" s="42"/>
      <c r="J183" s="42"/>
      <c r="K183" s="42">
        <f t="shared" si="41"/>
        <v>1284.5</v>
      </c>
      <c r="L183" s="42"/>
      <c r="M183" s="42"/>
      <c r="N183" s="42">
        <f t="shared" si="42"/>
        <v>1284.5</v>
      </c>
      <c r="O183" s="42"/>
      <c r="P183" s="42"/>
      <c r="Q183" s="42">
        <f t="shared" si="43"/>
        <v>1284.5</v>
      </c>
    </row>
    <row r="184" spans="1:17" ht="12.75" customHeight="1">
      <c r="A184" s="4" t="s">
        <v>226</v>
      </c>
      <c r="B184" s="42"/>
      <c r="C184" s="42">
        <v>523.2</v>
      </c>
      <c r="D184" s="42"/>
      <c r="E184" s="42">
        <f t="shared" si="39"/>
        <v>523.2</v>
      </c>
      <c r="F184" s="42"/>
      <c r="G184" s="42"/>
      <c r="H184" s="42">
        <f>SUM(E184:G184)</f>
        <v>523.2</v>
      </c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ht="12.75" customHeight="1">
      <c r="A185" s="4" t="s">
        <v>227</v>
      </c>
      <c r="B185" s="42"/>
      <c r="C185" s="42"/>
      <c r="D185" s="42"/>
      <c r="E185" s="42"/>
      <c r="F185" s="42">
        <v>476.3</v>
      </c>
      <c r="G185" s="42"/>
      <c r="H185" s="42">
        <f>SUM(E185:G185)</f>
        <v>476.3</v>
      </c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ht="12.75" customHeight="1">
      <c r="A186" s="4" t="s">
        <v>228</v>
      </c>
      <c r="B186" s="42"/>
      <c r="C186" s="42"/>
      <c r="D186" s="42"/>
      <c r="E186" s="42"/>
      <c r="F186" s="42">
        <v>2965.5</v>
      </c>
      <c r="G186" s="42"/>
      <c r="H186" s="42">
        <f>SUM(E186:G186)</f>
        <v>2965.5</v>
      </c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ht="12.75" customHeight="1">
      <c r="A187" s="4" t="s">
        <v>106</v>
      </c>
      <c r="B187" s="42"/>
      <c r="C187" s="42">
        <v>721.2</v>
      </c>
      <c r="D187" s="42"/>
      <c r="E187" s="42">
        <f t="shared" si="39"/>
        <v>721.2</v>
      </c>
      <c r="F187" s="42"/>
      <c r="G187" s="42"/>
      <c r="H187" s="42">
        <f>SUM(E187:G187)</f>
        <v>721.2</v>
      </c>
      <c r="I187" s="42"/>
      <c r="J187" s="42"/>
      <c r="K187" s="42">
        <f aca="true" t="shared" si="44" ref="K187:K201">SUM(H187:J187)</f>
        <v>721.2</v>
      </c>
      <c r="L187" s="42"/>
      <c r="M187" s="42"/>
      <c r="N187" s="42">
        <f aca="true" t="shared" si="45" ref="N187:N201">SUM(K187:M187)</f>
        <v>721.2</v>
      </c>
      <c r="O187" s="42"/>
      <c r="P187" s="42"/>
      <c r="Q187" s="42">
        <f aca="true" t="shared" si="46" ref="Q187:Q201">SUM(N187:P187)</f>
        <v>721.2</v>
      </c>
    </row>
    <row r="188" spans="1:17" ht="12.75" customHeight="1">
      <c r="A188" s="4" t="s">
        <v>131</v>
      </c>
      <c r="B188" s="42"/>
      <c r="C188" s="42"/>
      <c r="D188" s="42"/>
      <c r="E188" s="42">
        <f t="shared" si="39"/>
        <v>0</v>
      </c>
      <c r="F188" s="42">
        <v>7877.8</v>
      </c>
      <c r="G188" s="42"/>
      <c r="H188" s="42">
        <f aca="true" t="shared" si="47" ref="H188:H201">SUM(E188:G188)</f>
        <v>7877.8</v>
      </c>
      <c r="I188" s="42"/>
      <c r="J188" s="42"/>
      <c r="K188" s="42">
        <f t="shared" si="44"/>
        <v>7877.8</v>
      </c>
      <c r="L188" s="42"/>
      <c r="M188" s="42"/>
      <c r="N188" s="42">
        <f t="shared" si="45"/>
        <v>7877.8</v>
      </c>
      <c r="O188" s="42"/>
      <c r="P188" s="42"/>
      <c r="Q188" s="42">
        <f t="shared" si="46"/>
        <v>7877.8</v>
      </c>
    </row>
    <row r="189" spans="1:17" ht="12.75" customHeight="1">
      <c r="A189" s="4" t="s">
        <v>67</v>
      </c>
      <c r="B189" s="42">
        <v>25000</v>
      </c>
      <c r="C189" s="42"/>
      <c r="D189" s="42">
        <v>-25000</v>
      </c>
      <c r="E189" s="42">
        <f t="shared" si="39"/>
        <v>0</v>
      </c>
      <c r="F189" s="42"/>
      <c r="G189" s="42"/>
      <c r="H189" s="42">
        <f t="shared" si="47"/>
        <v>0</v>
      </c>
      <c r="I189" s="42"/>
      <c r="J189" s="42"/>
      <c r="K189" s="42">
        <f t="shared" si="44"/>
        <v>0</v>
      </c>
      <c r="L189" s="42"/>
      <c r="M189" s="42"/>
      <c r="N189" s="42">
        <f t="shared" si="45"/>
        <v>0</v>
      </c>
      <c r="O189" s="42"/>
      <c r="P189" s="42"/>
      <c r="Q189" s="42">
        <f t="shared" si="46"/>
        <v>0</v>
      </c>
    </row>
    <row r="190" spans="1:17" ht="12.75" customHeight="1">
      <c r="A190" s="4" t="s">
        <v>220</v>
      </c>
      <c r="B190" s="42">
        <v>36000</v>
      </c>
      <c r="C190" s="42">
        <f>-1800-3000+6500</f>
        <v>1700</v>
      </c>
      <c r="D190" s="42"/>
      <c r="E190" s="42">
        <f t="shared" si="39"/>
        <v>37700</v>
      </c>
      <c r="F190" s="42">
        <f>32258.1-2000+880</f>
        <v>31138.1</v>
      </c>
      <c r="G190" s="42"/>
      <c r="H190" s="42">
        <f t="shared" si="47"/>
        <v>68838.1</v>
      </c>
      <c r="I190" s="42"/>
      <c r="J190" s="42"/>
      <c r="K190" s="42">
        <f t="shared" si="44"/>
        <v>68838.1</v>
      </c>
      <c r="L190" s="42"/>
      <c r="M190" s="42"/>
      <c r="N190" s="42">
        <f t="shared" si="45"/>
        <v>68838.1</v>
      </c>
      <c r="O190" s="42"/>
      <c r="P190" s="42"/>
      <c r="Q190" s="42">
        <f t="shared" si="46"/>
        <v>68838.1</v>
      </c>
    </row>
    <row r="191" spans="1:17" ht="12" customHeight="1">
      <c r="A191" s="4" t="s">
        <v>207</v>
      </c>
      <c r="B191" s="42">
        <v>6800</v>
      </c>
      <c r="C191" s="42">
        <v>-1800</v>
      </c>
      <c r="D191" s="42"/>
      <c r="E191" s="42">
        <f t="shared" si="39"/>
        <v>5000</v>
      </c>
      <c r="F191" s="42"/>
      <c r="G191" s="42"/>
      <c r="H191" s="42">
        <f t="shared" si="47"/>
        <v>5000</v>
      </c>
      <c r="I191" s="42"/>
      <c r="J191" s="42"/>
      <c r="K191" s="42">
        <f t="shared" si="44"/>
        <v>5000</v>
      </c>
      <c r="L191" s="42"/>
      <c r="M191" s="42"/>
      <c r="N191" s="42">
        <f t="shared" si="45"/>
        <v>5000</v>
      </c>
      <c r="O191" s="42"/>
      <c r="P191" s="42"/>
      <c r="Q191" s="42">
        <f t="shared" si="46"/>
        <v>5000</v>
      </c>
    </row>
    <row r="192" spans="1:17" ht="12" customHeight="1">
      <c r="A192" s="4" t="s">
        <v>236</v>
      </c>
      <c r="B192" s="42"/>
      <c r="C192" s="42"/>
      <c r="D192" s="42"/>
      <c r="E192" s="42"/>
      <c r="F192" s="42">
        <v>880</v>
      </c>
      <c r="G192" s="42"/>
      <c r="H192" s="42">
        <f t="shared" si="47"/>
        <v>880</v>
      </c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ht="12" customHeight="1">
      <c r="A193" s="4" t="s">
        <v>41</v>
      </c>
      <c r="B193" s="42">
        <f>SUM(B194:B201)</f>
        <v>84000</v>
      </c>
      <c r="C193" s="42">
        <f>SUM(C194:C201)</f>
        <v>-2500</v>
      </c>
      <c r="D193" s="42">
        <f>SUM(D194:D201)</f>
        <v>-2000</v>
      </c>
      <c r="E193" s="42">
        <f>SUM(E194:E201)</f>
        <v>79500</v>
      </c>
      <c r="F193" s="42">
        <f>SUM(F194:F201)</f>
        <v>-23584.3</v>
      </c>
      <c r="G193" s="42"/>
      <c r="H193" s="42">
        <f t="shared" si="47"/>
        <v>55915.7</v>
      </c>
      <c r="I193" s="42"/>
      <c r="J193" s="42"/>
      <c r="K193" s="42">
        <f t="shared" si="44"/>
        <v>55915.7</v>
      </c>
      <c r="L193" s="42"/>
      <c r="M193" s="42"/>
      <c r="N193" s="42">
        <f t="shared" si="45"/>
        <v>55915.7</v>
      </c>
      <c r="O193" s="42"/>
      <c r="P193" s="42"/>
      <c r="Q193" s="42">
        <f t="shared" si="46"/>
        <v>55915.7</v>
      </c>
    </row>
    <row r="194" spans="1:17" ht="12" customHeight="1">
      <c r="A194" s="4" t="s">
        <v>112</v>
      </c>
      <c r="B194" s="42">
        <v>500</v>
      </c>
      <c r="C194" s="42"/>
      <c r="D194" s="42"/>
      <c r="E194" s="42">
        <f aca="true" t="shared" si="48" ref="E194:E201">SUM(A194:D194)</f>
        <v>500</v>
      </c>
      <c r="F194" s="42"/>
      <c r="G194" s="42"/>
      <c r="H194" s="42">
        <f t="shared" si="47"/>
        <v>500</v>
      </c>
      <c r="I194" s="42"/>
      <c r="J194" s="42"/>
      <c r="K194" s="42">
        <f t="shared" si="44"/>
        <v>500</v>
      </c>
      <c r="L194" s="42"/>
      <c r="M194" s="42"/>
      <c r="N194" s="42">
        <f t="shared" si="45"/>
        <v>500</v>
      </c>
      <c r="O194" s="42"/>
      <c r="P194" s="42"/>
      <c r="Q194" s="42">
        <f t="shared" si="46"/>
        <v>500</v>
      </c>
    </row>
    <row r="195" spans="1:17" ht="12" customHeight="1">
      <c r="A195" s="4" t="s">
        <v>113</v>
      </c>
      <c r="B195" s="42">
        <v>9000</v>
      </c>
      <c r="C195" s="42"/>
      <c r="D195" s="42"/>
      <c r="E195" s="42">
        <f t="shared" si="48"/>
        <v>9000</v>
      </c>
      <c r="F195" s="42">
        <v>-9000</v>
      </c>
      <c r="G195" s="42"/>
      <c r="H195" s="42">
        <f t="shared" si="47"/>
        <v>0</v>
      </c>
      <c r="I195" s="42"/>
      <c r="J195" s="42"/>
      <c r="K195" s="42">
        <f t="shared" si="44"/>
        <v>0</v>
      </c>
      <c r="L195" s="42"/>
      <c r="M195" s="42"/>
      <c r="N195" s="42">
        <f t="shared" si="45"/>
        <v>0</v>
      </c>
      <c r="O195" s="42"/>
      <c r="P195" s="42"/>
      <c r="Q195" s="42">
        <f t="shared" si="46"/>
        <v>0</v>
      </c>
    </row>
    <row r="196" spans="1:17" ht="12" customHeight="1">
      <c r="A196" s="4" t="s">
        <v>114</v>
      </c>
      <c r="B196" s="42">
        <v>13530</v>
      </c>
      <c r="C196" s="42"/>
      <c r="D196" s="42"/>
      <c r="E196" s="42">
        <f t="shared" si="48"/>
        <v>13530</v>
      </c>
      <c r="F196" s="42"/>
      <c r="G196" s="42"/>
      <c r="H196" s="42">
        <f t="shared" si="47"/>
        <v>13530</v>
      </c>
      <c r="I196" s="42"/>
      <c r="J196" s="42"/>
      <c r="K196" s="42">
        <f t="shared" si="44"/>
        <v>13530</v>
      </c>
      <c r="L196" s="42"/>
      <c r="M196" s="42"/>
      <c r="N196" s="42">
        <f t="shared" si="45"/>
        <v>13530</v>
      </c>
      <c r="O196" s="42"/>
      <c r="P196" s="42"/>
      <c r="Q196" s="42">
        <f t="shared" si="46"/>
        <v>13530</v>
      </c>
    </row>
    <row r="197" spans="1:17" ht="12" customHeight="1">
      <c r="A197" s="4" t="s">
        <v>115</v>
      </c>
      <c r="B197" s="42">
        <v>2700</v>
      </c>
      <c r="C197" s="42"/>
      <c r="D197" s="42"/>
      <c r="E197" s="42">
        <f t="shared" si="48"/>
        <v>2700</v>
      </c>
      <c r="F197" s="42"/>
      <c r="G197" s="42"/>
      <c r="H197" s="42">
        <f t="shared" si="47"/>
        <v>2700</v>
      </c>
      <c r="I197" s="42"/>
      <c r="J197" s="42"/>
      <c r="K197" s="42">
        <f t="shared" si="44"/>
        <v>2700</v>
      </c>
      <c r="L197" s="42"/>
      <c r="M197" s="42"/>
      <c r="N197" s="42">
        <f t="shared" si="45"/>
        <v>2700</v>
      </c>
      <c r="O197" s="42"/>
      <c r="P197" s="42"/>
      <c r="Q197" s="42">
        <f t="shared" si="46"/>
        <v>2700</v>
      </c>
    </row>
    <row r="198" spans="1:17" ht="12" customHeight="1">
      <c r="A198" s="4" t="s">
        <v>116</v>
      </c>
      <c r="B198" s="42">
        <v>4510</v>
      </c>
      <c r="C198" s="42"/>
      <c r="D198" s="42"/>
      <c r="E198" s="42">
        <f t="shared" si="48"/>
        <v>4510</v>
      </c>
      <c r="F198" s="42"/>
      <c r="G198" s="42"/>
      <c r="H198" s="42">
        <f t="shared" si="47"/>
        <v>4510</v>
      </c>
      <c r="I198" s="42"/>
      <c r="J198" s="42"/>
      <c r="K198" s="42">
        <f t="shared" si="44"/>
        <v>4510</v>
      </c>
      <c r="L198" s="42"/>
      <c r="M198" s="42"/>
      <c r="N198" s="42">
        <f t="shared" si="45"/>
        <v>4510</v>
      </c>
      <c r="O198" s="42"/>
      <c r="P198" s="42"/>
      <c r="Q198" s="42">
        <f t="shared" si="46"/>
        <v>4510</v>
      </c>
    </row>
    <row r="199" spans="1:17" ht="12" customHeight="1">
      <c r="A199" s="4" t="s">
        <v>117</v>
      </c>
      <c r="B199" s="42">
        <v>10280</v>
      </c>
      <c r="C199" s="42"/>
      <c r="D199" s="42"/>
      <c r="E199" s="42">
        <f t="shared" si="48"/>
        <v>10280</v>
      </c>
      <c r="F199" s="42">
        <v>-10280</v>
      </c>
      <c r="G199" s="42"/>
      <c r="H199" s="42">
        <f t="shared" si="47"/>
        <v>0</v>
      </c>
      <c r="I199" s="42"/>
      <c r="J199" s="42"/>
      <c r="K199" s="42">
        <f t="shared" si="44"/>
        <v>0</v>
      </c>
      <c r="L199" s="42"/>
      <c r="M199" s="42"/>
      <c r="N199" s="42">
        <f t="shared" si="45"/>
        <v>0</v>
      </c>
      <c r="O199" s="42"/>
      <c r="P199" s="42"/>
      <c r="Q199" s="42">
        <f t="shared" si="46"/>
        <v>0</v>
      </c>
    </row>
    <row r="200" spans="1:17" ht="12" customHeight="1">
      <c r="A200" s="4" t="s">
        <v>118</v>
      </c>
      <c r="B200" s="42">
        <v>28340</v>
      </c>
      <c r="C200" s="42"/>
      <c r="D200" s="42"/>
      <c r="E200" s="42">
        <f t="shared" si="48"/>
        <v>28340</v>
      </c>
      <c r="F200" s="42"/>
      <c r="G200" s="42"/>
      <c r="H200" s="42">
        <f t="shared" si="47"/>
        <v>28340</v>
      </c>
      <c r="I200" s="42"/>
      <c r="J200" s="42"/>
      <c r="K200" s="42">
        <f t="shared" si="44"/>
        <v>28340</v>
      </c>
      <c r="L200" s="42"/>
      <c r="M200" s="42"/>
      <c r="N200" s="42">
        <f t="shared" si="45"/>
        <v>28340</v>
      </c>
      <c r="O200" s="42"/>
      <c r="P200" s="42"/>
      <c r="Q200" s="42">
        <f t="shared" si="46"/>
        <v>28340</v>
      </c>
    </row>
    <row r="201" spans="1:17" ht="12" customHeight="1">
      <c r="A201" s="4" t="s">
        <v>239</v>
      </c>
      <c r="B201" s="42">
        <v>15140</v>
      </c>
      <c r="C201" s="42">
        <v>-2500</v>
      </c>
      <c r="D201" s="42">
        <v>-2000</v>
      </c>
      <c r="E201" s="42">
        <f t="shared" si="48"/>
        <v>10640</v>
      </c>
      <c r="F201" s="42">
        <v>-4304.3</v>
      </c>
      <c r="G201" s="42"/>
      <c r="H201" s="42">
        <f t="shared" si="47"/>
        <v>6335.7</v>
      </c>
      <c r="I201" s="42"/>
      <c r="J201" s="42"/>
      <c r="K201" s="42">
        <f t="shared" si="44"/>
        <v>6335.7</v>
      </c>
      <c r="L201" s="42"/>
      <c r="M201" s="42"/>
      <c r="N201" s="42">
        <f t="shared" si="45"/>
        <v>6335.7</v>
      </c>
      <c r="O201" s="42"/>
      <c r="P201" s="42"/>
      <c r="Q201" s="42">
        <f t="shared" si="46"/>
        <v>6335.7</v>
      </c>
    </row>
    <row r="202" spans="1:17" ht="12.75" customHeight="1">
      <c r="A202" s="13" t="s">
        <v>35</v>
      </c>
      <c r="B202" s="45">
        <f aca="true" t="shared" si="49" ref="B202:Q202">SUM(B204:B214)</f>
        <v>83500</v>
      </c>
      <c r="C202" s="45">
        <f t="shared" si="49"/>
        <v>17220.6</v>
      </c>
      <c r="D202" s="45">
        <f t="shared" si="49"/>
        <v>10000</v>
      </c>
      <c r="E202" s="45">
        <f t="shared" si="49"/>
        <v>110720.6</v>
      </c>
      <c r="F202" s="45">
        <f t="shared" si="49"/>
        <v>65709</v>
      </c>
      <c r="G202" s="45">
        <f t="shared" si="49"/>
        <v>0</v>
      </c>
      <c r="H202" s="45">
        <f t="shared" si="49"/>
        <v>176429.6</v>
      </c>
      <c r="I202" s="45">
        <f t="shared" si="49"/>
        <v>0</v>
      </c>
      <c r="J202" s="45">
        <f t="shared" si="49"/>
        <v>0</v>
      </c>
      <c r="K202" s="45">
        <f t="shared" si="49"/>
        <v>167880.4</v>
      </c>
      <c r="L202" s="45">
        <f t="shared" si="49"/>
        <v>0</v>
      </c>
      <c r="M202" s="45">
        <f t="shared" si="49"/>
        <v>0</v>
      </c>
      <c r="N202" s="45">
        <f t="shared" si="49"/>
        <v>167880.4</v>
      </c>
      <c r="O202" s="45">
        <f t="shared" si="49"/>
        <v>0</v>
      </c>
      <c r="P202" s="45">
        <f t="shared" si="49"/>
        <v>0</v>
      </c>
      <c r="Q202" s="45">
        <f t="shared" si="49"/>
        <v>167880.4</v>
      </c>
    </row>
    <row r="203" spans="1:17" ht="10.5" customHeight="1">
      <c r="A203" s="30" t="s">
        <v>1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ht="12.75" customHeight="1">
      <c r="A204" s="4" t="s">
        <v>132</v>
      </c>
      <c r="B204" s="42">
        <v>500</v>
      </c>
      <c r="C204" s="42"/>
      <c r="D204" s="42"/>
      <c r="E204" s="42">
        <f>B204+C204+D204</f>
        <v>500</v>
      </c>
      <c r="F204" s="42"/>
      <c r="G204" s="42"/>
      <c r="H204" s="42">
        <f>SUM(E204:G204)</f>
        <v>500</v>
      </c>
      <c r="I204" s="42"/>
      <c r="J204" s="42"/>
      <c r="K204" s="42">
        <f>SUM(H204:J204)</f>
        <v>500</v>
      </c>
      <c r="L204" s="42"/>
      <c r="M204" s="42"/>
      <c r="N204" s="42">
        <f aca="true" t="shared" si="50" ref="N204:N214">SUM(K204:M204)</f>
        <v>500</v>
      </c>
      <c r="O204" s="42"/>
      <c r="P204" s="42"/>
      <c r="Q204" s="42">
        <f aca="true" t="shared" si="51" ref="Q204:Q214">SUM(N204:P204)</f>
        <v>500</v>
      </c>
    </row>
    <row r="205" spans="1:17" ht="12.75" customHeight="1">
      <c r="A205" s="4" t="s">
        <v>215</v>
      </c>
      <c r="B205" s="42"/>
      <c r="C205" s="42">
        <v>500</v>
      </c>
      <c r="D205" s="42"/>
      <c r="E205" s="42">
        <f>B205+C205+D205</f>
        <v>500</v>
      </c>
      <c r="F205" s="42"/>
      <c r="G205" s="42"/>
      <c r="H205" s="42">
        <f>SUM(E205:G205)</f>
        <v>500</v>
      </c>
      <c r="I205" s="42"/>
      <c r="J205" s="42"/>
      <c r="K205" s="42"/>
      <c r="L205" s="42"/>
      <c r="M205" s="42"/>
      <c r="N205" s="42">
        <f t="shared" si="50"/>
        <v>0</v>
      </c>
      <c r="O205" s="42"/>
      <c r="P205" s="42"/>
      <c r="Q205" s="42">
        <f t="shared" si="51"/>
        <v>0</v>
      </c>
    </row>
    <row r="206" spans="1:17" ht="12.75" customHeight="1" hidden="1">
      <c r="A206" s="4" t="s">
        <v>97</v>
      </c>
      <c r="B206" s="42"/>
      <c r="C206" s="42"/>
      <c r="D206" s="42"/>
      <c r="E206" s="42">
        <f>B206+C206+D206</f>
        <v>0</v>
      </c>
      <c r="F206" s="42"/>
      <c r="G206" s="42"/>
      <c r="H206" s="42">
        <f aca="true" t="shared" si="52" ref="H206:H214">SUM(E206:G206)</f>
        <v>0</v>
      </c>
      <c r="I206" s="42"/>
      <c r="J206" s="42"/>
      <c r="K206" s="42">
        <f aca="true" t="shared" si="53" ref="K206:K214">SUM(H206:J206)</f>
        <v>0</v>
      </c>
      <c r="L206" s="42"/>
      <c r="M206" s="42"/>
      <c r="N206" s="42">
        <f t="shared" si="50"/>
        <v>0</v>
      </c>
      <c r="O206" s="42"/>
      <c r="P206" s="42"/>
      <c r="Q206" s="42">
        <f t="shared" si="51"/>
        <v>0</v>
      </c>
    </row>
    <row r="207" spans="1:17" ht="12.75" customHeight="1" hidden="1">
      <c r="A207" s="30" t="s">
        <v>98</v>
      </c>
      <c r="B207" s="42"/>
      <c r="C207" s="42"/>
      <c r="D207" s="42"/>
      <c r="E207" s="42">
        <f>B207+C207</f>
        <v>0</v>
      </c>
      <c r="F207" s="42"/>
      <c r="G207" s="42"/>
      <c r="H207" s="42">
        <f t="shared" si="52"/>
        <v>0</v>
      </c>
      <c r="I207" s="42"/>
      <c r="J207" s="42"/>
      <c r="K207" s="42">
        <f t="shared" si="53"/>
        <v>0</v>
      </c>
      <c r="L207" s="42"/>
      <c r="M207" s="42"/>
      <c r="N207" s="42">
        <f t="shared" si="50"/>
        <v>0</v>
      </c>
      <c r="O207" s="42"/>
      <c r="P207" s="42"/>
      <c r="Q207" s="42">
        <f t="shared" si="51"/>
        <v>0</v>
      </c>
    </row>
    <row r="208" spans="1:17" ht="12.75" customHeight="1" hidden="1">
      <c r="A208" s="8" t="s">
        <v>100</v>
      </c>
      <c r="B208" s="42"/>
      <c r="C208" s="42"/>
      <c r="D208" s="42"/>
      <c r="E208" s="42">
        <f>B208+C208</f>
        <v>0</v>
      </c>
      <c r="F208" s="42"/>
      <c r="G208" s="42"/>
      <c r="H208" s="42">
        <f t="shared" si="52"/>
        <v>0</v>
      </c>
      <c r="I208" s="42"/>
      <c r="J208" s="42"/>
      <c r="K208" s="42">
        <f t="shared" si="53"/>
        <v>0</v>
      </c>
      <c r="L208" s="42"/>
      <c r="M208" s="42"/>
      <c r="N208" s="42">
        <f t="shared" si="50"/>
        <v>0</v>
      </c>
      <c r="O208" s="42"/>
      <c r="P208" s="42"/>
      <c r="Q208" s="42">
        <f t="shared" si="51"/>
        <v>0</v>
      </c>
    </row>
    <row r="209" spans="1:17" ht="12.75" customHeight="1">
      <c r="A209" s="4" t="s">
        <v>145</v>
      </c>
      <c r="B209" s="42"/>
      <c r="C209" s="42"/>
      <c r="D209" s="42"/>
      <c r="E209" s="42">
        <f>B209+C209</f>
        <v>0</v>
      </c>
      <c r="F209" s="42">
        <v>439.8</v>
      </c>
      <c r="G209" s="42"/>
      <c r="H209" s="42">
        <f t="shared" si="52"/>
        <v>439.8</v>
      </c>
      <c r="I209" s="42"/>
      <c r="J209" s="42"/>
      <c r="K209" s="42">
        <f t="shared" si="53"/>
        <v>439.8</v>
      </c>
      <c r="L209" s="42"/>
      <c r="M209" s="42"/>
      <c r="N209" s="42">
        <f t="shared" si="50"/>
        <v>439.8</v>
      </c>
      <c r="O209" s="42"/>
      <c r="P209" s="42"/>
      <c r="Q209" s="42">
        <f t="shared" si="51"/>
        <v>439.8</v>
      </c>
    </row>
    <row r="210" spans="1:17" ht="12.75" customHeight="1" hidden="1">
      <c r="A210" s="4" t="s">
        <v>133</v>
      </c>
      <c r="B210" s="42"/>
      <c r="C210" s="42"/>
      <c r="D210" s="42"/>
      <c r="E210" s="42">
        <f>B210+C210+D210</f>
        <v>0</v>
      </c>
      <c r="F210" s="42"/>
      <c r="G210" s="42"/>
      <c r="H210" s="42">
        <f t="shared" si="52"/>
        <v>0</v>
      </c>
      <c r="I210" s="42"/>
      <c r="J210" s="42"/>
      <c r="K210" s="42">
        <f t="shared" si="53"/>
        <v>0</v>
      </c>
      <c r="L210" s="42"/>
      <c r="M210" s="42"/>
      <c r="N210" s="42">
        <f t="shared" si="50"/>
        <v>0</v>
      </c>
      <c r="O210" s="42"/>
      <c r="P210" s="42"/>
      <c r="Q210" s="42">
        <f t="shared" si="51"/>
        <v>0</v>
      </c>
    </row>
    <row r="211" spans="1:17" ht="12.75" customHeight="1">
      <c r="A211" s="4" t="s">
        <v>228</v>
      </c>
      <c r="B211" s="42"/>
      <c r="C211" s="42"/>
      <c r="D211" s="42"/>
      <c r="E211" s="42"/>
      <c r="F211" s="42">
        <v>8049.2</v>
      </c>
      <c r="G211" s="42"/>
      <c r="H211" s="42">
        <f>SUM(E211:G211)</f>
        <v>8049.2</v>
      </c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ht="12.75" customHeight="1">
      <c r="A212" s="4" t="s">
        <v>38</v>
      </c>
      <c r="B212" s="42">
        <v>3000</v>
      </c>
      <c r="C212" s="42">
        <v>2000</v>
      </c>
      <c r="D212" s="42"/>
      <c r="E212" s="42">
        <f>B212+C212+D212</f>
        <v>5000</v>
      </c>
      <c r="F212" s="42"/>
      <c r="G212" s="42"/>
      <c r="H212" s="42">
        <f t="shared" si="52"/>
        <v>5000</v>
      </c>
      <c r="I212" s="42"/>
      <c r="J212" s="42"/>
      <c r="K212" s="42">
        <f t="shared" si="53"/>
        <v>5000</v>
      </c>
      <c r="L212" s="42"/>
      <c r="M212" s="42"/>
      <c r="N212" s="42">
        <f t="shared" si="50"/>
        <v>5000</v>
      </c>
      <c r="O212" s="42"/>
      <c r="P212" s="42"/>
      <c r="Q212" s="42">
        <f t="shared" si="51"/>
        <v>5000</v>
      </c>
    </row>
    <row r="213" spans="1:17" ht="12.75" customHeight="1">
      <c r="A213" s="4" t="s">
        <v>67</v>
      </c>
      <c r="B213" s="42">
        <v>20000</v>
      </c>
      <c r="C213" s="42"/>
      <c r="D213" s="42">
        <v>-20000</v>
      </c>
      <c r="E213" s="42">
        <f>B213+C213+D213</f>
        <v>0</v>
      </c>
      <c r="F213" s="42"/>
      <c r="G213" s="42"/>
      <c r="H213" s="42">
        <f t="shared" si="52"/>
        <v>0</v>
      </c>
      <c r="I213" s="42"/>
      <c r="J213" s="42"/>
      <c r="K213" s="42">
        <f t="shared" si="53"/>
        <v>0</v>
      </c>
      <c r="L213" s="42"/>
      <c r="M213" s="42"/>
      <c r="N213" s="42">
        <f t="shared" si="50"/>
        <v>0</v>
      </c>
      <c r="O213" s="42"/>
      <c r="P213" s="42"/>
      <c r="Q213" s="42">
        <f t="shared" si="51"/>
        <v>0</v>
      </c>
    </row>
    <row r="214" spans="1:17" ht="12.75" customHeight="1">
      <c r="A214" s="4" t="s">
        <v>220</v>
      </c>
      <c r="B214" s="42">
        <v>60000</v>
      </c>
      <c r="C214" s="42">
        <f>-500+17220.6-2000</f>
        <v>14720.599999999999</v>
      </c>
      <c r="D214" s="42">
        <v>30000</v>
      </c>
      <c r="E214" s="42">
        <f>B214+C214+D214</f>
        <v>104720.6</v>
      </c>
      <c r="F214" s="42">
        <f>58100-880</f>
        <v>57220</v>
      </c>
      <c r="G214" s="42"/>
      <c r="H214" s="42">
        <f t="shared" si="52"/>
        <v>161940.6</v>
      </c>
      <c r="I214" s="42"/>
      <c r="J214" s="42"/>
      <c r="K214" s="42">
        <f t="shared" si="53"/>
        <v>161940.6</v>
      </c>
      <c r="L214" s="42"/>
      <c r="M214" s="42"/>
      <c r="N214" s="42">
        <f t="shared" si="50"/>
        <v>161940.6</v>
      </c>
      <c r="O214" s="42"/>
      <c r="P214" s="42"/>
      <c r="Q214" s="42">
        <f t="shared" si="51"/>
        <v>161940.6</v>
      </c>
    </row>
    <row r="215" spans="1:17" ht="12" customHeight="1">
      <c r="A215" s="4" t="s">
        <v>207</v>
      </c>
      <c r="B215" s="42">
        <v>25500</v>
      </c>
      <c r="C215" s="42">
        <f>-500-2000</f>
        <v>-2500</v>
      </c>
      <c r="D215" s="42"/>
      <c r="E215" s="42">
        <f>SUM(A215:D215)</f>
        <v>23000</v>
      </c>
      <c r="F215" s="40"/>
      <c r="G215" s="40"/>
      <c r="H215" s="42">
        <f>SUM(E215:G215)</f>
        <v>23000</v>
      </c>
      <c r="I215" s="40"/>
      <c r="J215" s="40"/>
      <c r="K215" s="42"/>
      <c r="L215" s="40"/>
      <c r="M215" s="40"/>
      <c r="N215" s="42"/>
      <c r="O215" s="40"/>
      <c r="P215" s="40"/>
      <c r="Q215" s="42"/>
    </row>
    <row r="216" spans="1:17" ht="12" customHeight="1">
      <c r="A216" s="36" t="s">
        <v>221</v>
      </c>
      <c r="B216" s="46"/>
      <c r="C216" s="46"/>
      <c r="D216" s="46">
        <v>30000</v>
      </c>
      <c r="E216" s="46">
        <f>SUM(A216:D216)</f>
        <v>30000</v>
      </c>
      <c r="F216" s="46">
        <v>-880</v>
      </c>
      <c r="G216" s="46"/>
      <c r="H216" s="46">
        <f>SUM(E216:G216)</f>
        <v>29120</v>
      </c>
      <c r="I216" s="42"/>
      <c r="J216" s="42"/>
      <c r="K216" s="42">
        <f>SUM(H216:J216)</f>
        <v>29120</v>
      </c>
      <c r="L216" s="42"/>
      <c r="M216" s="42"/>
      <c r="N216" s="42">
        <f>SUM(K216:M216)</f>
        <v>29120</v>
      </c>
      <c r="O216" s="42"/>
      <c r="P216" s="42"/>
      <c r="Q216" s="42">
        <f>SUM(N216:P216)</f>
        <v>29120</v>
      </c>
    </row>
    <row r="217" spans="1:17" ht="19.5" customHeight="1">
      <c r="A217" s="2" t="s">
        <v>17</v>
      </c>
      <c r="B217" s="39">
        <f aca="true" t="shared" si="54" ref="B217:Q217">B218+B239</f>
        <v>508374.2</v>
      </c>
      <c r="C217" s="39">
        <f t="shared" si="54"/>
        <v>1060790.5</v>
      </c>
      <c r="D217" s="39">
        <f t="shared" si="54"/>
        <v>13745.9</v>
      </c>
      <c r="E217" s="39">
        <f t="shared" si="54"/>
        <v>1582910.5999999999</v>
      </c>
      <c r="F217" s="39">
        <f t="shared" si="54"/>
        <v>1075009.1</v>
      </c>
      <c r="G217" s="39">
        <f t="shared" si="54"/>
        <v>0</v>
      </c>
      <c r="H217" s="39">
        <f t="shared" si="54"/>
        <v>2657919.7</v>
      </c>
      <c r="I217" s="39">
        <f t="shared" si="54"/>
        <v>0</v>
      </c>
      <c r="J217" s="39">
        <f t="shared" si="54"/>
        <v>0</v>
      </c>
      <c r="K217" s="39">
        <f t="shared" si="54"/>
        <v>2657919.7</v>
      </c>
      <c r="L217" s="39">
        <f t="shared" si="54"/>
        <v>0</v>
      </c>
      <c r="M217" s="39">
        <f t="shared" si="54"/>
        <v>0</v>
      </c>
      <c r="N217" s="39">
        <f t="shared" si="54"/>
        <v>2657919.7</v>
      </c>
      <c r="O217" s="39">
        <f t="shared" si="54"/>
        <v>0</v>
      </c>
      <c r="P217" s="39">
        <f t="shared" si="54"/>
        <v>0</v>
      </c>
      <c r="Q217" s="39">
        <f t="shared" si="54"/>
        <v>2657919.7</v>
      </c>
    </row>
    <row r="218" spans="1:17" ht="15" customHeight="1">
      <c r="A218" s="6" t="s">
        <v>34</v>
      </c>
      <c r="B218" s="44">
        <f>SUM(B220:B238)</f>
        <v>339280</v>
      </c>
      <c r="C218" s="44">
        <f>SUM(C220:C238)</f>
        <v>1060490.5</v>
      </c>
      <c r="D218" s="44">
        <f>SUM(D220:D238)</f>
        <v>8578.9</v>
      </c>
      <c r="E218" s="44">
        <f>B218+C218+D218</f>
        <v>1408349.4</v>
      </c>
      <c r="F218" s="44">
        <f>SUM(F220:F238)</f>
        <v>1070009.1</v>
      </c>
      <c r="G218" s="44">
        <f>SUM(G220:G238)</f>
        <v>0</v>
      </c>
      <c r="H218" s="44">
        <f>E218+F218+G218</f>
        <v>2478358.5</v>
      </c>
      <c r="I218" s="44">
        <f>SUM(I220:I238)</f>
        <v>0</v>
      </c>
      <c r="J218" s="44">
        <f>SUM(J220:J238)</f>
        <v>0</v>
      </c>
      <c r="K218" s="44">
        <f>H218+I218+J218</f>
        <v>2478358.5</v>
      </c>
      <c r="L218" s="44">
        <f>SUM(L220:L238)</f>
        <v>0</v>
      </c>
      <c r="M218" s="44">
        <f>SUM(M220:M238)</f>
        <v>0</v>
      </c>
      <c r="N218" s="44">
        <f>K218+L218+M218</f>
        <v>2478358.5</v>
      </c>
      <c r="O218" s="44">
        <f>SUM(O220:O238)</f>
        <v>0</v>
      </c>
      <c r="P218" s="44">
        <f>SUM(P220:P238)</f>
        <v>0</v>
      </c>
      <c r="Q218" s="44">
        <f>N218+O218+P218</f>
        <v>2478358.5</v>
      </c>
    </row>
    <row r="219" spans="1:17" ht="10.5" customHeight="1">
      <c r="A219" s="10" t="s">
        <v>1</v>
      </c>
      <c r="B219" s="40"/>
      <c r="C219" s="40"/>
      <c r="D219" s="40"/>
      <c r="E219" s="42"/>
      <c r="F219" s="40"/>
      <c r="G219" s="40"/>
      <c r="H219" s="42"/>
      <c r="I219" s="40"/>
      <c r="J219" s="40"/>
      <c r="K219" s="42"/>
      <c r="L219" s="40"/>
      <c r="M219" s="40"/>
      <c r="N219" s="42"/>
      <c r="O219" s="40"/>
      <c r="P219" s="40"/>
      <c r="Q219" s="42"/>
    </row>
    <row r="220" spans="1:17" ht="12.75" customHeight="1">
      <c r="A220" s="5" t="s">
        <v>18</v>
      </c>
      <c r="B220" s="42">
        <v>317530</v>
      </c>
      <c r="C220" s="42">
        <f>291+200</f>
        <v>491</v>
      </c>
      <c r="D220" s="42">
        <f>8000+1160.8</f>
        <v>9160.8</v>
      </c>
      <c r="E220" s="42">
        <f>B220+C220+D220</f>
        <v>327181.8</v>
      </c>
      <c r="F220" s="42">
        <v>605</v>
      </c>
      <c r="G220" s="42"/>
      <c r="H220" s="42">
        <f>E220+F220+G220</f>
        <v>327786.8</v>
      </c>
      <c r="I220" s="42"/>
      <c r="J220" s="42"/>
      <c r="K220" s="42">
        <f>H220+I220+J220</f>
        <v>327786.8</v>
      </c>
      <c r="L220" s="42"/>
      <c r="M220" s="42"/>
      <c r="N220" s="42">
        <f>K220+L220+M220</f>
        <v>327786.8</v>
      </c>
      <c r="O220" s="42"/>
      <c r="P220" s="42"/>
      <c r="Q220" s="42">
        <f>N220+O220+P220</f>
        <v>327786.8</v>
      </c>
    </row>
    <row r="221" spans="1:17" ht="12.75" customHeight="1">
      <c r="A221" s="5" t="s">
        <v>32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ht="12.75" customHeight="1">
      <c r="A222" s="5" t="s">
        <v>29</v>
      </c>
      <c r="B222" s="42"/>
      <c r="C222" s="42">
        <v>392418</v>
      </c>
      <c r="D222" s="42"/>
      <c r="E222" s="42">
        <f>B222+C222+D222</f>
        <v>392418</v>
      </c>
      <c r="F222" s="42">
        <v>401611</v>
      </c>
      <c r="G222" s="42"/>
      <c r="H222" s="42">
        <f aca="true" t="shared" si="55" ref="H222:H232">E222+F222+G222</f>
        <v>794029</v>
      </c>
      <c r="I222" s="42"/>
      <c r="J222" s="42"/>
      <c r="K222" s="42">
        <f aca="true" t="shared" si="56" ref="K222:K230">H222+I222+J222</f>
        <v>794029</v>
      </c>
      <c r="L222" s="42"/>
      <c r="M222" s="42"/>
      <c r="N222" s="42">
        <f aca="true" t="shared" si="57" ref="N222:N232">K222+L222+M222</f>
        <v>794029</v>
      </c>
      <c r="O222" s="42"/>
      <c r="P222" s="42"/>
      <c r="Q222" s="42">
        <f aca="true" t="shared" si="58" ref="Q222:Q234">N222+O222+P222</f>
        <v>794029</v>
      </c>
    </row>
    <row r="223" spans="1:17" ht="12.75" customHeight="1">
      <c r="A223" s="5" t="s">
        <v>30</v>
      </c>
      <c r="B223" s="42"/>
      <c r="C223" s="42">
        <v>44760</v>
      </c>
      <c r="D223" s="42"/>
      <c r="E223" s="42">
        <f>B223+C223</f>
        <v>44760</v>
      </c>
      <c r="F223" s="42">
        <v>48170</v>
      </c>
      <c r="G223" s="42"/>
      <c r="H223" s="42">
        <f t="shared" si="55"/>
        <v>92930</v>
      </c>
      <c r="I223" s="42"/>
      <c r="J223" s="42"/>
      <c r="K223" s="42">
        <f t="shared" si="56"/>
        <v>92930</v>
      </c>
      <c r="L223" s="42"/>
      <c r="M223" s="42"/>
      <c r="N223" s="42">
        <f t="shared" si="57"/>
        <v>92930</v>
      </c>
      <c r="O223" s="42"/>
      <c r="P223" s="42"/>
      <c r="Q223" s="42">
        <f t="shared" si="58"/>
        <v>92930</v>
      </c>
    </row>
    <row r="224" spans="1:17" ht="12.75" customHeight="1">
      <c r="A224" s="5" t="s">
        <v>31</v>
      </c>
      <c r="B224" s="42"/>
      <c r="C224" s="42">
        <v>620687</v>
      </c>
      <c r="D224" s="42"/>
      <c r="E224" s="42">
        <f>B224+C224+D224</f>
        <v>620687</v>
      </c>
      <c r="F224" s="42">
        <v>611494</v>
      </c>
      <c r="G224" s="42"/>
      <c r="H224" s="42">
        <f t="shared" si="55"/>
        <v>1232181</v>
      </c>
      <c r="I224" s="42"/>
      <c r="J224" s="42"/>
      <c r="K224" s="42">
        <f t="shared" si="56"/>
        <v>1232181</v>
      </c>
      <c r="L224" s="42"/>
      <c r="M224" s="42"/>
      <c r="N224" s="42">
        <f t="shared" si="57"/>
        <v>1232181</v>
      </c>
      <c r="O224" s="42"/>
      <c r="P224" s="42"/>
      <c r="Q224" s="42">
        <f t="shared" si="58"/>
        <v>1232181</v>
      </c>
    </row>
    <row r="225" spans="1:17" ht="12.75" customHeight="1">
      <c r="A225" s="5" t="s">
        <v>96</v>
      </c>
      <c r="B225" s="42"/>
      <c r="C225" s="42"/>
      <c r="D225" s="42"/>
      <c r="E225" s="42">
        <f aca="true" t="shared" si="59" ref="E225:E237">B225+C225</f>
        <v>0</v>
      </c>
      <c r="F225" s="42">
        <v>12</v>
      </c>
      <c r="G225" s="42"/>
      <c r="H225" s="42">
        <f t="shared" si="55"/>
        <v>12</v>
      </c>
      <c r="I225" s="42"/>
      <c r="J225" s="42"/>
      <c r="K225" s="42">
        <f t="shared" si="56"/>
        <v>12</v>
      </c>
      <c r="L225" s="42"/>
      <c r="M225" s="42"/>
      <c r="N225" s="42">
        <f t="shared" si="57"/>
        <v>12</v>
      </c>
      <c r="O225" s="42"/>
      <c r="P225" s="42"/>
      <c r="Q225" s="42">
        <f t="shared" si="58"/>
        <v>12</v>
      </c>
    </row>
    <row r="226" spans="1:17" ht="12.75" customHeight="1">
      <c r="A226" s="5" t="s">
        <v>42</v>
      </c>
      <c r="B226" s="42"/>
      <c r="C226" s="42">
        <v>16</v>
      </c>
      <c r="D226" s="42"/>
      <c r="E226" s="42">
        <f t="shared" si="59"/>
        <v>16</v>
      </c>
      <c r="F226" s="42"/>
      <c r="G226" s="42"/>
      <c r="H226" s="42">
        <f t="shared" si="55"/>
        <v>16</v>
      </c>
      <c r="I226" s="42"/>
      <c r="J226" s="42"/>
      <c r="K226" s="42">
        <f t="shared" si="56"/>
        <v>16</v>
      </c>
      <c r="L226" s="42"/>
      <c r="M226" s="42"/>
      <c r="N226" s="42">
        <f t="shared" si="57"/>
        <v>16</v>
      </c>
      <c r="O226" s="42"/>
      <c r="P226" s="42"/>
      <c r="Q226" s="42">
        <f t="shared" si="58"/>
        <v>16</v>
      </c>
    </row>
    <row r="227" spans="1:17" ht="12.75" customHeight="1">
      <c r="A227" s="5" t="s">
        <v>214</v>
      </c>
      <c r="B227" s="42"/>
      <c r="C227" s="42">
        <f>106.1+1001.3+639+138.1</f>
        <v>1884.4999999999998</v>
      </c>
      <c r="D227" s="42"/>
      <c r="E227" s="42">
        <f t="shared" si="59"/>
        <v>1884.4999999999998</v>
      </c>
      <c r="F227" s="42">
        <f>457.9+586.6</f>
        <v>1044.5</v>
      </c>
      <c r="G227" s="42"/>
      <c r="H227" s="42">
        <f t="shared" si="55"/>
        <v>2929</v>
      </c>
      <c r="I227" s="42"/>
      <c r="J227" s="42"/>
      <c r="K227" s="42">
        <f t="shared" si="56"/>
        <v>2929</v>
      </c>
      <c r="L227" s="42"/>
      <c r="M227" s="42"/>
      <c r="N227" s="42">
        <f t="shared" si="57"/>
        <v>2929</v>
      </c>
      <c r="O227" s="42"/>
      <c r="P227" s="42"/>
      <c r="Q227" s="42">
        <f t="shared" si="58"/>
        <v>2929</v>
      </c>
    </row>
    <row r="228" spans="1:17" ht="12.75" customHeight="1">
      <c r="A228" s="5" t="s">
        <v>82</v>
      </c>
      <c r="B228" s="42"/>
      <c r="C228" s="42">
        <v>825</v>
      </c>
      <c r="D228" s="42"/>
      <c r="E228" s="42">
        <f t="shared" si="59"/>
        <v>825</v>
      </c>
      <c r="F228" s="42"/>
      <c r="G228" s="42"/>
      <c r="H228" s="42">
        <f t="shared" si="55"/>
        <v>825</v>
      </c>
      <c r="I228" s="42"/>
      <c r="J228" s="42"/>
      <c r="K228" s="42">
        <f t="shared" si="56"/>
        <v>825</v>
      </c>
      <c r="L228" s="42"/>
      <c r="M228" s="42"/>
      <c r="N228" s="42">
        <f t="shared" si="57"/>
        <v>825</v>
      </c>
      <c r="O228" s="42"/>
      <c r="P228" s="42"/>
      <c r="Q228" s="42">
        <f t="shared" si="58"/>
        <v>825</v>
      </c>
    </row>
    <row r="229" spans="1:17" ht="12.75" customHeight="1" hidden="1">
      <c r="A229" s="5" t="s">
        <v>83</v>
      </c>
      <c r="B229" s="42"/>
      <c r="C229" s="42"/>
      <c r="D229" s="42"/>
      <c r="E229" s="42">
        <f t="shared" si="59"/>
        <v>0</v>
      </c>
      <c r="F229" s="42"/>
      <c r="G229" s="42"/>
      <c r="H229" s="42">
        <f t="shared" si="55"/>
        <v>0</v>
      </c>
      <c r="I229" s="42"/>
      <c r="J229" s="42"/>
      <c r="K229" s="42">
        <f t="shared" si="56"/>
        <v>0</v>
      </c>
      <c r="L229" s="42"/>
      <c r="M229" s="42"/>
      <c r="N229" s="42">
        <f t="shared" si="57"/>
        <v>0</v>
      </c>
      <c r="O229" s="42"/>
      <c r="P229" s="42"/>
      <c r="Q229" s="42">
        <f t="shared" si="58"/>
        <v>0</v>
      </c>
    </row>
    <row r="230" spans="1:17" ht="12.75" customHeight="1">
      <c r="A230" s="5" t="s">
        <v>104</v>
      </c>
      <c r="B230" s="42"/>
      <c r="C230" s="42"/>
      <c r="D230" s="42"/>
      <c r="E230" s="42">
        <f t="shared" si="59"/>
        <v>0</v>
      </c>
      <c r="F230" s="42">
        <v>128.6</v>
      </c>
      <c r="G230" s="42"/>
      <c r="H230" s="42">
        <f t="shared" si="55"/>
        <v>128.6</v>
      </c>
      <c r="I230" s="42"/>
      <c r="J230" s="42"/>
      <c r="K230" s="42">
        <f t="shared" si="56"/>
        <v>128.6</v>
      </c>
      <c r="L230" s="42"/>
      <c r="M230" s="42"/>
      <c r="N230" s="42">
        <f t="shared" si="57"/>
        <v>128.6</v>
      </c>
      <c r="O230" s="42"/>
      <c r="P230" s="42"/>
      <c r="Q230" s="42">
        <f t="shared" si="58"/>
        <v>128.6</v>
      </c>
    </row>
    <row r="231" spans="1:17" ht="12.75" customHeight="1">
      <c r="A231" s="5" t="s">
        <v>234</v>
      </c>
      <c r="B231" s="42"/>
      <c r="C231" s="42"/>
      <c r="D231" s="42"/>
      <c r="E231" s="42">
        <f t="shared" si="59"/>
        <v>0</v>
      </c>
      <c r="F231" s="42">
        <f>2662+2239.3</f>
        <v>4901.3</v>
      </c>
      <c r="G231" s="42"/>
      <c r="H231" s="42">
        <f t="shared" si="55"/>
        <v>4901.3</v>
      </c>
      <c r="I231" s="42"/>
      <c r="J231" s="42"/>
      <c r="K231" s="42"/>
      <c r="L231" s="42"/>
      <c r="M231" s="42"/>
      <c r="N231" s="42">
        <f t="shared" si="57"/>
        <v>0</v>
      </c>
      <c r="O231" s="42"/>
      <c r="P231" s="42"/>
      <c r="Q231" s="42">
        <f t="shared" si="58"/>
        <v>0</v>
      </c>
    </row>
    <row r="232" spans="1:17" ht="12.75" customHeight="1">
      <c r="A232" s="5" t="s">
        <v>238</v>
      </c>
      <c r="B232" s="42"/>
      <c r="C232" s="42"/>
      <c r="D232" s="42"/>
      <c r="E232" s="42">
        <f t="shared" si="59"/>
        <v>0</v>
      </c>
      <c r="F232" s="42">
        <v>1766.7</v>
      </c>
      <c r="G232" s="42"/>
      <c r="H232" s="42">
        <f t="shared" si="55"/>
        <v>1766.7</v>
      </c>
      <c r="I232" s="42"/>
      <c r="J232" s="42"/>
      <c r="K232" s="42"/>
      <c r="L232" s="42"/>
      <c r="M232" s="42"/>
      <c r="N232" s="42">
        <f t="shared" si="57"/>
        <v>0</v>
      </c>
      <c r="O232" s="42"/>
      <c r="P232" s="42"/>
      <c r="Q232" s="42">
        <f t="shared" si="58"/>
        <v>0</v>
      </c>
    </row>
    <row r="233" spans="1:17" ht="12.75" customHeight="1" hidden="1">
      <c r="A233" s="32" t="s">
        <v>198</v>
      </c>
      <c r="B233" s="46"/>
      <c r="C233" s="46"/>
      <c r="D233" s="46"/>
      <c r="E233" s="46">
        <f t="shared" si="59"/>
        <v>0</v>
      </c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>
        <f t="shared" si="58"/>
        <v>0</v>
      </c>
    </row>
    <row r="234" spans="1:17" ht="12.75" customHeight="1" hidden="1">
      <c r="A234" s="5" t="s">
        <v>190</v>
      </c>
      <c r="B234" s="42"/>
      <c r="C234" s="42"/>
      <c r="D234" s="42"/>
      <c r="E234" s="42">
        <f t="shared" si="59"/>
        <v>0</v>
      </c>
      <c r="F234" s="42"/>
      <c r="G234" s="42"/>
      <c r="H234" s="42"/>
      <c r="I234" s="42"/>
      <c r="J234" s="42"/>
      <c r="K234" s="42"/>
      <c r="L234" s="42"/>
      <c r="M234" s="42"/>
      <c r="N234" s="42">
        <f>K234+L234+M234</f>
        <v>0</v>
      </c>
      <c r="O234" s="42"/>
      <c r="P234" s="42"/>
      <c r="Q234" s="42">
        <f t="shared" si="58"/>
        <v>0</v>
      </c>
    </row>
    <row r="235" spans="1:17" ht="12.75" customHeight="1">
      <c r="A235" s="5" t="s">
        <v>240</v>
      </c>
      <c r="B235" s="42"/>
      <c r="C235" s="42"/>
      <c r="D235" s="42"/>
      <c r="E235" s="42"/>
      <c r="F235" s="42">
        <v>381</v>
      </c>
      <c r="G235" s="42"/>
      <c r="H235" s="42">
        <f>E235+F235+G235</f>
        <v>381</v>
      </c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ht="12.75" customHeight="1">
      <c r="A236" s="5" t="s">
        <v>216</v>
      </c>
      <c r="B236" s="42"/>
      <c r="C236" s="42">
        <v>154</v>
      </c>
      <c r="D236" s="42"/>
      <c r="E236" s="42">
        <f t="shared" si="59"/>
        <v>154</v>
      </c>
      <c r="F236" s="42">
        <v>-154</v>
      </c>
      <c r="G236" s="42"/>
      <c r="H236" s="42">
        <f>E236+F236+G236</f>
        <v>0</v>
      </c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ht="12.75" customHeight="1" hidden="1">
      <c r="A237" s="5" t="s">
        <v>41</v>
      </c>
      <c r="B237" s="42"/>
      <c r="C237" s="42"/>
      <c r="D237" s="42"/>
      <c r="E237" s="42">
        <f t="shared" si="59"/>
        <v>0</v>
      </c>
      <c r="F237" s="42"/>
      <c r="G237" s="42"/>
      <c r="H237" s="42">
        <f>E237+F237+G237</f>
        <v>0</v>
      </c>
      <c r="I237" s="42"/>
      <c r="J237" s="42"/>
      <c r="K237" s="42">
        <f>H237+I237+J237</f>
        <v>0</v>
      </c>
      <c r="L237" s="42"/>
      <c r="M237" s="42"/>
      <c r="N237" s="42">
        <f>K237+L237+M237</f>
        <v>0</v>
      </c>
      <c r="O237" s="42"/>
      <c r="P237" s="42"/>
      <c r="Q237" s="42">
        <f>N237+O237+P237</f>
        <v>0</v>
      </c>
    </row>
    <row r="238" spans="1:17" ht="12.75" customHeight="1">
      <c r="A238" s="4" t="s">
        <v>9</v>
      </c>
      <c r="B238" s="42">
        <v>21750</v>
      </c>
      <c r="C238" s="42">
        <v>-745</v>
      </c>
      <c r="D238" s="42">
        <v>-581.9</v>
      </c>
      <c r="E238" s="42">
        <f>B238+C238+D238</f>
        <v>20423.1</v>
      </c>
      <c r="F238" s="42">
        <f>-251+300</f>
        <v>49</v>
      </c>
      <c r="G238" s="42"/>
      <c r="H238" s="42">
        <f>E238+F238+G238</f>
        <v>20472.1</v>
      </c>
      <c r="I238" s="42"/>
      <c r="J238" s="42"/>
      <c r="K238" s="42">
        <f>H238+I238+J238</f>
        <v>20472.1</v>
      </c>
      <c r="L238" s="42"/>
      <c r="M238" s="42"/>
      <c r="N238" s="42">
        <f>K238+L238+M238</f>
        <v>20472.1</v>
      </c>
      <c r="O238" s="42"/>
      <c r="P238" s="42"/>
      <c r="Q238" s="42">
        <f>N238+O238+P238</f>
        <v>20472.1</v>
      </c>
    </row>
    <row r="239" spans="1:17" ht="15" customHeight="1">
      <c r="A239" s="13" t="s">
        <v>35</v>
      </c>
      <c r="B239" s="45">
        <f>SUM(B244:B245)</f>
        <v>169094.2</v>
      </c>
      <c r="C239" s="45">
        <f>SUM(C241:C245)</f>
        <v>300</v>
      </c>
      <c r="D239" s="45">
        <f>SUM(D241:D245)</f>
        <v>5167</v>
      </c>
      <c r="E239" s="44">
        <f>B239+C239+D239</f>
        <v>174561.2</v>
      </c>
      <c r="F239" s="45">
        <f>SUM(F241:F245)</f>
        <v>5000</v>
      </c>
      <c r="G239" s="45">
        <f>SUM(G244:G245)</f>
        <v>0</v>
      </c>
      <c r="H239" s="44">
        <f>E239+F239+G239</f>
        <v>179561.2</v>
      </c>
      <c r="I239" s="45">
        <f>SUM(I241:I245)</f>
        <v>0</v>
      </c>
      <c r="J239" s="45">
        <f>SUM(J244:J245)</f>
        <v>0</v>
      </c>
      <c r="K239" s="44">
        <f>H239+I239+J239</f>
        <v>179561.2</v>
      </c>
      <c r="L239" s="45">
        <f>SUM(L241:L245)</f>
        <v>0</v>
      </c>
      <c r="M239" s="45">
        <f>SUM(M241:M245)</f>
        <v>0</v>
      </c>
      <c r="N239" s="44">
        <f>K239+L239+M239</f>
        <v>179561.2</v>
      </c>
      <c r="O239" s="45">
        <f>SUM(O241:O245)</f>
        <v>0</v>
      </c>
      <c r="P239" s="45">
        <f>SUM(P241:P245)</f>
        <v>0</v>
      </c>
      <c r="Q239" s="44">
        <f>N239+O239+P239</f>
        <v>179561.2</v>
      </c>
    </row>
    <row r="240" spans="1:17" ht="10.5" customHeight="1">
      <c r="A240" s="3" t="s">
        <v>1</v>
      </c>
      <c r="B240" s="42"/>
      <c r="C240" s="42"/>
      <c r="D240" s="42"/>
      <c r="E240" s="42"/>
      <c r="F240" s="42"/>
      <c r="G240" s="42"/>
      <c r="H240" s="39"/>
      <c r="I240" s="42"/>
      <c r="J240" s="42"/>
      <c r="K240" s="39"/>
      <c r="L240" s="42"/>
      <c r="M240" s="42"/>
      <c r="N240" s="39"/>
      <c r="O240" s="42"/>
      <c r="P240" s="42"/>
      <c r="Q240" s="39"/>
    </row>
    <row r="241" spans="1:17" ht="12.75" customHeight="1">
      <c r="A241" s="5" t="s">
        <v>129</v>
      </c>
      <c r="B241" s="42"/>
      <c r="C241" s="42">
        <v>300</v>
      </c>
      <c r="D241" s="42">
        <v>167</v>
      </c>
      <c r="E241" s="42">
        <f>B241+C241+D241</f>
        <v>467</v>
      </c>
      <c r="F241" s="42"/>
      <c r="G241" s="42"/>
      <c r="H241" s="42">
        <f>E241+F241+G241</f>
        <v>467</v>
      </c>
      <c r="I241" s="42"/>
      <c r="J241" s="42"/>
      <c r="K241" s="42">
        <f>H241+I241+J241</f>
        <v>467</v>
      </c>
      <c r="L241" s="42"/>
      <c r="M241" s="42"/>
      <c r="N241" s="42">
        <f>K241+L241+M241</f>
        <v>467</v>
      </c>
      <c r="O241" s="42"/>
      <c r="P241" s="42"/>
      <c r="Q241" s="42">
        <f>N241+O241+P241</f>
        <v>467</v>
      </c>
    </row>
    <row r="242" spans="1:17" ht="12.75" customHeight="1">
      <c r="A242" s="5" t="s">
        <v>185</v>
      </c>
      <c r="B242" s="42"/>
      <c r="C242" s="42"/>
      <c r="D242" s="42"/>
      <c r="E242" s="42"/>
      <c r="F242" s="42">
        <v>5000</v>
      </c>
      <c r="G242" s="42"/>
      <c r="H242" s="42">
        <f>E242+F242+G242</f>
        <v>5000</v>
      </c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ht="12.75" customHeight="1">
      <c r="A243" s="5" t="s">
        <v>38</v>
      </c>
      <c r="B243" s="42"/>
      <c r="C243" s="42"/>
      <c r="D243" s="42">
        <v>5000</v>
      </c>
      <c r="E243" s="42">
        <f>B243+C243+D243</f>
        <v>5000</v>
      </c>
      <c r="F243" s="42"/>
      <c r="G243" s="42"/>
      <c r="H243" s="42">
        <f>E243+F243+G243</f>
        <v>5000</v>
      </c>
      <c r="I243" s="42"/>
      <c r="J243" s="42"/>
      <c r="K243" s="42"/>
      <c r="L243" s="42"/>
      <c r="M243" s="42"/>
      <c r="N243" s="42">
        <f>K243+L243+M243</f>
        <v>0</v>
      </c>
      <c r="O243" s="42"/>
      <c r="P243" s="42"/>
      <c r="Q243" s="42">
        <f>N243+O243+P243</f>
        <v>0</v>
      </c>
    </row>
    <row r="244" spans="1:17" ht="12.75" customHeight="1" hidden="1">
      <c r="A244" s="8" t="s">
        <v>41</v>
      </c>
      <c r="B244" s="40"/>
      <c r="C244" s="40"/>
      <c r="D244" s="40"/>
      <c r="E244" s="42">
        <f>B244+C244+D244</f>
        <v>0</v>
      </c>
      <c r="F244" s="40"/>
      <c r="G244" s="40"/>
      <c r="H244" s="42">
        <f>E244+F244+G244</f>
        <v>0</v>
      </c>
      <c r="I244" s="40"/>
      <c r="J244" s="40"/>
      <c r="K244" s="42">
        <f>H244+I244+J244</f>
        <v>0</v>
      </c>
      <c r="L244" s="40"/>
      <c r="M244" s="40"/>
      <c r="N244" s="42">
        <f>K244+L244+M244</f>
        <v>0</v>
      </c>
      <c r="O244" s="40"/>
      <c r="P244" s="40"/>
      <c r="Q244" s="42">
        <f>N244+O244+P244</f>
        <v>0</v>
      </c>
    </row>
    <row r="245" spans="1:17" ht="12.75" customHeight="1">
      <c r="A245" s="37" t="s">
        <v>119</v>
      </c>
      <c r="B245" s="48">
        <v>169094.2</v>
      </c>
      <c r="C245" s="48"/>
      <c r="D245" s="48"/>
      <c r="E245" s="46">
        <f>B245+C245+D245</f>
        <v>169094.2</v>
      </c>
      <c r="F245" s="48"/>
      <c r="G245" s="48"/>
      <c r="H245" s="46">
        <f>E245+F245+G245</f>
        <v>169094.2</v>
      </c>
      <c r="I245" s="48"/>
      <c r="J245" s="48"/>
      <c r="K245" s="46">
        <f>H245+I245+J245</f>
        <v>169094.2</v>
      </c>
      <c r="L245" s="48"/>
      <c r="M245" s="48"/>
      <c r="N245" s="46">
        <f>K245+L245+M245</f>
        <v>169094.2</v>
      </c>
      <c r="O245" s="48"/>
      <c r="P245" s="48"/>
      <c r="Q245" s="46">
        <f>N245+O245+P245</f>
        <v>169094.2</v>
      </c>
    </row>
    <row r="246" spans="1:17" ht="19.5" customHeight="1">
      <c r="A246" s="2" t="s">
        <v>19</v>
      </c>
      <c r="B246" s="39">
        <f aca="true" t="shared" si="60" ref="B246:Q246">B247+B255</f>
        <v>320382</v>
      </c>
      <c r="C246" s="39">
        <f t="shared" si="60"/>
        <v>3672.6</v>
      </c>
      <c r="D246" s="39">
        <f t="shared" si="60"/>
        <v>39446.4</v>
      </c>
      <c r="E246" s="39">
        <f t="shared" si="60"/>
        <v>363501</v>
      </c>
      <c r="F246" s="39">
        <f t="shared" si="60"/>
        <v>-15718.5</v>
      </c>
      <c r="G246" s="39">
        <f t="shared" si="60"/>
        <v>0</v>
      </c>
      <c r="H246" s="39">
        <f t="shared" si="60"/>
        <v>347782.5</v>
      </c>
      <c r="I246" s="39">
        <f t="shared" si="60"/>
        <v>0</v>
      </c>
      <c r="J246" s="39">
        <f t="shared" si="60"/>
        <v>0</v>
      </c>
      <c r="K246" s="39">
        <f t="shared" si="60"/>
        <v>347782.5</v>
      </c>
      <c r="L246" s="39">
        <f t="shared" si="60"/>
        <v>0</v>
      </c>
      <c r="M246" s="39">
        <f t="shared" si="60"/>
        <v>0</v>
      </c>
      <c r="N246" s="39">
        <f t="shared" si="60"/>
        <v>347782.5</v>
      </c>
      <c r="O246" s="39">
        <f t="shared" si="60"/>
        <v>0</v>
      </c>
      <c r="P246" s="39">
        <f t="shared" si="60"/>
        <v>0</v>
      </c>
      <c r="Q246" s="39">
        <f t="shared" si="60"/>
        <v>347782.5</v>
      </c>
    </row>
    <row r="247" spans="1:17" ht="12.75" customHeight="1">
      <c r="A247" s="6" t="s">
        <v>34</v>
      </c>
      <c r="B247" s="44">
        <f>SUM(B249:B254)</f>
        <v>310382</v>
      </c>
      <c r="C247" s="44">
        <f>SUM(C249:C254)</f>
        <v>3672.6</v>
      </c>
      <c r="D247" s="44">
        <f>SUM(D249:D254)</f>
        <v>30074</v>
      </c>
      <c r="E247" s="44">
        <f>B247+C247+D247</f>
        <v>344128.6</v>
      </c>
      <c r="F247" s="44">
        <f>SUM(F249:F254)</f>
        <v>-19218.5</v>
      </c>
      <c r="G247" s="44">
        <f>SUM(G249:G254)</f>
        <v>0</v>
      </c>
      <c r="H247" s="44">
        <f>E247+F247+G247</f>
        <v>324910.1</v>
      </c>
      <c r="I247" s="44">
        <f>SUM(I249:I254)</f>
        <v>0</v>
      </c>
      <c r="J247" s="44">
        <f>SUM(J249:J254)</f>
        <v>0</v>
      </c>
      <c r="K247" s="44">
        <f>H247+I247+J247</f>
        <v>324910.1</v>
      </c>
      <c r="L247" s="44">
        <f>SUM(L249:L254)</f>
        <v>0</v>
      </c>
      <c r="M247" s="44">
        <f>SUM(M249:M254)</f>
        <v>0</v>
      </c>
      <c r="N247" s="44">
        <f>K247+L247+M247</f>
        <v>324910.1</v>
      </c>
      <c r="O247" s="44">
        <f>SUM(O249:O254)</f>
        <v>0</v>
      </c>
      <c r="P247" s="44">
        <f>SUM(P249:P254)</f>
        <v>0</v>
      </c>
      <c r="Q247" s="44">
        <f>N247+O247+P247</f>
        <v>324910.1</v>
      </c>
    </row>
    <row r="248" spans="1:17" ht="10.5" customHeight="1">
      <c r="A248" s="3" t="s">
        <v>1</v>
      </c>
      <c r="B248" s="42"/>
      <c r="C248" s="42"/>
      <c r="D248" s="42"/>
      <c r="E248" s="39"/>
      <c r="F248" s="42"/>
      <c r="G248" s="42"/>
      <c r="H248" s="39"/>
      <c r="I248" s="42"/>
      <c r="J248" s="42"/>
      <c r="K248" s="39"/>
      <c r="L248" s="42"/>
      <c r="M248" s="42"/>
      <c r="N248" s="39"/>
      <c r="O248" s="42"/>
      <c r="P248" s="42"/>
      <c r="Q248" s="39"/>
    </row>
    <row r="249" spans="1:17" ht="12.75" customHeight="1">
      <c r="A249" s="8" t="s">
        <v>18</v>
      </c>
      <c r="B249" s="40">
        <v>182762</v>
      </c>
      <c r="C249" s="40"/>
      <c r="D249" s="40">
        <v>670</v>
      </c>
      <c r="E249" s="42">
        <f aca="true" t="shared" si="61" ref="E249:E255">B249+C249+D249</f>
        <v>183432</v>
      </c>
      <c r="F249" s="40">
        <v>2180</v>
      </c>
      <c r="G249" s="40"/>
      <c r="H249" s="42">
        <f aca="true" t="shared" si="62" ref="H249:H255">E249+F249+G249</f>
        <v>185612</v>
      </c>
      <c r="I249" s="40"/>
      <c r="J249" s="40"/>
      <c r="K249" s="42">
        <f aca="true" t="shared" si="63" ref="K249:K255">H249+I249+J249</f>
        <v>185612</v>
      </c>
      <c r="L249" s="40"/>
      <c r="M249" s="40"/>
      <c r="N249" s="42">
        <f aca="true" t="shared" si="64" ref="N249:N255">K249+L249+M249</f>
        <v>185612</v>
      </c>
      <c r="O249" s="40"/>
      <c r="P249" s="40"/>
      <c r="Q249" s="42">
        <f aca="true" t="shared" si="65" ref="Q249:Q255">N249+O249+P249</f>
        <v>185612</v>
      </c>
    </row>
    <row r="250" spans="1:17" ht="12.75" customHeight="1">
      <c r="A250" s="5" t="s">
        <v>124</v>
      </c>
      <c r="B250" s="42">
        <v>87240</v>
      </c>
      <c r="C250" s="42"/>
      <c r="D250" s="42">
        <v>25000</v>
      </c>
      <c r="E250" s="42">
        <f t="shared" si="61"/>
        <v>112240</v>
      </c>
      <c r="F250" s="42">
        <v>751.5</v>
      </c>
      <c r="G250" s="42"/>
      <c r="H250" s="42">
        <f t="shared" si="62"/>
        <v>112991.5</v>
      </c>
      <c r="I250" s="42"/>
      <c r="J250" s="42"/>
      <c r="K250" s="42">
        <f t="shared" si="63"/>
        <v>112991.5</v>
      </c>
      <c r="L250" s="42"/>
      <c r="M250" s="42"/>
      <c r="N250" s="42">
        <f t="shared" si="64"/>
        <v>112991.5</v>
      </c>
      <c r="O250" s="42"/>
      <c r="P250" s="42"/>
      <c r="Q250" s="42">
        <f t="shared" si="65"/>
        <v>112991.5</v>
      </c>
    </row>
    <row r="251" spans="1:17" ht="12.75" customHeight="1">
      <c r="A251" s="5" t="s">
        <v>9</v>
      </c>
      <c r="B251" s="42">
        <v>40380</v>
      </c>
      <c r="C251" s="42">
        <v>3000</v>
      </c>
      <c r="D251" s="42">
        <v>223</v>
      </c>
      <c r="E251" s="42">
        <f t="shared" si="61"/>
        <v>43603</v>
      </c>
      <c r="F251" s="42">
        <f>-18650-3500</f>
        <v>-22150</v>
      </c>
      <c r="G251" s="42"/>
      <c r="H251" s="42">
        <f t="shared" si="62"/>
        <v>21453</v>
      </c>
      <c r="I251" s="42"/>
      <c r="J251" s="42"/>
      <c r="K251" s="42">
        <f t="shared" si="63"/>
        <v>21453</v>
      </c>
      <c r="L251" s="42"/>
      <c r="M251" s="42"/>
      <c r="N251" s="42">
        <f t="shared" si="64"/>
        <v>21453</v>
      </c>
      <c r="O251" s="42"/>
      <c r="P251" s="42"/>
      <c r="Q251" s="42">
        <f t="shared" si="65"/>
        <v>21453</v>
      </c>
    </row>
    <row r="252" spans="1:17" ht="12.75" customHeight="1">
      <c r="A252" s="5" t="s">
        <v>144</v>
      </c>
      <c r="B252" s="42"/>
      <c r="C252" s="42">
        <v>568.5</v>
      </c>
      <c r="D252" s="42"/>
      <c r="E252" s="42">
        <f t="shared" si="61"/>
        <v>568.5</v>
      </c>
      <c r="F252" s="42"/>
      <c r="G252" s="42"/>
      <c r="H252" s="42">
        <f t="shared" si="62"/>
        <v>568.5</v>
      </c>
      <c r="I252" s="42"/>
      <c r="J252" s="42"/>
      <c r="K252" s="42">
        <f t="shared" si="63"/>
        <v>568.5</v>
      </c>
      <c r="L252" s="42"/>
      <c r="M252" s="42"/>
      <c r="N252" s="42">
        <f t="shared" si="64"/>
        <v>568.5</v>
      </c>
      <c r="O252" s="42"/>
      <c r="P252" s="42"/>
      <c r="Q252" s="42">
        <f t="shared" si="65"/>
        <v>568.5</v>
      </c>
    </row>
    <row r="253" spans="1:17" ht="12.75" customHeight="1">
      <c r="A253" s="5" t="s">
        <v>184</v>
      </c>
      <c r="B253" s="42"/>
      <c r="C253" s="42">
        <v>104.1</v>
      </c>
      <c r="D253" s="42"/>
      <c r="E253" s="42">
        <f t="shared" si="61"/>
        <v>104.1</v>
      </c>
      <c r="F253" s="42"/>
      <c r="G253" s="42"/>
      <c r="H253" s="42">
        <f t="shared" si="62"/>
        <v>104.1</v>
      </c>
      <c r="I253" s="42"/>
      <c r="J253" s="42"/>
      <c r="K253" s="42">
        <f t="shared" si="63"/>
        <v>104.1</v>
      </c>
      <c r="L253" s="42"/>
      <c r="M253" s="42"/>
      <c r="N253" s="42">
        <f t="shared" si="64"/>
        <v>104.1</v>
      </c>
      <c r="O253" s="42"/>
      <c r="P253" s="42"/>
      <c r="Q253" s="42">
        <f t="shared" si="65"/>
        <v>104.1</v>
      </c>
    </row>
    <row r="254" spans="1:17" ht="12.75" customHeight="1">
      <c r="A254" s="5" t="s">
        <v>223</v>
      </c>
      <c r="B254" s="42"/>
      <c r="C254" s="42"/>
      <c r="D254" s="42">
        <v>4181</v>
      </c>
      <c r="E254" s="42">
        <f t="shared" si="61"/>
        <v>4181</v>
      </c>
      <c r="F254" s="42"/>
      <c r="G254" s="42"/>
      <c r="H254" s="42">
        <f t="shared" si="62"/>
        <v>4181</v>
      </c>
      <c r="I254" s="42"/>
      <c r="J254" s="42"/>
      <c r="K254" s="42">
        <f t="shared" si="63"/>
        <v>4181</v>
      </c>
      <c r="L254" s="42"/>
      <c r="M254" s="42"/>
      <c r="N254" s="42">
        <f t="shared" si="64"/>
        <v>4181</v>
      </c>
      <c r="O254" s="42"/>
      <c r="P254" s="42"/>
      <c r="Q254" s="42">
        <f t="shared" si="65"/>
        <v>4181</v>
      </c>
    </row>
    <row r="255" spans="1:17" ht="15" customHeight="1">
      <c r="A255" s="6" t="s">
        <v>35</v>
      </c>
      <c r="B255" s="44">
        <f>SUM(B257:B260)</f>
        <v>10000</v>
      </c>
      <c r="C255" s="44">
        <f>SUM(C257:C260)</f>
        <v>0</v>
      </c>
      <c r="D255" s="44">
        <f>SUM(D257:D260)</f>
        <v>9372.4</v>
      </c>
      <c r="E255" s="44">
        <f t="shared" si="61"/>
        <v>19372.4</v>
      </c>
      <c r="F255" s="44">
        <f>SUM(F257:F262)</f>
        <v>3500</v>
      </c>
      <c r="G255" s="44">
        <f>SUM(G257:G262)</f>
        <v>0</v>
      </c>
      <c r="H255" s="44">
        <f t="shared" si="62"/>
        <v>22872.4</v>
      </c>
      <c r="I255" s="44">
        <f>SUM(I257:I262)</f>
        <v>0</v>
      </c>
      <c r="J255" s="44">
        <f>SUM(J257:J262)</f>
        <v>0</v>
      </c>
      <c r="K255" s="44">
        <f t="shared" si="63"/>
        <v>22872.4</v>
      </c>
      <c r="L255" s="44">
        <f>SUM(L257:L262)</f>
        <v>0</v>
      </c>
      <c r="M255" s="44">
        <f>SUM(M257:M262)</f>
        <v>0</v>
      </c>
      <c r="N255" s="44">
        <f t="shared" si="64"/>
        <v>22872.4</v>
      </c>
      <c r="O255" s="44">
        <f>SUM(O257:O262)</f>
        <v>0</v>
      </c>
      <c r="P255" s="44">
        <f>SUM(P257:P262)</f>
        <v>0</v>
      </c>
      <c r="Q255" s="44">
        <f t="shared" si="65"/>
        <v>22872.4</v>
      </c>
    </row>
    <row r="256" spans="1:17" ht="10.5" customHeight="1">
      <c r="A256" s="3" t="s">
        <v>1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ht="12.75" customHeight="1">
      <c r="A257" s="30" t="s">
        <v>208</v>
      </c>
      <c r="B257" s="42">
        <v>10000</v>
      </c>
      <c r="C257" s="42"/>
      <c r="D257" s="42"/>
      <c r="E257" s="42">
        <f>B257+C257+D257</f>
        <v>10000</v>
      </c>
      <c r="F257" s="42"/>
      <c r="G257" s="42"/>
      <c r="H257" s="42">
        <f>E257+F257+G257</f>
        <v>10000</v>
      </c>
      <c r="I257" s="42"/>
      <c r="J257" s="42"/>
      <c r="K257" s="42">
        <f>H257+I257+J257</f>
        <v>10000</v>
      </c>
      <c r="L257" s="42"/>
      <c r="M257" s="42"/>
      <c r="N257" s="42">
        <f>K257+L257+M257</f>
        <v>10000</v>
      </c>
      <c r="O257" s="42"/>
      <c r="P257" s="42"/>
      <c r="Q257" s="42">
        <f>N257+O257+P257</f>
        <v>10000</v>
      </c>
    </row>
    <row r="258" spans="1:17" ht="12.75" customHeight="1" hidden="1">
      <c r="A258" s="5" t="s">
        <v>129</v>
      </c>
      <c r="B258" s="42"/>
      <c r="C258" s="42"/>
      <c r="D258" s="42"/>
      <c r="E258" s="42">
        <f>SUM(B258:D258)</f>
        <v>0</v>
      </c>
      <c r="F258" s="42"/>
      <c r="G258" s="42"/>
      <c r="H258" s="42">
        <f>SUM(E258:G258)</f>
        <v>0</v>
      </c>
      <c r="I258" s="42"/>
      <c r="J258" s="42"/>
      <c r="K258" s="42">
        <f>SUM(H258:J258)</f>
        <v>0</v>
      </c>
      <c r="L258" s="42"/>
      <c r="M258" s="42"/>
      <c r="N258" s="42">
        <f>SUM(K258:M258)</f>
        <v>0</v>
      </c>
      <c r="O258" s="42"/>
      <c r="P258" s="42"/>
      <c r="Q258" s="42">
        <f>SUM(N258:P258)</f>
        <v>0</v>
      </c>
    </row>
    <row r="259" spans="1:17" ht="12.75" customHeight="1">
      <c r="A259" s="5" t="s">
        <v>242</v>
      </c>
      <c r="B259" s="42"/>
      <c r="C259" s="42"/>
      <c r="D259" s="42"/>
      <c r="E259" s="42"/>
      <c r="F259" s="42">
        <v>3500</v>
      </c>
      <c r="G259" s="42"/>
      <c r="H259" s="42">
        <f>E259+F259+G259</f>
        <v>3500</v>
      </c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ht="12.75" customHeight="1">
      <c r="A260" s="36" t="s">
        <v>119</v>
      </c>
      <c r="B260" s="46"/>
      <c r="C260" s="46"/>
      <c r="D260" s="46">
        <v>9372.4</v>
      </c>
      <c r="E260" s="46">
        <f>B260+C260+D260</f>
        <v>9372.4</v>
      </c>
      <c r="F260" s="46"/>
      <c r="G260" s="46"/>
      <c r="H260" s="46">
        <f>E260+F260+G260</f>
        <v>9372.4</v>
      </c>
      <c r="I260" s="42"/>
      <c r="J260" s="42"/>
      <c r="K260" s="42">
        <f>H260+I260+J260</f>
        <v>9372.4</v>
      </c>
      <c r="L260" s="42"/>
      <c r="M260" s="42"/>
      <c r="N260" s="42">
        <f>K260+L260+M260</f>
        <v>9372.4</v>
      </c>
      <c r="O260" s="42"/>
      <c r="P260" s="42"/>
      <c r="Q260" s="42">
        <f>N260+O260+P260</f>
        <v>9372.4</v>
      </c>
    </row>
    <row r="261" spans="1:17" ht="12.75" customHeight="1" hidden="1">
      <c r="A261" s="4" t="s">
        <v>129</v>
      </c>
      <c r="B261" s="71"/>
      <c r="C261" s="71"/>
      <c r="D261" s="71"/>
      <c r="E261" s="71"/>
      <c r="F261" s="71"/>
      <c r="G261" s="71"/>
      <c r="H261" s="42"/>
      <c r="I261" s="71"/>
      <c r="J261" s="71"/>
      <c r="K261" s="42">
        <f>H261+I261+J261</f>
        <v>0</v>
      </c>
      <c r="L261" s="71"/>
      <c r="M261" s="71"/>
      <c r="N261" s="42">
        <f>K261+L261+M261</f>
        <v>0</v>
      </c>
      <c r="O261" s="71"/>
      <c r="P261" s="71"/>
      <c r="Q261" s="42">
        <f>N261+O261+P261</f>
        <v>0</v>
      </c>
    </row>
    <row r="262" spans="1:17" ht="12.75" customHeight="1" hidden="1">
      <c r="A262" s="36" t="s">
        <v>38</v>
      </c>
      <c r="B262" s="68"/>
      <c r="C262" s="68"/>
      <c r="D262" s="68"/>
      <c r="E262" s="68"/>
      <c r="F262" s="68"/>
      <c r="G262" s="68"/>
      <c r="H262" s="46">
        <f>E262+F262+G262</f>
        <v>0</v>
      </c>
      <c r="I262" s="68"/>
      <c r="J262" s="68"/>
      <c r="K262" s="46">
        <f>H262+I262+J262</f>
        <v>0</v>
      </c>
      <c r="L262" s="68"/>
      <c r="M262" s="68"/>
      <c r="N262" s="46">
        <f>K262+L262+M262</f>
        <v>0</v>
      </c>
      <c r="O262" s="68"/>
      <c r="P262" s="68"/>
      <c r="Q262" s="46">
        <f>N262+O262+P262</f>
        <v>0</v>
      </c>
    </row>
    <row r="263" spans="1:17" ht="19.5" customHeight="1">
      <c r="A263" s="31" t="s">
        <v>20</v>
      </c>
      <c r="B263" s="49">
        <f aca="true" t="shared" si="66" ref="B263:Q263">B264+B273</f>
        <v>141540</v>
      </c>
      <c r="C263" s="49">
        <f t="shared" si="66"/>
        <v>0</v>
      </c>
      <c r="D263" s="49">
        <f t="shared" si="66"/>
        <v>17000</v>
      </c>
      <c r="E263" s="49">
        <f t="shared" si="66"/>
        <v>158540</v>
      </c>
      <c r="F263" s="49">
        <f t="shared" si="66"/>
        <v>10411.6</v>
      </c>
      <c r="G263" s="49">
        <f t="shared" si="66"/>
        <v>0</v>
      </c>
      <c r="H263" s="49">
        <f t="shared" si="66"/>
        <v>168951.6</v>
      </c>
      <c r="I263" s="49">
        <f t="shared" si="66"/>
        <v>0</v>
      </c>
      <c r="J263" s="49">
        <f t="shared" si="66"/>
        <v>0</v>
      </c>
      <c r="K263" s="49">
        <f t="shared" si="66"/>
        <v>168951.6</v>
      </c>
      <c r="L263" s="49">
        <f t="shared" si="66"/>
        <v>0</v>
      </c>
      <c r="M263" s="49">
        <f t="shared" si="66"/>
        <v>0</v>
      </c>
      <c r="N263" s="49">
        <f t="shared" si="66"/>
        <v>168951.6</v>
      </c>
      <c r="O263" s="49">
        <f t="shared" si="66"/>
        <v>0</v>
      </c>
      <c r="P263" s="49">
        <f t="shared" si="66"/>
        <v>0</v>
      </c>
      <c r="Q263" s="49">
        <f t="shared" si="66"/>
        <v>168951.6</v>
      </c>
    </row>
    <row r="264" spans="1:17" ht="15" customHeight="1">
      <c r="A264" s="6" t="s">
        <v>34</v>
      </c>
      <c r="B264" s="44">
        <f>SUM(B266:B272)</f>
        <v>141540</v>
      </c>
      <c r="C264" s="44">
        <f>SUM(C266:C272)</f>
        <v>0</v>
      </c>
      <c r="D264" s="44">
        <f>SUM(D266:D272)</f>
        <v>17000</v>
      </c>
      <c r="E264" s="44">
        <f>B264+C264+D264</f>
        <v>158540</v>
      </c>
      <c r="F264" s="44">
        <f>SUM(F266:F272)</f>
        <v>10411.6</v>
      </c>
      <c r="G264" s="44">
        <f>SUM(G266:G272)</f>
        <v>0</v>
      </c>
      <c r="H264" s="44">
        <f>E264+F264+G264</f>
        <v>168951.6</v>
      </c>
      <c r="I264" s="44">
        <f>SUM(I266:I272)</f>
        <v>0</v>
      </c>
      <c r="J264" s="44">
        <f>SUM(J266:J272)</f>
        <v>0</v>
      </c>
      <c r="K264" s="44">
        <f>H264+I264+J264</f>
        <v>168951.6</v>
      </c>
      <c r="L264" s="44">
        <f>SUM(L266:L272)</f>
        <v>0</v>
      </c>
      <c r="M264" s="44">
        <f>SUM(M266:M272)</f>
        <v>0</v>
      </c>
      <c r="N264" s="44">
        <f>K264+L264+M264</f>
        <v>168951.6</v>
      </c>
      <c r="O264" s="44">
        <f>SUM(O266:O272)</f>
        <v>0</v>
      </c>
      <c r="P264" s="44">
        <f>SUM(P266:P272)</f>
        <v>0</v>
      </c>
      <c r="Q264" s="44">
        <f>N264+O264+P264</f>
        <v>168951.6</v>
      </c>
    </row>
    <row r="265" spans="1:17" ht="10.5" customHeight="1">
      <c r="A265" s="3" t="s">
        <v>1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ht="12.75" customHeight="1">
      <c r="A266" s="5" t="s">
        <v>18</v>
      </c>
      <c r="B266" s="42">
        <v>109952</v>
      </c>
      <c r="C266" s="42"/>
      <c r="D266" s="42">
        <f>9500+215</f>
        <v>9715</v>
      </c>
      <c r="E266" s="42">
        <f>B266+C266+D266</f>
        <v>119667</v>
      </c>
      <c r="F266" s="42"/>
      <c r="G266" s="42"/>
      <c r="H266" s="42">
        <f>E266+F266+G266</f>
        <v>119667</v>
      </c>
      <c r="I266" s="42"/>
      <c r="J266" s="42"/>
      <c r="K266" s="42">
        <f>H266+I266+J266</f>
        <v>119667</v>
      </c>
      <c r="L266" s="42"/>
      <c r="M266" s="42"/>
      <c r="N266" s="42">
        <f>K266+L266+M266</f>
        <v>119667</v>
      </c>
      <c r="O266" s="42"/>
      <c r="P266" s="42"/>
      <c r="Q266" s="42">
        <f>N266+O266+P266</f>
        <v>119667</v>
      </c>
    </row>
    <row r="267" spans="1:17" ht="12.75" customHeight="1">
      <c r="A267" s="5" t="s">
        <v>9</v>
      </c>
      <c r="B267" s="42">
        <v>28838</v>
      </c>
      <c r="C267" s="42">
        <v>-6242</v>
      </c>
      <c r="D267" s="42">
        <f>2500-905</f>
        <v>1595</v>
      </c>
      <c r="E267" s="42">
        <f>B267+C267+D267</f>
        <v>24191</v>
      </c>
      <c r="F267" s="42">
        <f>10.6-300</f>
        <v>-289.4</v>
      </c>
      <c r="G267" s="42"/>
      <c r="H267" s="42">
        <f>E267+F267+G267</f>
        <v>23901.6</v>
      </c>
      <c r="I267" s="42"/>
      <c r="J267" s="42"/>
      <c r="K267" s="42">
        <f>H267+I267+J267</f>
        <v>23901.6</v>
      </c>
      <c r="L267" s="42"/>
      <c r="M267" s="42"/>
      <c r="N267" s="42">
        <f>K267+L267+M267</f>
        <v>23901.6</v>
      </c>
      <c r="O267" s="42"/>
      <c r="P267" s="42"/>
      <c r="Q267" s="42">
        <f>N267+O267+P267</f>
        <v>23901.6</v>
      </c>
    </row>
    <row r="268" spans="1:17" ht="12.75" customHeight="1">
      <c r="A268" s="5" t="s">
        <v>125</v>
      </c>
      <c r="B268" s="42">
        <v>2750</v>
      </c>
      <c r="C268" s="42">
        <v>6242</v>
      </c>
      <c r="D268" s="42">
        <v>690</v>
      </c>
      <c r="E268" s="42">
        <f>B268+C268+D268</f>
        <v>9682</v>
      </c>
      <c r="F268" s="42"/>
      <c r="G268" s="42"/>
      <c r="H268" s="42">
        <f>E268+F268+G268</f>
        <v>9682</v>
      </c>
      <c r="I268" s="42"/>
      <c r="J268" s="42"/>
      <c r="K268" s="42">
        <f>H268+I268+J268</f>
        <v>9682</v>
      </c>
      <c r="L268" s="42"/>
      <c r="M268" s="42"/>
      <c r="N268" s="42">
        <f>K268+L268+M268</f>
        <v>9682</v>
      </c>
      <c r="O268" s="42"/>
      <c r="P268" s="42"/>
      <c r="Q268" s="42">
        <f>N268+O268+P268</f>
        <v>9682</v>
      </c>
    </row>
    <row r="269" spans="1:17" ht="12.75" customHeight="1">
      <c r="A269" s="5" t="s">
        <v>172</v>
      </c>
      <c r="B269" s="42"/>
      <c r="C269" s="42"/>
      <c r="D269" s="42"/>
      <c r="E269" s="42"/>
      <c r="F269" s="42">
        <f>320</f>
        <v>320</v>
      </c>
      <c r="G269" s="42"/>
      <c r="H269" s="42">
        <f>E269+F269</f>
        <v>320</v>
      </c>
      <c r="I269" s="42"/>
      <c r="J269" s="42"/>
      <c r="K269" s="42">
        <f>H269+I269</f>
        <v>320</v>
      </c>
      <c r="L269" s="42"/>
      <c r="M269" s="42"/>
      <c r="N269" s="42">
        <f>K269+L269</f>
        <v>320</v>
      </c>
      <c r="O269" s="42"/>
      <c r="P269" s="42"/>
      <c r="Q269" s="42">
        <f>N269+O269</f>
        <v>320</v>
      </c>
    </row>
    <row r="270" spans="1:17" ht="12.75" customHeight="1">
      <c r="A270" s="5" t="s">
        <v>173</v>
      </c>
      <c r="B270" s="42"/>
      <c r="C270" s="42"/>
      <c r="D270" s="42"/>
      <c r="E270" s="42"/>
      <c r="F270" s="42">
        <v>101</v>
      </c>
      <c r="G270" s="42"/>
      <c r="H270" s="42">
        <f>E270+F270</f>
        <v>101</v>
      </c>
      <c r="I270" s="42"/>
      <c r="J270" s="42"/>
      <c r="K270" s="42">
        <f>H270+I270</f>
        <v>101</v>
      </c>
      <c r="L270" s="42"/>
      <c r="M270" s="42"/>
      <c r="N270" s="42">
        <f>K270+L270</f>
        <v>101</v>
      </c>
      <c r="O270" s="42"/>
      <c r="P270" s="42"/>
      <c r="Q270" s="42">
        <f>N270+O270</f>
        <v>101</v>
      </c>
    </row>
    <row r="271" spans="1:17" ht="12.75" customHeight="1" hidden="1">
      <c r="A271" s="5" t="s">
        <v>164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>
        <f>N271+O271</f>
        <v>0</v>
      </c>
    </row>
    <row r="272" spans="1:17" ht="12.75" customHeight="1">
      <c r="A272" s="32" t="s">
        <v>41</v>
      </c>
      <c r="B272" s="46"/>
      <c r="C272" s="46"/>
      <c r="D272" s="46">
        <v>5000</v>
      </c>
      <c r="E272" s="46">
        <f>B272+C272+D272</f>
        <v>5000</v>
      </c>
      <c r="F272" s="46">
        <v>10280</v>
      </c>
      <c r="G272" s="46"/>
      <c r="H272" s="46">
        <f>E272+F272</f>
        <v>15280</v>
      </c>
      <c r="I272" s="42"/>
      <c r="J272" s="42"/>
      <c r="K272" s="42">
        <f>H272+I272</f>
        <v>15280</v>
      </c>
      <c r="L272" s="42"/>
      <c r="M272" s="42"/>
      <c r="N272" s="42">
        <f>K272+L272</f>
        <v>15280</v>
      </c>
      <c r="O272" s="42"/>
      <c r="P272" s="42"/>
      <c r="Q272" s="42">
        <f>N272+O272</f>
        <v>15280</v>
      </c>
    </row>
    <row r="273" spans="1:17" ht="15" customHeight="1" hidden="1">
      <c r="A273" s="6" t="s">
        <v>35</v>
      </c>
      <c r="B273" s="44">
        <f>SUM(B275:B275)</f>
        <v>0</v>
      </c>
      <c r="C273" s="44">
        <f>SUM(C275:C275)</f>
        <v>0</v>
      </c>
      <c r="D273" s="44">
        <f>SUM(D275:D275)</f>
        <v>0</v>
      </c>
      <c r="E273" s="44">
        <f>B273+C273+D273</f>
        <v>0</v>
      </c>
      <c r="F273" s="44">
        <f>SUM(F275:F275)</f>
        <v>0</v>
      </c>
      <c r="G273" s="44">
        <f>SUM(G275:G275)</f>
        <v>0</v>
      </c>
      <c r="H273" s="44">
        <f>E273+F273+G273</f>
        <v>0</v>
      </c>
      <c r="I273" s="44">
        <f>SUM(I275:I275)</f>
        <v>0</v>
      </c>
      <c r="J273" s="44">
        <f>SUM(J275:J275)</f>
        <v>0</v>
      </c>
      <c r="K273" s="44">
        <f>H273+I273+J273</f>
        <v>0</v>
      </c>
      <c r="L273" s="44"/>
      <c r="M273" s="44"/>
      <c r="N273" s="44">
        <f>K273+L273+M273</f>
        <v>0</v>
      </c>
      <c r="O273" s="44">
        <f>SUM(O275:O275)</f>
        <v>0</v>
      </c>
      <c r="P273" s="44">
        <f>SUM(P275:P275)</f>
        <v>0</v>
      </c>
      <c r="Q273" s="44">
        <f>N273+O273+P273</f>
        <v>0</v>
      </c>
    </row>
    <row r="274" spans="1:17" ht="10.5" customHeight="1" hidden="1">
      <c r="A274" s="3" t="s">
        <v>1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ht="12.75" customHeight="1" hidden="1">
      <c r="A275" s="32" t="s">
        <v>164</v>
      </c>
      <c r="B275" s="46"/>
      <c r="C275" s="46"/>
      <c r="D275" s="46"/>
      <c r="E275" s="46">
        <f>B275+C275+D275</f>
        <v>0</v>
      </c>
      <c r="F275" s="46"/>
      <c r="G275" s="46"/>
      <c r="H275" s="46">
        <f>E275+F275+G275</f>
        <v>0</v>
      </c>
      <c r="I275" s="46"/>
      <c r="J275" s="46"/>
      <c r="K275" s="46">
        <f>H275+I275+J275</f>
        <v>0</v>
      </c>
      <c r="L275" s="46"/>
      <c r="M275" s="46"/>
      <c r="N275" s="46">
        <f>K275+L275+M275</f>
        <v>0</v>
      </c>
      <c r="O275" s="46"/>
      <c r="P275" s="46"/>
      <c r="Q275" s="46">
        <f>N275+O275+P275</f>
        <v>0</v>
      </c>
    </row>
    <row r="276" spans="1:17" ht="16.5" customHeight="1">
      <c r="A276" s="2" t="s">
        <v>21</v>
      </c>
      <c r="B276" s="39">
        <f>B277+B287</f>
        <v>40836</v>
      </c>
      <c r="C276" s="39">
        <f>C277+C287</f>
        <v>905.1</v>
      </c>
      <c r="D276" s="39">
        <f>D277+D287</f>
        <v>25877.5</v>
      </c>
      <c r="E276" s="41">
        <f>B276+C276+D276</f>
        <v>67618.6</v>
      </c>
      <c r="F276" s="39">
        <f>F277+F287</f>
        <v>1475.2000000000003</v>
      </c>
      <c r="G276" s="39">
        <f>G277+G287</f>
        <v>0</v>
      </c>
      <c r="H276" s="41">
        <f>E276+F276+G276</f>
        <v>69093.8</v>
      </c>
      <c r="I276" s="39">
        <f>I277+I287</f>
        <v>0</v>
      </c>
      <c r="J276" s="39">
        <f>J277+J287</f>
        <v>0</v>
      </c>
      <c r="K276" s="41">
        <f>H276+I276+J276</f>
        <v>69093.8</v>
      </c>
      <c r="L276" s="39">
        <f>L277+L287</f>
        <v>0</v>
      </c>
      <c r="M276" s="39">
        <f>M277+M287</f>
        <v>0</v>
      </c>
      <c r="N276" s="41">
        <f>K276+L276+M276</f>
        <v>69093.8</v>
      </c>
      <c r="O276" s="39">
        <f>O277+O287</f>
        <v>0</v>
      </c>
      <c r="P276" s="39">
        <f>P277+P287</f>
        <v>0</v>
      </c>
      <c r="Q276" s="41">
        <f>N276+O276+P276</f>
        <v>69093.8</v>
      </c>
    </row>
    <row r="277" spans="1:17" ht="12.75" customHeight="1">
      <c r="A277" s="6" t="s">
        <v>34</v>
      </c>
      <c r="B277" s="44">
        <f>SUM(B279:B286)</f>
        <v>40836</v>
      </c>
      <c r="C277" s="44">
        <f>SUM(C279:C285)</f>
        <v>905.1</v>
      </c>
      <c r="D277" s="44">
        <f>SUM(D279:D285)</f>
        <v>25077.5</v>
      </c>
      <c r="E277" s="45">
        <f>B277+C277+D277</f>
        <v>66818.6</v>
      </c>
      <c r="F277" s="44">
        <f>SUM(F279:F286)</f>
        <v>1475.2000000000003</v>
      </c>
      <c r="G277" s="44">
        <f>SUM(G279:G286)</f>
        <v>0</v>
      </c>
      <c r="H277" s="45">
        <f>E277+F277+G277</f>
        <v>68293.8</v>
      </c>
      <c r="I277" s="44">
        <f>SUM(I279:I286)</f>
        <v>0</v>
      </c>
      <c r="J277" s="44">
        <f>SUM(J279:J286)</f>
        <v>0</v>
      </c>
      <c r="K277" s="45">
        <f>H277+I277+J277</f>
        <v>68293.8</v>
      </c>
      <c r="L277" s="44">
        <f>SUM(L279:L286)</f>
        <v>0</v>
      </c>
      <c r="M277" s="44">
        <f>SUM(M279:M286)</f>
        <v>0</v>
      </c>
      <c r="N277" s="45">
        <f>K277+L277+M277</f>
        <v>68293.8</v>
      </c>
      <c r="O277" s="44">
        <f>SUM(O279:O286)</f>
        <v>0</v>
      </c>
      <c r="P277" s="44">
        <f>SUM(P279:P286)</f>
        <v>0</v>
      </c>
      <c r="Q277" s="45">
        <f>N277+O277+P277</f>
        <v>68293.8</v>
      </c>
    </row>
    <row r="278" spans="1:17" ht="10.5" customHeight="1">
      <c r="A278" s="3" t="s">
        <v>1</v>
      </c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ht="12.75" customHeight="1">
      <c r="A279" s="4" t="s">
        <v>18</v>
      </c>
      <c r="B279" s="42">
        <v>35050</v>
      </c>
      <c r="C279" s="42"/>
      <c r="D279" s="42">
        <v>25000</v>
      </c>
      <c r="E279" s="42">
        <f>B279+C279+D279</f>
        <v>60050</v>
      </c>
      <c r="F279" s="42"/>
      <c r="G279" s="42"/>
      <c r="H279" s="42">
        <f>E279+F279+G279</f>
        <v>60050</v>
      </c>
      <c r="I279" s="42"/>
      <c r="J279" s="42"/>
      <c r="K279" s="42">
        <f>H279+I279+J279</f>
        <v>60050</v>
      </c>
      <c r="L279" s="42"/>
      <c r="M279" s="42"/>
      <c r="N279" s="42">
        <f>K279+L279+M279</f>
        <v>60050</v>
      </c>
      <c r="O279" s="42"/>
      <c r="P279" s="42"/>
      <c r="Q279" s="42">
        <f>N279+O279+P279</f>
        <v>60050</v>
      </c>
    </row>
    <row r="280" spans="1:17" ht="12.75" customHeight="1">
      <c r="A280" s="4" t="s">
        <v>147</v>
      </c>
      <c r="B280" s="42"/>
      <c r="C280" s="42"/>
      <c r="D280" s="42"/>
      <c r="E280" s="42">
        <f>B280+C280</f>
        <v>0</v>
      </c>
      <c r="F280" s="42">
        <v>175</v>
      </c>
      <c r="G280" s="42"/>
      <c r="H280" s="42">
        <f>E280+F280</f>
        <v>175</v>
      </c>
      <c r="I280" s="42"/>
      <c r="J280" s="42"/>
      <c r="K280" s="42">
        <f>H280+I280</f>
        <v>175</v>
      </c>
      <c r="L280" s="42"/>
      <c r="M280" s="42"/>
      <c r="N280" s="42">
        <f>K280+L280</f>
        <v>175</v>
      </c>
      <c r="O280" s="42"/>
      <c r="P280" s="42"/>
      <c r="Q280" s="42">
        <f>N280+O280</f>
        <v>175</v>
      </c>
    </row>
    <row r="281" spans="1:17" ht="12.75" customHeight="1">
      <c r="A281" s="4" t="s">
        <v>9</v>
      </c>
      <c r="B281" s="42">
        <v>5786</v>
      </c>
      <c r="C281" s="42"/>
      <c r="D281" s="42"/>
      <c r="E281" s="42">
        <f>B281+C281+D281</f>
        <v>5786</v>
      </c>
      <c r="F281" s="42">
        <f>-187.3-175+1000</f>
        <v>637.7</v>
      </c>
      <c r="G281" s="42"/>
      <c r="H281" s="42">
        <f>E281+F281+G281</f>
        <v>6423.7</v>
      </c>
      <c r="I281" s="42"/>
      <c r="J281" s="42"/>
      <c r="K281" s="42">
        <f>H281+I281+J281</f>
        <v>6423.7</v>
      </c>
      <c r="L281" s="42"/>
      <c r="M281" s="42"/>
      <c r="N281" s="42">
        <f>K281+L281+M281</f>
        <v>6423.7</v>
      </c>
      <c r="O281" s="42"/>
      <c r="P281" s="42"/>
      <c r="Q281" s="42">
        <f>N281+O281+P281</f>
        <v>6423.7</v>
      </c>
    </row>
    <row r="282" spans="1:17" ht="12.75" customHeight="1" hidden="1">
      <c r="A282" s="4" t="s">
        <v>125</v>
      </c>
      <c r="B282" s="42"/>
      <c r="C282" s="42"/>
      <c r="D282" s="42"/>
      <c r="E282" s="42">
        <f>B282+C282</f>
        <v>0</v>
      </c>
      <c r="F282" s="42"/>
      <c r="G282" s="42"/>
      <c r="H282" s="42">
        <f>E282+F282</f>
        <v>0</v>
      </c>
      <c r="I282" s="42"/>
      <c r="J282" s="42"/>
      <c r="K282" s="42">
        <f>H282+I282</f>
        <v>0</v>
      </c>
      <c r="L282" s="42"/>
      <c r="M282" s="42"/>
      <c r="N282" s="42">
        <f>K282+L282</f>
        <v>0</v>
      </c>
      <c r="O282" s="42"/>
      <c r="P282" s="42"/>
      <c r="Q282" s="42">
        <f>N282+O282</f>
        <v>0</v>
      </c>
    </row>
    <row r="283" spans="1:17" ht="12.75" customHeight="1">
      <c r="A283" s="4" t="s">
        <v>146</v>
      </c>
      <c r="B283" s="42"/>
      <c r="C283" s="42">
        <v>819.6</v>
      </c>
      <c r="D283" s="42"/>
      <c r="E283" s="42">
        <f>B283+C283+D283</f>
        <v>819.6</v>
      </c>
      <c r="F283" s="42">
        <v>399.1</v>
      </c>
      <c r="G283" s="42"/>
      <c r="H283" s="42">
        <f>E283+F283+G283</f>
        <v>1218.7</v>
      </c>
      <c r="I283" s="42"/>
      <c r="J283" s="42"/>
      <c r="K283" s="42">
        <f>H283+I283+J283</f>
        <v>1218.7</v>
      </c>
      <c r="L283" s="42"/>
      <c r="M283" s="42"/>
      <c r="N283" s="42">
        <f>K283+L283+M283</f>
        <v>1218.7</v>
      </c>
      <c r="O283" s="42"/>
      <c r="P283" s="42"/>
      <c r="Q283" s="42">
        <f>N283+O283+P283</f>
        <v>1218.7</v>
      </c>
    </row>
    <row r="284" spans="1:17" ht="12.75" customHeight="1">
      <c r="A284" s="8" t="s">
        <v>209</v>
      </c>
      <c r="B284" s="42"/>
      <c r="C284" s="42"/>
      <c r="D284" s="42">
        <v>77.5</v>
      </c>
      <c r="E284" s="42">
        <f>B284+C284+D284</f>
        <v>77.5</v>
      </c>
      <c r="F284" s="42"/>
      <c r="G284" s="42"/>
      <c r="H284" s="42">
        <f>E284+F284+G284</f>
        <v>77.5</v>
      </c>
      <c r="I284" s="42"/>
      <c r="J284" s="42"/>
      <c r="K284" s="42">
        <f>H284+I284+J284</f>
        <v>77.5</v>
      </c>
      <c r="L284" s="42"/>
      <c r="M284" s="42"/>
      <c r="N284" s="42">
        <f>K284+L284+M284</f>
        <v>77.5</v>
      </c>
      <c r="O284" s="42"/>
      <c r="P284" s="42"/>
      <c r="Q284" s="42">
        <f>N284+O284+P284</f>
        <v>77.5</v>
      </c>
    </row>
    <row r="285" spans="1:17" ht="12.75" customHeight="1">
      <c r="A285" s="4" t="s">
        <v>105</v>
      </c>
      <c r="B285" s="42"/>
      <c r="C285" s="42">
        <v>85.5</v>
      </c>
      <c r="D285" s="42"/>
      <c r="E285" s="42">
        <f>B285+C285</f>
        <v>85.5</v>
      </c>
      <c r="F285" s="42">
        <f>106.5+156.9</f>
        <v>263.4</v>
      </c>
      <c r="G285" s="42"/>
      <c r="H285" s="42">
        <f>E285+F285+G285</f>
        <v>348.9</v>
      </c>
      <c r="I285" s="42"/>
      <c r="J285" s="42"/>
      <c r="K285" s="42">
        <f>H285+I285+J285</f>
        <v>348.9</v>
      </c>
      <c r="L285" s="42"/>
      <c r="M285" s="42"/>
      <c r="N285" s="42">
        <f>K285+L285+M285</f>
        <v>348.9</v>
      </c>
      <c r="O285" s="42"/>
      <c r="P285" s="42"/>
      <c r="Q285" s="42">
        <f>N285+O285+P285</f>
        <v>348.9</v>
      </c>
    </row>
    <row r="286" spans="1:17" ht="12.75" customHeight="1" hidden="1">
      <c r="A286" s="67" t="s">
        <v>41</v>
      </c>
      <c r="B286" s="46"/>
      <c r="C286" s="46"/>
      <c r="D286" s="46"/>
      <c r="E286" s="46"/>
      <c r="F286" s="46"/>
      <c r="G286" s="46"/>
      <c r="H286" s="46">
        <f>E286+F286+G286</f>
        <v>0</v>
      </c>
      <c r="I286" s="46"/>
      <c r="J286" s="46"/>
      <c r="K286" s="46">
        <f>H286+I286+J286</f>
        <v>0</v>
      </c>
      <c r="L286" s="46"/>
      <c r="M286" s="46"/>
      <c r="N286" s="46">
        <f>K286+L286+M286</f>
        <v>0</v>
      </c>
      <c r="O286" s="46"/>
      <c r="P286" s="46"/>
      <c r="Q286" s="46">
        <f>N286+O286+P286</f>
        <v>0</v>
      </c>
    </row>
    <row r="287" spans="1:17" ht="12.75" customHeight="1">
      <c r="A287" s="6" t="s">
        <v>35</v>
      </c>
      <c r="B287" s="44">
        <f>SUM(B289:B292)</f>
        <v>0</v>
      </c>
      <c r="C287" s="44">
        <f>SUM(C289:C292)</f>
        <v>0</v>
      </c>
      <c r="D287" s="44">
        <f>SUM(D289:D292)</f>
        <v>800</v>
      </c>
      <c r="E287" s="44">
        <f>B287+C287+D287</f>
        <v>800</v>
      </c>
      <c r="F287" s="44">
        <f>SUM(F289:F292)</f>
        <v>0</v>
      </c>
      <c r="G287" s="44">
        <f>SUM(G289:G292)</f>
        <v>0</v>
      </c>
      <c r="H287" s="44">
        <f>E287+F287+G287</f>
        <v>800</v>
      </c>
      <c r="I287" s="44">
        <f>SUM(I289:I292)</f>
        <v>0</v>
      </c>
      <c r="J287" s="44">
        <f>SUM(J289:J292)</f>
        <v>0</v>
      </c>
      <c r="K287" s="44">
        <f>H287+I287+J287</f>
        <v>800</v>
      </c>
      <c r="L287" s="44">
        <f>SUM(L289:L292)</f>
        <v>0</v>
      </c>
      <c r="M287" s="44">
        <f>SUM(M289:M292)</f>
        <v>0</v>
      </c>
      <c r="N287" s="44">
        <f>K287+L287+M287</f>
        <v>800</v>
      </c>
      <c r="O287" s="44">
        <f>SUM(O289:O292)</f>
        <v>0</v>
      </c>
      <c r="P287" s="44">
        <f>SUM(P289:P292)</f>
        <v>0</v>
      </c>
      <c r="Q287" s="44">
        <f>N287+O287+P287</f>
        <v>800</v>
      </c>
    </row>
    <row r="288" spans="1:17" ht="10.5" customHeight="1">
      <c r="A288" s="3" t="s">
        <v>1</v>
      </c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ht="12.75" customHeight="1" hidden="1">
      <c r="A289" s="4" t="s">
        <v>129</v>
      </c>
      <c r="B289" s="42"/>
      <c r="C289" s="42"/>
      <c r="D289" s="42"/>
      <c r="E289" s="42">
        <f>B289+C289</f>
        <v>0</v>
      </c>
      <c r="F289" s="42"/>
      <c r="G289" s="42"/>
      <c r="H289" s="42">
        <f>E289+F289</f>
        <v>0</v>
      </c>
      <c r="I289" s="42"/>
      <c r="J289" s="42"/>
      <c r="K289" s="42">
        <f>H289+I289</f>
        <v>0</v>
      </c>
      <c r="L289" s="42"/>
      <c r="M289" s="42"/>
      <c r="N289" s="42">
        <f>K289+L289</f>
        <v>0</v>
      </c>
      <c r="O289" s="42"/>
      <c r="P289" s="42"/>
      <c r="Q289" s="42">
        <f>N289+O289</f>
        <v>0</v>
      </c>
    </row>
    <row r="290" spans="1:17" ht="12.75" customHeight="1" hidden="1">
      <c r="A290" s="4" t="s">
        <v>38</v>
      </c>
      <c r="B290" s="42"/>
      <c r="C290" s="42"/>
      <c r="D290" s="42"/>
      <c r="E290" s="42">
        <f>B290+C290+D290</f>
        <v>0</v>
      </c>
      <c r="F290" s="42"/>
      <c r="G290" s="42"/>
      <c r="H290" s="42">
        <f>E290+F290+G290</f>
        <v>0</v>
      </c>
      <c r="I290" s="42"/>
      <c r="J290" s="42"/>
      <c r="K290" s="42">
        <f>H290+I290+J290</f>
        <v>0</v>
      </c>
      <c r="L290" s="42"/>
      <c r="M290" s="42"/>
      <c r="N290" s="42">
        <f>K290+L290+M290</f>
        <v>0</v>
      </c>
      <c r="O290" s="42"/>
      <c r="P290" s="42"/>
      <c r="Q290" s="42">
        <f>N290+O290+P290</f>
        <v>0</v>
      </c>
    </row>
    <row r="291" spans="1:17" ht="12.75" customHeight="1">
      <c r="A291" s="36" t="s">
        <v>133</v>
      </c>
      <c r="B291" s="46"/>
      <c r="C291" s="46"/>
      <c r="D291" s="46">
        <v>800</v>
      </c>
      <c r="E291" s="46">
        <f>B291+C291+D291</f>
        <v>800</v>
      </c>
      <c r="F291" s="46"/>
      <c r="G291" s="46"/>
      <c r="H291" s="48">
        <f>E291+F291+G291</f>
        <v>800</v>
      </c>
      <c r="I291" s="42"/>
      <c r="J291" s="42"/>
      <c r="K291" s="42"/>
      <c r="L291" s="42"/>
      <c r="M291" s="42"/>
      <c r="N291" s="42">
        <f>K291+L291+M291</f>
        <v>0</v>
      </c>
      <c r="O291" s="42"/>
      <c r="P291" s="42"/>
      <c r="Q291" s="42">
        <f>N291+O291+P291</f>
        <v>0</v>
      </c>
    </row>
    <row r="292" spans="1:17" ht="12.75" customHeight="1" hidden="1">
      <c r="A292" s="32" t="s">
        <v>164</v>
      </c>
      <c r="B292" s="69"/>
      <c r="C292" s="69"/>
      <c r="D292" s="69"/>
      <c r="E292" s="46">
        <f>B292+C292</f>
        <v>0</v>
      </c>
      <c r="F292" s="69"/>
      <c r="G292" s="69"/>
      <c r="H292" s="46">
        <f>E292+F292</f>
        <v>0</v>
      </c>
      <c r="I292" s="69"/>
      <c r="J292" s="69"/>
      <c r="K292" s="46">
        <f>H292+I292</f>
        <v>0</v>
      </c>
      <c r="L292" s="69"/>
      <c r="M292" s="69"/>
      <c r="N292" s="46">
        <f>K292+L292</f>
        <v>0</v>
      </c>
      <c r="O292" s="69"/>
      <c r="P292" s="69"/>
      <c r="Q292" s="46">
        <f>N292+O292</f>
        <v>0</v>
      </c>
    </row>
    <row r="293" spans="1:17" ht="16.5" customHeight="1">
      <c r="A293" s="12" t="s">
        <v>76</v>
      </c>
      <c r="B293" s="39">
        <f aca="true" t="shared" si="67" ref="B293:Q293">B294+B303</f>
        <v>43060.5</v>
      </c>
      <c r="C293" s="39">
        <f t="shared" si="67"/>
        <v>2501.1</v>
      </c>
      <c r="D293" s="39">
        <f t="shared" si="67"/>
        <v>77381</v>
      </c>
      <c r="E293" s="39">
        <f t="shared" si="67"/>
        <v>122942.6</v>
      </c>
      <c r="F293" s="39">
        <f t="shared" si="67"/>
        <v>9987.8</v>
      </c>
      <c r="G293" s="39">
        <f t="shared" si="67"/>
        <v>0</v>
      </c>
      <c r="H293" s="39">
        <f t="shared" si="67"/>
        <v>132930.4</v>
      </c>
      <c r="I293" s="39">
        <f t="shared" si="67"/>
        <v>0</v>
      </c>
      <c r="J293" s="39">
        <f t="shared" si="67"/>
        <v>0</v>
      </c>
      <c r="K293" s="39">
        <f t="shared" si="67"/>
        <v>132930.4</v>
      </c>
      <c r="L293" s="39">
        <f t="shared" si="67"/>
        <v>0</v>
      </c>
      <c r="M293" s="39">
        <f t="shared" si="67"/>
        <v>0</v>
      </c>
      <c r="N293" s="39">
        <f t="shared" si="67"/>
        <v>132930.4</v>
      </c>
      <c r="O293" s="39">
        <f t="shared" si="67"/>
        <v>0</v>
      </c>
      <c r="P293" s="39">
        <f t="shared" si="67"/>
        <v>0</v>
      </c>
      <c r="Q293" s="39">
        <f t="shared" si="67"/>
        <v>132930.4</v>
      </c>
    </row>
    <row r="294" spans="1:17" ht="12.75" customHeight="1">
      <c r="A294" s="6" t="s">
        <v>34</v>
      </c>
      <c r="B294" s="44">
        <f>SUM(B296:B302)-B301</f>
        <v>6050</v>
      </c>
      <c r="C294" s="44">
        <f>SUM(C296:C302)</f>
        <v>2501.1</v>
      </c>
      <c r="D294" s="44">
        <f>SUM(D296:D302)</f>
        <v>33793.5</v>
      </c>
      <c r="E294" s="44">
        <f>B294+C294+D294</f>
        <v>42344.6</v>
      </c>
      <c r="F294" s="44">
        <f>SUM(F296:F302)-F301</f>
        <v>10240.4</v>
      </c>
      <c r="G294" s="44">
        <f>SUM(G296:G302)</f>
        <v>0</v>
      </c>
      <c r="H294" s="44">
        <f>E294+F294+G294</f>
        <v>52585</v>
      </c>
      <c r="I294" s="44">
        <f>SUM(I296:I302)</f>
        <v>0</v>
      </c>
      <c r="J294" s="44">
        <f>SUM(J296:J302)</f>
        <v>0</v>
      </c>
      <c r="K294" s="44">
        <f>H294+I294+J294</f>
        <v>52585</v>
      </c>
      <c r="L294" s="44">
        <f>SUM(L296:L302)</f>
        <v>0</v>
      </c>
      <c r="M294" s="44">
        <f>SUM(M296:M302)</f>
        <v>0</v>
      </c>
      <c r="N294" s="44">
        <f>K294+L294+M294</f>
        <v>52585</v>
      </c>
      <c r="O294" s="44">
        <f>SUM(O296:O302)</f>
        <v>0</v>
      </c>
      <c r="P294" s="44">
        <f>SUM(P296:P302)</f>
        <v>0</v>
      </c>
      <c r="Q294" s="44">
        <f>N294+O294+P294</f>
        <v>52585</v>
      </c>
    </row>
    <row r="295" spans="1:17" ht="10.5" customHeight="1">
      <c r="A295" s="3" t="s">
        <v>1</v>
      </c>
      <c r="B295" s="42"/>
      <c r="C295" s="42"/>
      <c r="D295" s="42"/>
      <c r="E295" s="39"/>
      <c r="F295" s="42"/>
      <c r="G295" s="42"/>
      <c r="H295" s="39"/>
      <c r="I295" s="42"/>
      <c r="J295" s="42"/>
      <c r="K295" s="39"/>
      <c r="L295" s="42"/>
      <c r="M295" s="42"/>
      <c r="N295" s="39"/>
      <c r="O295" s="42"/>
      <c r="P295" s="42"/>
      <c r="Q295" s="39"/>
    </row>
    <row r="296" spans="1:17" ht="12.75" customHeight="1">
      <c r="A296" s="4" t="s">
        <v>9</v>
      </c>
      <c r="B296" s="42">
        <v>6050</v>
      </c>
      <c r="C296" s="42"/>
      <c r="D296" s="42"/>
      <c r="E296" s="42">
        <f>SUM(B296:D296)</f>
        <v>6050</v>
      </c>
      <c r="F296" s="42">
        <f>1500+2000</f>
        <v>3500</v>
      </c>
      <c r="G296" s="42"/>
      <c r="H296" s="42">
        <f>SUM(E296:G296)</f>
        <v>9550</v>
      </c>
      <c r="I296" s="42"/>
      <c r="J296" s="42"/>
      <c r="K296" s="42">
        <f>SUM(H296:J296)</f>
        <v>9550</v>
      </c>
      <c r="L296" s="42"/>
      <c r="M296" s="42"/>
      <c r="N296" s="42">
        <f>SUM(K296:M296)</f>
        <v>9550</v>
      </c>
      <c r="O296" s="42"/>
      <c r="P296" s="42"/>
      <c r="Q296" s="42">
        <f>SUM(N296:P296)</f>
        <v>9550</v>
      </c>
    </row>
    <row r="297" spans="1:17" ht="12.75" customHeight="1">
      <c r="A297" s="4" t="s">
        <v>165</v>
      </c>
      <c r="B297" s="42"/>
      <c r="C297" s="42">
        <v>1.1</v>
      </c>
      <c r="D297" s="42"/>
      <c r="E297" s="42">
        <f>SUM(B297:D297)</f>
        <v>1.1</v>
      </c>
      <c r="F297" s="42">
        <v>2.5</v>
      </c>
      <c r="G297" s="42"/>
      <c r="H297" s="42">
        <f>SUM(E297:G297)</f>
        <v>3.6</v>
      </c>
      <c r="I297" s="42"/>
      <c r="J297" s="42"/>
      <c r="K297" s="42">
        <f>SUM(H297:J297)</f>
        <v>3.6</v>
      </c>
      <c r="L297" s="42"/>
      <c r="M297" s="42"/>
      <c r="N297" s="42">
        <f>SUM(K297:M297)</f>
        <v>3.6</v>
      </c>
      <c r="O297" s="42"/>
      <c r="P297" s="42"/>
      <c r="Q297" s="42">
        <f>SUM(N297:P297)</f>
        <v>3.6</v>
      </c>
    </row>
    <row r="298" spans="1:17" ht="12.75" customHeight="1">
      <c r="A298" s="4" t="s">
        <v>67</v>
      </c>
      <c r="B298" s="42"/>
      <c r="C298" s="42"/>
      <c r="D298" s="42">
        <f>5000+25000</f>
        <v>30000</v>
      </c>
      <c r="E298" s="42">
        <f>SUM(B298:D298)</f>
        <v>30000</v>
      </c>
      <c r="F298" s="42"/>
      <c r="G298" s="42"/>
      <c r="H298" s="42">
        <f>SUM(E298:G298)</f>
        <v>30000</v>
      </c>
      <c r="I298" s="42"/>
      <c r="J298" s="42"/>
      <c r="K298" s="42">
        <f>SUM(H298:J298)</f>
        <v>30000</v>
      </c>
      <c r="L298" s="42"/>
      <c r="M298" s="42"/>
      <c r="N298" s="42">
        <f>SUM(K298:M298)</f>
        <v>30000</v>
      </c>
      <c r="O298" s="42"/>
      <c r="P298" s="42"/>
      <c r="Q298" s="42">
        <f>SUM(N298:P298)</f>
        <v>30000</v>
      </c>
    </row>
    <row r="299" spans="1:17" ht="12.75" customHeight="1" hidden="1">
      <c r="A299" s="4" t="s">
        <v>125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>
        <f>SUM(H299:J299)</f>
        <v>0</v>
      </c>
      <c r="L299" s="42"/>
      <c r="M299" s="42"/>
      <c r="N299" s="42">
        <f>SUM(K299:M299)</f>
        <v>0</v>
      </c>
      <c r="O299" s="42"/>
      <c r="P299" s="42"/>
      <c r="Q299" s="42">
        <f>SUM(N299:P299)</f>
        <v>0</v>
      </c>
    </row>
    <row r="300" spans="1:17" ht="12.75" customHeight="1">
      <c r="A300" s="4" t="s">
        <v>235</v>
      </c>
      <c r="B300" s="42"/>
      <c r="C300" s="42"/>
      <c r="D300" s="42"/>
      <c r="E300" s="42"/>
      <c r="F300" s="42">
        <v>8081</v>
      </c>
      <c r="G300" s="42"/>
      <c r="H300" s="42">
        <f>E300+F300+G300</f>
        <v>8081</v>
      </c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ht="12.75" customHeight="1">
      <c r="A301" s="4" t="s">
        <v>237</v>
      </c>
      <c r="B301" s="42"/>
      <c r="C301" s="42"/>
      <c r="D301" s="42"/>
      <c r="E301" s="42"/>
      <c r="F301" s="42">
        <v>2975</v>
      </c>
      <c r="G301" s="42"/>
      <c r="H301" s="42">
        <f>E301+F301</f>
        <v>2975</v>
      </c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ht="12.75" customHeight="1">
      <c r="A302" s="4" t="s">
        <v>41</v>
      </c>
      <c r="B302" s="42"/>
      <c r="C302" s="42">
        <v>2500</v>
      </c>
      <c r="D302" s="42">
        <f>2000+1793.5</f>
        <v>3793.5</v>
      </c>
      <c r="E302" s="42">
        <f>SUM(B302:D302)</f>
        <v>6293.5</v>
      </c>
      <c r="F302" s="42">
        <f>-2000+80.1+576.8</f>
        <v>-1343.1000000000001</v>
      </c>
      <c r="G302" s="42"/>
      <c r="H302" s="42">
        <f>SUM(E302:G302)</f>
        <v>4950.4</v>
      </c>
      <c r="I302" s="42"/>
      <c r="J302" s="42"/>
      <c r="K302" s="42">
        <f>SUM(H302:J302)</f>
        <v>4950.4</v>
      </c>
      <c r="L302" s="42"/>
      <c r="M302" s="42"/>
      <c r="N302" s="42">
        <f>SUM(K302:M302)</f>
        <v>4950.4</v>
      </c>
      <c r="O302" s="42"/>
      <c r="P302" s="42"/>
      <c r="Q302" s="42">
        <f>SUM(N302:P302)</f>
        <v>4950.4</v>
      </c>
    </row>
    <row r="303" spans="1:17" ht="12.75" customHeight="1">
      <c r="A303" s="6" t="s">
        <v>35</v>
      </c>
      <c r="B303" s="44">
        <f>SUM(B305:B311)</f>
        <v>37010.5</v>
      </c>
      <c r="C303" s="44">
        <f>SUM(C305:C311)</f>
        <v>0</v>
      </c>
      <c r="D303" s="44">
        <f>SUM(D305:D311)</f>
        <v>43587.5</v>
      </c>
      <c r="E303" s="44">
        <f>B303+C303+D303</f>
        <v>80598</v>
      </c>
      <c r="F303" s="44">
        <f>SUM(F305:F311)</f>
        <v>-252.60000000000014</v>
      </c>
      <c r="G303" s="44">
        <f>SUM(G305:G311)</f>
        <v>0</v>
      </c>
      <c r="H303" s="44">
        <f>E303+F303+G303</f>
        <v>80345.4</v>
      </c>
      <c r="I303" s="44">
        <f>SUM(I305:I311)</f>
        <v>0</v>
      </c>
      <c r="J303" s="44">
        <f>SUM(J305:J311)</f>
        <v>0</v>
      </c>
      <c r="K303" s="44">
        <f>H303+I303+J303</f>
        <v>80345.4</v>
      </c>
      <c r="L303" s="44">
        <f>SUM(L305:L311)</f>
        <v>0</v>
      </c>
      <c r="M303" s="44">
        <f>SUM(M305:M311)</f>
        <v>0</v>
      </c>
      <c r="N303" s="44">
        <f>K303+L303+M303</f>
        <v>80345.4</v>
      </c>
      <c r="O303" s="44">
        <f>SUM(O305:O311)</f>
        <v>0</v>
      </c>
      <c r="P303" s="44">
        <f>SUM(P305:P311)</f>
        <v>0</v>
      </c>
      <c r="Q303" s="44">
        <f>N303+O303+P303</f>
        <v>80345.4</v>
      </c>
    </row>
    <row r="304" spans="1:17" ht="10.5" customHeight="1">
      <c r="A304" s="3" t="s">
        <v>1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ht="12.75" customHeight="1" hidden="1">
      <c r="A305" s="5" t="s">
        <v>133</v>
      </c>
      <c r="B305" s="42"/>
      <c r="C305" s="42"/>
      <c r="D305" s="42"/>
      <c r="E305" s="42">
        <f>B305+C305+D305</f>
        <v>0</v>
      </c>
      <c r="F305" s="42"/>
      <c r="G305" s="42"/>
      <c r="H305" s="42">
        <f>E305+F305+G305</f>
        <v>0</v>
      </c>
      <c r="I305" s="42"/>
      <c r="J305" s="42"/>
      <c r="K305" s="42">
        <f>H305+I305+J305</f>
        <v>0</v>
      </c>
      <c r="L305" s="42"/>
      <c r="M305" s="42"/>
      <c r="N305" s="42">
        <f>K305+L305+M305</f>
        <v>0</v>
      </c>
      <c r="O305" s="42"/>
      <c r="P305" s="42"/>
      <c r="Q305" s="42">
        <f>N305+O305+P305</f>
        <v>0</v>
      </c>
    </row>
    <row r="306" spans="1:17" ht="12.75" customHeight="1">
      <c r="A306" s="4" t="s">
        <v>67</v>
      </c>
      <c r="B306" s="42"/>
      <c r="C306" s="42"/>
      <c r="D306" s="42">
        <v>20000</v>
      </c>
      <c r="E306" s="42">
        <f>SUM(B306:D306)</f>
        <v>20000</v>
      </c>
      <c r="F306" s="42"/>
      <c r="G306" s="42"/>
      <c r="H306" s="42">
        <f>SUM(E306:G306)</f>
        <v>20000</v>
      </c>
      <c r="I306" s="42"/>
      <c r="J306" s="42"/>
      <c r="K306" s="42">
        <f>SUM(H306:J306)</f>
        <v>20000</v>
      </c>
      <c r="L306" s="42"/>
      <c r="M306" s="42"/>
      <c r="N306" s="42">
        <f>SUM(K306:M306)</f>
        <v>20000</v>
      </c>
      <c r="O306" s="42"/>
      <c r="P306" s="42"/>
      <c r="Q306" s="42">
        <f>SUM(N306:P306)</f>
        <v>20000</v>
      </c>
    </row>
    <row r="307" spans="1:17" ht="12.75" customHeight="1">
      <c r="A307" s="4" t="s">
        <v>38</v>
      </c>
      <c r="B307" s="42"/>
      <c r="C307" s="42"/>
      <c r="D307" s="42">
        <v>5000</v>
      </c>
      <c r="E307" s="42">
        <f>SUM(B307:D307)</f>
        <v>5000</v>
      </c>
      <c r="F307" s="42"/>
      <c r="G307" s="42"/>
      <c r="H307" s="42">
        <f>SUM(E307:G307)</f>
        <v>5000</v>
      </c>
      <c r="I307" s="42"/>
      <c r="J307" s="42"/>
      <c r="K307" s="42">
        <f>SUM(H307:J307)</f>
        <v>5000</v>
      </c>
      <c r="L307" s="42"/>
      <c r="M307" s="42"/>
      <c r="N307" s="42">
        <f>SUM(K307:M307)</f>
        <v>5000</v>
      </c>
      <c r="O307" s="42"/>
      <c r="P307" s="42"/>
      <c r="Q307" s="42">
        <f>SUM(N307:P307)</f>
        <v>5000</v>
      </c>
    </row>
    <row r="308" spans="1:17" ht="12.75" customHeight="1" hidden="1">
      <c r="A308" s="4" t="s">
        <v>185</v>
      </c>
      <c r="B308" s="42"/>
      <c r="C308" s="42"/>
      <c r="D308" s="42"/>
      <c r="E308" s="42">
        <f>SUM(B308:D308)</f>
        <v>0</v>
      </c>
      <c r="F308" s="42"/>
      <c r="G308" s="42"/>
      <c r="H308" s="42"/>
      <c r="I308" s="42"/>
      <c r="J308" s="42"/>
      <c r="K308" s="42">
        <f>SUM(H308:J308)</f>
        <v>0</v>
      </c>
      <c r="L308" s="42"/>
      <c r="M308" s="42"/>
      <c r="N308" s="42">
        <f>SUM(K308:M308)</f>
        <v>0</v>
      </c>
      <c r="O308" s="42"/>
      <c r="P308" s="42"/>
      <c r="Q308" s="42">
        <f>SUM(N308:P308)</f>
        <v>0</v>
      </c>
    </row>
    <row r="309" spans="1:17" ht="12.75" customHeight="1">
      <c r="A309" s="4" t="s">
        <v>41</v>
      </c>
      <c r="B309" s="42"/>
      <c r="C309" s="42"/>
      <c r="D309" s="42">
        <f>18000+206.5</f>
        <v>18206.5</v>
      </c>
      <c r="E309" s="42">
        <f>SUM(B309:D309)</f>
        <v>18206.5</v>
      </c>
      <c r="F309" s="42">
        <f>-3900+4224.2-576.8</f>
        <v>-252.60000000000014</v>
      </c>
      <c r="G309" s="42"/>
      <c r="H309" s="42">
        <f>SUM(E309:G309)</f>
        <v>17953.9</v>
      </c>
      <c r="I309" s="42"/>
      <c r="J309" s="42"/>
      <c r="K309" s="42">
        <f>SUM(H309:J309)</f>
        <v>17953.9</v>
      </c>
      <c r="L309" s="42"/>
      <c r="M309" s="42"/>
      <c r="N309" s="42">
        <f>SUM(K309:M309)</f>
        <v>17953.9</v>
      </c>
      <c r="O309" s="42"/>
      <c r="P309" s="42"/>
      <c r="Q309" s="42">
        <f>SUM(N309:P309)</f>
        <v>17953.9</v>
      </c>
    </row>
    <row r="310" spans="1:17" ht="12.75" customHeight="1">
      <c r="A310" s="30" t="s">
        <v>150</v>
      </c>
      <c r="B310" s="40"/>
      <c r="C310" s="40"/>
      <c r="D310" s="40">
        <v>381</v>
      </c>
      <c r="E310" s="42">
        <f>B310+C310+D310</f>
        <v>381</v>
      </c>
      <c r="F310" s="40"/>
      <c r="G310" s="40"/>
      <c r="H310" s="42">
        <f>E310+F310+G310</f>
        <v>381</v>
      </c>
      <c r="I310" s="40"/>
      <c r="J310" s="40"/>
      <c r="K310" s="42">
        <f>H310+I310+J310</f>
        <v>381</v>
      </c>
      <c r="L310" s="40"/>
      <c r="M310" s="40"/>
      <c r="N310" s="42">
        <f>K310+L310+M310</f>
        <v>381</v>
      </c>
      <c r="O310" s="40"/>
      <c r="P310" s="40"/>
      <c r="Q310" s="42">
        <f>N310+O310+P310</f>
        <v>381</v>
      </c>
    </row>
    <row r="311" spans="1:17" ht="12.75" customHeight="1">
      <c r="A311" s="37" t="s">
        <v>211</v>
      </c>
      <c r="B311" s="48">
        <v>37010.5</v>
      </c>
      <c r="C311" s="48"/>
      <c r="D311" s="48"/>
      <c r="E311" s="46">
        <f>B311+C311+D311</f>
        <v>37010.5</v>
      </c>
      <c r="F311" s="48"/>
      <c r="G311" s="48"/>
      <c r="H311" s="46">
        <f>E311+F311+G311</f>
        <v>37010.5</v>
      </c>
      <c r="I311" s="48"/>
      <c r="J311" s="48"/>
      <c r="K311" s="46">
        <f>H311+I311+J311</f>
        <v>37010.5</v>
      </c>
      <c r="L311" s="48"/>
      <c r="M311" s="48"/>
      <c r="N311" s="46">
        <f>K311+L311+M311</f>
        <v>37010.5</v>
      </c>
      <c r="O311" s="48"/>
      <c r="P311" s="48"/>
      <c r="Q311" s="46">
        <f>N311+O311+P311</f>
        <v>37010.5</v>
      </c>
    </row>
    <row r="312" spans="1:17" ht="18.75" customHeight="1">
      <c r="A312" s="2" t="s">
        <v>77</v>
      </c>
      <c r="B312" s="39">
        <f aca="true" t="shared" si="68" ref="B312:Q312">B313+B316</f>
        <v>5705</v>
      </c>
      <c r="C312" s="39">
        <f t="shared" si="68"/>
        <v>90</v>
      </c>
      <c r="D312" s="39">
        <f t="shared" si="68"/>
        <v>0</v>
      </c>
      <c r="E312" s="39">
        <f t="shared" si="68"/>
        <v>5795</v>
      </c>
      <c r="F312" s="39">
        <f t="shared" si="68"/>
        <v>0</v>
      </c>
      <c r="G312" s="39">
        <f t="shared" si="68"/>
        <v>0</v>
      </c>
      <c r="H312" s="39">
        <f t="shared" si="68"/>
        <v>5795</v>
      </c>
      <c r="I312" s="39">
        <f t="shared" si="68"/>
        <v>0</v>
      </c>
      <c r="J312" s="39">
        <f t="shared" si="68"/>
        <v>0</v>
      </c>
      <c r="K312" s="39">
        <f t="shared" si="68"/>
        <v>5795</v>
      </c>
      <c r="L312" s="39">
        <f t="shared" si="68"/>
        <v>0</v>
      </c>
      <c r="M312" s="39">
        <f t="shared" si="68"/>
        <v>0</v>
      </c>
      <c r="N312" s="39">
        <f t="shared" si="68"/>
        <v>5795</v>
      </c>
      <c r="O312" s="39">
        <f t="shared" si="68"/>
        <v>0</v>
      </c>
      <c r="P312" s="39">
        <f t="shared" si="68"/>
        <v>0</v>
      </c>
      <c r="Q312" s="39">
        <f t="shared" si="68"/>
        <v>5795</v>
      </c>
    </row>
    <row r="313" spans="1:17" ht="12.75" customHeight="1">
      <c r="A313" s="6" t="s">
        <v>34</v>
      </c>
      <c r="B313" s="44">
        <f>SUM(B315:B315)</f>
        <v>3574.9</v>
      </c>
      <c r="C313" s="44">
        <f>SUM(C315:C315)</f>
        <v>0</v>
      </c>
      <c r="D313" s="44">
        <f>SUM(D315:D315)</f>
        <v>0</v>
      </c>
      <c r="E313" s="44">
        <f>B313+C313+D313</f>
        <v>3574.9</v>
      </c>
      <c r="F313" s="44">
        <f>SUM(F315:F315)</f>
        <v>-1155</v>
      </c>
      <c r="G313" s="44">
        <f>SUM(G315:G315)</f>
        <v>0</v>
      </c>
      <c r="H313" s="44">
        <f>E313+F313+G313</f>
        <v>2419.9</v>
      </c>
      <c r="I313" s="44">
        <f>SUM(I315:I315)</f>
        <v>0</v>
      </c>
      <c r="J313" s="44">
        <f>SUM(J315:J315)</f>
        <v>0</v>
      </c>
      <c r="K313" s="44">
        <f>H313+I313+J313</f>
        <v>2419.9</v>
      </c>
      <c r="L313" s="44">
        <f>SUM(L315:L315)</f>
        <v>0</v>
      </c>
      <c r="M313" s="44">
        <f>SUM(M315:M315)</f>
        <v>0</v>
      </c>
      <c r="N313" s="44">
        <f>K313+L313+M313</f>
        <v>2419.9</v>
      </c>
      <c r="O313" s="44">
        <f>SUM(O315:O315)</f>
        <v>0</v>
      </c>
      <c r="P313" s="44">
        <f>SUM(P315:P315)</f>
        <v>0</v>
      </c>
      <c r="Q313" s="44">
        <f>N313+O313+P313</f>
        <v>2419.9</v>
      </c>
    </row>
    <row r="314" spans="1:17" ht="10.5" customHeight="1">
      <c r="A314" s="3" t="s">
        <v>1</v>
      </c>
      <c r="B314" s="42"/>
      <c r="C314" s="42"/>
      <c r="D314" s="42"/>
      <c r="E314" s="39"/>
      <c r="F314" s="42"/>
      <c r="G314" s="42"/>
      <c r="H314" s="39"/>
      <c r="I314" s="42"/>
      <c r="J314" s="42"/>
      <c r="K314" s="39"/>
      <c r="L314" s="42"/>
      <c r="M314" s="42"/>
      <c r="N314" s="39"/>
      <c r="O314" s="42"/>
      <c r="P314" s="42"/>
      <c r="Q314" s="39"/>
    </row>
    <row r="315" spans="1:17" ht="12.75" customHeight="1">
      <c r="A315" s="4" t="s">
        <v>9</v>
      </c>
      <c r="B315" s="42">
        <v>3574.9</v>
      </c>
      <c r="C315" s="42"/>
      <c r="D315" s="42"/>
      <c r="E315" s="42">
        <f>B315+C315+D315</f>
        <v>3574.9</v>
      </c>
      <c r="F315" s="42">
        <v>-1155</v>
      </c>
      <c r="G315" s="42"/>
      <c r="H315" s="42">
        <f>E315+F315+G315</f>
        <v>2419.9</v>
      </c>
      <c r="I315" s="42"/>
      <c r="J315" s="42"/>
      <c r="K315" s="42">
        <f>H315+I315+J315</f>
        <v>2419.9</v>
      </c>
      <c r="L315" s="42"/>
      <c r="M315" s="42"/>
      <c r="N315" s="42">
        <f>K315+L315+M315</f>
        <v>2419.9</v>
      </c>
      <c r="O315" s="42"/>
      <c r="P315" s="42"/>
      <c r="Q315" s="42">
        <f>N315+O315+P315</f>
        <v>2419.9</v>
      </c>
    </row>
    <row r="316" spans="1:17" ht="12.75" customHeight="1">
      <c r="A316" s="6" t="s">
        <v>35</v>
      </c>
      <c r="B316" s="44">
        <f>SUM(B318:B318)</f>
        <v>2130.1</v>
      </c>
      <c r="C316" s="44">
        <f>SUM(C318:C319)</f>
        <v>90</v>
      </c>
      <c r="D316" s="44">
        <f>SUM(D318:D318)</f>
        <v>0</v>
      </c>
      <c r="E316" s="44">
        <f>B316+C316+D316</f>
        <v>2220.1</v>
      </c>
      <c r="F316" s="44">
        <f>SUM(F318:F318)</f>
        <v>1155</v>
      </c>
      <c r="G316" s="44">
        <f>SUM(G318:G318)</f>
        <v>0</v>
      </c>
      <c r="H316" s="44">
        <f>E316+F316+G316</f>
        <v>3375.1</v>
      </c>
      <c r="I316" s="44">
        <f>SUM(I318:I318)</f>
        <v>0</v>
      </c>
      <c r="J316" s="44">
        <f>SUM(J318:J318)</f>
        <v>0</v>
      </c>
      <c r="K316" s="44">
        <f>H316+I316+J316</f>
        <v>3375.1</v>
      </c>
      <c r="L316" s="44">
        <f>SUM(L318:L318)</f>
        <v>0</v>
      </c>
      <c r="M316" s="44">
        <f>SUM(M318:M318)</f>
        <v>0</v>
      </c>
      <c r="N316" s="44">
        <f>K316+L316+M316</f>
        <v>3375.1</v>
      </c>
      <c r="O316" s="44">
        <f>SUM(O318:O318)</f>
        <v>0</v>
      </c>
      <c r="P316" s="44">
        <f>SUM(P318:P318)</f>
        <v>0</v>
      </c>
      <c r="Q316" s="44">
        <f>N316+O316+P316</f>
        <v>3375.1</v>
      </c>
    </row>
    <row r="317" spans="1:17" ht="10.5" customHeight="1">
      <c r="A317" s="3" t="s">
        <v>1</v>
      </c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ht="12.75" customHeight="1">
      <c r="A318" s="4" t="s">
        <v>38</v>
      </c>
      <c r="B318" s="42">
        <v>2130.1</v>
      </c>
      <c r="C318" s="42"/>
      <c r="D318" s="42"/>
      <c r="E318" s="42">
        <f>B318+C318+D318</f>
        <v>2130.1</v>
      </c>
      <c r="F318" s="42">
        <v>1155</v>
      </c>
      <c r="G318" s="42"/>
      <c r="H318" s="42">
        <f>E318+F318+G318</f>
        <v>3285.1</v>
      </c>
      <c r="I318" s="46"/>
      <c r="J318" s="46"/>
      <c r="K318" s="46">
        <f>H318+I318+J318</f>
        <v>3285.1</v>
      </c>
      <c r="L318" s="46"/>
      <c r="M318" s="46"/>
      <c r="N318" s="46">
        <f>K318+L318+M318</f>
        <v>3285.1</v>
      </c>
      <c r="O318" s="46"/>
      <c r="P318" s="46"/>
      <c r="Q318" s="46">
        <f>N318+O318+P318</f>
        <v>3285.1</v>
      </c>
    </row>
    <row r="319" spans="1:17" ht="12.75" customHeight="1">
      <c r="A319" s="32" t="s">
        <v>133</v>
      </c>
      <c r="B319" s="46"/>
      <c r="C319" s="46">
        <v>90</v>
      </c>
      <c r="D319" s="46"/>
      <c r="E319" s="46">
        <f>B319+C319+D319</f>
        <v>90</v>
      </c>
      <c r="F319" s="46"/>
      <c r="G319" s="46"/>
      <c r="H319" s="46">
        <f>E319+F319+G319</f>
        <v>90</v>
      </c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ht="18.75" customHeight="1">
      <c r="A320" s="2" t="s">
        <v>22</v>
      </c>
      <c r="B320" s="39">
        <f aca="true" t="shared" si="69" ref="B320:Q320">B321</f>
        <v>22679</v>
      </c>
      <c r="C320" s="39">
        <f t="shared" si="69"/>
        <v>-290</v>
      </c>
      <c r="D320" s="39">
        <f t="shared" si="69"/>
        <v>69620</v>
      </c>
      <c r="E320" s="39">
        <f t="shared" si="69"/>
        <v>92009</v>
      </c>
      <c r="F320" s="39">
        <f t="shared" si="69"/>
        <v>7513.200000000001</v>
      </c>
      <c r="G320" s="39">
        <f t="shared" si="69"/>
        <v>0</v>
      </c>
      <c r="H320" s="39">
        <f t="shared" si="69"/>
        <v>99522.2</v>
      </c>
      <c r="I320" s="39">
        <f t="shared" si="69"/>
        <v>0</v>
      </c>
      <c r="J320" s="39">
        <f t="shared" si="69"/>
        <v>0</v>
      </c>
      <c r="K320" s="39">
        <f t="shared" si="69"/>
        <v>99522.2</v>
      </c>
      <c r="L320" s="39">
        <f t="shared" si="69"/>
        <v>0</v>
      </c>
      <c r="M320" s="39">
        <f t="shared" si="69"/>
        <v>0</v>
      </c>
      <c r="N320" s="39">
        <f t="shared" si="69"/>
        <v>99522.2</v>
      </c>
      <c r="O320" s="39">
        <f t="shared" si="69"/>
        <v>0</v>
      </c>
      <c r="P320" s="39">
        <f t="shared" si="69"/>
        <v>0</v>
      </c>
      <c r="Q320" s="39">
        <f t="shared" si="69"/>
        <v>99522.2</v>
      </c>
    </row>
    <row r="321" spans="1:17" ht="15" customHeight="1">
      <c r="A321" s="6" t="s">
        <v>34</v>
      </c>
      <c r="B321" s="44">
        <f>SUM(B323:B326)</f>
        <v>22679</v>
      </c>
      <c r="C321" s="44">
        <f>SUM(C323:C326)</f>
        <v>-290</v>
      </c>
      <c r="D321" s="44">
        <f>SUM(D323:D326)</f>
        <v>69620</v>
      </c>
      <c r="E321" s="44">
        <f>B321+C321+D321</f>
        <v>92009</v>
      </c>
      <c r="F321" s="44">
        <f>SUM(F323:F326)</f>
        <v>7513.200000000001</v>
      </c>
      <c r="G321" s="44">
        <f>SUM(G323:G326)</f>
        <v>0</v>
      </c>
      <c r="H321" s="44">
        <f>E321+F321+G321</f>
        <v>99522.2</v>
      </c>
      <c r="I321" s="44">
        <f>SUM(I323:I326)</f>
        <v>0</v>
      </c>
      <c r="J321" s="44">
        <f>SUM(J323:J326)</f>
        <v>0</v>
      </c>
      <c r="K321" s="44">
        <f>H321+I321+J321</f>
        <v>99522.2</v>
      </c>
      <c r="L321" s="44">
        <f>SUM(L323:L326)</f>
        <v>0</v>
      </c>
      <c r="M321" s="44">
        <f>SUM(M323:M326)</f>
        <v>0</v>
      </c>
      <c r="N321" s="44">
        <f>K321+L321+M321</f>
        <v>99522.2</v>
      </c>
      <c r="O321" s="44">
        <f>SUM(O323:O326)</f>
        <v>0</v>
      </c>
      <c r="P321" s="44">
        <f>SUM(P323:P326)</f>
        <v>0</v>
      </c>
      <c r="Q321" s="44">
        <f>N321+O321+P321</f>
        <v>99522.2</v>
      </c>
    </row>
    <row r="322" spans="1:17" ht="10.5" customHeight="1">
      <c r="A322" s="3" t="s">
        <v>1</v>
      </c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</row>
    <row r="323" spans="1:17" ht="12.75" customHeight="1">
      <c r="A323" s="30" t="s">
        <v>210</v>
      </c>
      <c r="B323" s="42">
        <v>2679</v>
      </c>
      <c r="C323" s="42">
        <f>-90-200</f>
        <v>-290</v>
      </c>
      <c r="D323" s="42">
        <f>50000+20000-380</f>
        <v>69620</v>
      </c>
      <c r="E323" s="42">
        <f>B323+C323+D323</f>
        <v>72009</v>
      </c>
      <c r="F323" s="42">
        <f>-5000-11850</f>
        <v>-16850</v>
      </c>
      <c r="G323" s="42"/>
      <c r="H323" s="42">
        <f>E323+F323+G323</f>
        <v>55159</v>
      </c>
      <c r="I323" s="42"/>
      <c r="J323" s="42"/>
      <c r="K323" s="42">
        <f>H323+I323+J323</f>
        <v>55159</v>
      </c>
      <c r="L323" s="40"/>
      <c r="M323" s="42"/>
      <c r="N323" s="42">
        <f>K323+L323+M323</f>
        <v>55159</v>
      </c>
      <c r="O323" s="40"/>
      <c r="P323" s="42"/>
      <c r="Q323" s="42">
        <f>N323+O323+P323</f>
        <v>55159</v>
      </c>
    </row>
    <row r="324" spans="1:17" ht="12.75" customHeight="1">
      <c r="A324" s="30" t="s">
        <v>229</v>
      </c>
      <c r="B324" s="42"/>
      <c r="C324" s="42"/>
      <c r="D324" s="42"/>
      <c r="E324" s="42"/>
      <c r="F324" s="42">
        <v>24363.2</v>
      </c>
      <c r="G324" s="42"/>
      <c r="H324" s="42">
        <f>E324+F324+G324</f>
        <v>24363.2</v>
      </c>
      <c r="I324" s="42"/>
      <c r="J324" s="42"/>
      <c r="K324" s="42">
        <f>H324+I324+J324</f>
        <v>24363.2</v>
      </c>
      <c r="L324" s="42"/>
      <c r="M324" s="42"/>
      <c r="N324" s="42">
        <f>K324+L324+M324</f>
        <v>24363.2</v>
      </c>
      <c r="O324" s="42"/>
      <c r="P324" s="42"/>
      <c r="Q324" s="42">
        <f>N324+O324+P324</f>
        <v>24363.2</v>
      </c>
    </row>
    <row r="325" spans="1:17" ht="12.75" customHeight="1" hidden="1">
      <c r="A325" s="30" t="s">
        <v>174</v>
      </c>
      <c r="B325" s="42"/>
      <c r="C325" s="42"/>
      <c r="D325" s="42"/>
      <c r="E325" s="42"/>
      <c r="F325" s="42"/>
      <c r="G325" s="42"/>
      <c r="H325" s="42">
        <f>E325+F325+G325</f>
        <v>0</v>
      </c>
      <c r="I325" s="42"/>
      <c r="J325" s="42"/>
      <c r="K325" s="42">
        <f>H325+I325+J325</f>
        <v>0</v>
      </c>
      <c r="L325" s="42"/>
      <c r="M325" s="42"/>
      <c r="N325" s="42">
        <f>K325+L325+M325</f>
        <v>0</v>
      </c>
      <c r="O325" s="42"/>
      <c r="P325" s="42"/>
      <c r="Q325" s="42">
        <f>N325+O325+P325</f>
        <v>0</v>
      </c>
    </row>
    <row r="326" spans="1:17" ht="12.75" customHeight="1">
      <c r="A326" s="36" t="s">
        <v>9</v>
      </c>
      <c r="B326" s="46">
        <v>20000</v>
      </c>
      <c r="C326" s="46"/>
      <c r="D326" s="46"/>
      <c r="E326" s="46">
        <f>B326+C326+D326</f>
        <v>20000</v>
      </c>
      <c r="F326" s="46"/>
      <c r="G326" s="46"/>
      <c r="H326" s="46">
        <f>E326+F326+G326</f>
        <v>20000</v>
      </c>
      <c r="I326" s="46"/>
      <c r="J326" s="46"/>
      <c r="K326" s="46">
        <f>H326+I326+J326</f>
        <v>20000</v>
      </c>
      <c r="L326" s="46"/>
      <c r="M326" s="46"/>
      <c r="N326" s="46">
        <f>K326+L326+M326</f>
        <v>20000</v>
      </c>
      <c r="O326" s="46"/>
      <c r="P326" s="46"/>
      <c r="Q326" s="46">
        <f>N326+O326+P326</f>
        <v>20000</v>
      </c>
    </row>
    <row r="327" spans="1:17" ht="19.5" customHeight="1">
      <c r="A327" s="2" t="s">
        <v>73</v>
      </c>
      <c r="B327" s="39">
        <f>B329+B330</f>
        <v>514692</v>
      </c>
      <c r="C327" s="39">
        <f>C329+C330</f>
        <v>16497.799999999996</v>
      </c>
      <c r="D327" s="39">
        <f>D329+D330</f>
        <v>164408.69999999998</v>
      </c>
      <c r="E327" s="39">
        <f>B327+C327+D327</f>
        <v>695598.5</v>
      </c>
      <c r="F327" s="39">
        <f>F329+F330</f>
        <v>34384.4</v>
      </c>
      <c r="G327" s="39">
        <f>G329+G330</f>
        <v>0</v>
      </c>
      <c r="H327" s="39">
        <f>E327+F327+G327</f>
        <v>729982.9</v>
      </c>
      <c r="I327" s="39">
        <f>I329+I330</f>
        <v>0</v>
      </c>
      <c r="J327" s="39">
        <f>J329+J330</f>
        <v>0</v>
      </c>
      <c r="K327" s="39">
        <f>H327+I327+J327</f>
        <v>729982.9</v>
      </c>
      <c r="L327" s="39">
        <f>L329+L330</f>
        <v>0</v>
      </c>
      <c r="M327" s="39">
        <f>M329+M330</f>
        <v>0</v>
      </c>
      <c r="N327" s="39">
        <f>K327+L327+M327</f>
        <v>729982.9</v>
      </c>
      <c r="O327" s="39">
        <f>O329+O330</f>
        <v>0</v>
      </c>
      <c r="P327" s="39">
        <f>P329+P330</f>
        <v>0</v>
      </c>
      <c r="Q327" s="39">
        <f>N327+O327+P327</f>
        <v>729982.9</v>
      </c>
    </row>
    <row r="328" spans="1:17" ht="10.5" customHeight="1">
      <c r="A328" s="8" t="s">
        <v>1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</row>
    <row r="329" spans="1:17" ht="12.75" customHeight="1">
      <c r="A329" s="2" t="s">
        <v>34</v>
      </c>
      <c r="B329" s="39">
        <f>B344+B360+B364+B356+B347</f>
        <v>17020</v>
      </c>
      <c r="C329" s="39">
        <f>C344+C360+C364+C356+C347+C355</f>
        <v>6963.9</v>
      </c>
      <c r="D329" s="39">
        <f>D344+D360+D364+D356+D347</f>
        <v>3009.5</v>
      </c>
      <c r="E329" s="39">
        <f>B329+C329+D329</f>
        <v>26993.4</v>
      </c>
      <c r="F329" s="39">
        <f>F344+F360+F364+F356+F347+F355</f>
        <v>6766</v>
      </c>
      <c r="G329" s="39">
        <f>G344+G360+G364+G356+G347</f>
        <v>0</v>
      </c>
      <c r="H329" s="39">
        <f>E329+F329+G329</f>
        <v>33759.4</v>
      </c>
      <c r="I329" s="39">
        <f>I344+I360+I364+I356+I347+I355</f>
        <v>0</v>
      </c>
      <c r="J329" s="39">
        <f>J344+J360+J364+J356+J347</f>
        <v>0</v>
      </c>
      <c r="K329" s="39">
        <f>H329+I329+J329</f>
        <v>33759.4</v>
      </c>
      <c r="L329" s="39">
        <f>L344+L360+L364+L356+L347+L355+L353</f>
        <v>0</v>
      </c>
      <c r="M329" s="39">
        <f>M344+M360+M364+M356+M347+M353</f>
        <v>0</v>
      </c>
      <c r="N329" s="39">
        <f>K329+L329+M329</f>
        <v>33759.4</v>
      </c>
      <c r="O329" s="39">
        <f>O344+O360+O364+O356+O347+O355+O353</f>
        <v>0</v>
      </c>
      <c r="P329" s="39">
        <f>P344+P360+P364+P356+P347</f>
        <v>0</v>
      </c>
      <c r="Q329" s="39">
        <f>N329+O329+P329</f>
        <v>33759.4</v>
      </c>
    </row>
    <row r="330" spans="1:17" ht="12.75" customHeight="1">
      <c r="A330" s="2" t="s">
        <v>35</v>
      </c>
      <c r="B330" s="39">
        <f aca="true" t="shared" si="70" ref="B330:Q330">B332+B335+B338+B342+B343+B345+B350+B358+B362-B329+B367</f>
        <v>497672</v>
      </c>
      <c r="C330" s="39">
        <f t="shared" si="70"/>
        <v>9533.899999999996</v>
      </c>
      <c r="D330" s="39">
        <f t="shared" si="70"/>
        <v>161399.19999999998</v>
      </c>
      <c r="E330" s="39">
        <f t="shared" si="70"/>
        <v>668605.1</v>
      </c>
      <c r="F330" s="39">
        <f t="shared" si="70"/>
        <v>27618.4</v>
      </c>
      <c r="G330" s="39">
        <f t="shared" si="70"/>
        <v>0</v>
      </c>
      <c r="H330" s="39">
        <f t="shared" si="70"/>
        <v>696223.5</v>
      </c>
      <c r="I330" s="39">
        <f t="shared" si="70"/>
        <v>0</v>
      </c>
      <c r="J330" s="39">
        <f t="shared" si="70"/>
        <v>0</v>
      </c>
      <c r="K330" s="39">
        <f t="shared" si="70"/>
        <v>696223.5</v>
      </c>
      <c r="L330" s="39">
        <f t="shared" si="70"/>
        <v>0</v>
      </c>
      <c r="M330" s="39">
        <f t="shared" si="70"/>
        <v>0</v>
      </c>
      <c r="N330" s="39">
        <f t="shared" si="70"/>
        <v>696223.5</v>
      </c>
      <c r="O330" s="39">
        <f t="shared" si="70"/>
        <v>0</v>
      </c>
      <c r="P330" s="39">
        <f t="shared" si="70"/>
        <v>0</v>
      </c>
      <c r="Q330" s="39">
        <f t="shared" si="70"/>
        <v>696223.5</v>
      </c>
    </row>
    <row r="331" spans="1:17" ht="12.75" customHeight="1">
      <c r="A331" s="10" t="s">
        <v>43</v>
      </c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</row>
    <row r="332" spans="1:17" ht="12.75" customHeight="1">
      <c r="A332" s="8" t="s">
        <v>120</v>
      </c>
      <c r="B332" s="40">
        <f>B333+B334</f>
        <v>2000</v>
      </c>
      <c r="C332" s="40">
        <f>C333+C334</f>
        <v>0</v>
      </c>
      <c r="D332" s="40">
        <f>D333+D334</f>
        <v>233.5</v>
      </c>
      <c r="E332" s="42">
        <f>B332+C332+D332</f>
        <v>2233.5</v>
      </c>
      <c r="F332" s="40">
        <f>F333</f>
        <v>0</v>
      </c>
      <c r="G332" s="39"/>
      <c r="H332" s="42">
        <f>E332+F332</f>
        <v>2233.5</v>
      </c>
      <c r="I332" s="40">
        <f>I333</f>
        <v>0</v>
      </c>
      <c r="J332" s="39"/>
      <c r="K332" s="42">
        <f>H332+I332</f>
        <v>2233.5</v>
      </c>
      <c r="L332" s="40"/>
      <c r="M332" s="39"/>
      <c r="N332" s="42">
        <f>K332+L332</f>
        <v>2233.5</v>
      </c>
      <c r="O332" s="40"/>
      <c r="P332" s="39"/>
      <c r="Q332" s="42">
        <f>N332+O332</f>
        <v>2233.5</v>
      </c>
    </row>
    <row r="333" spans="1:17" ht="12.75" customHeight="1">
      <c r="A333" s="8" t="s">
        <v>92</v>
      </c>
      <c r="B333" s="40">
        <v>2000</v>
      </c>
      <c r="C333" s="40"/>
      <c r="D333" s="39"/>
      <c r="E333" s="42">
        <f aca="true" t="shared" si="71" ref="E333:E367">B333+C333+D333</f>
        <v>2000</v>
      </c>
      <c r="F333" s="40"/>
      <c r="G333" s="39"/>
      <c r="H333" s="42">
        <f>SUM(E333:G333)</f>
        <v>2000</v>
      </c>
      <c r="I333" s="40"/>
      <c r="J333" s="39"/>
      <c r="K333" s="42">
        <f>SUM(H333:J333)</f>
        <v>2000</v>
      </c>
      <c r="L333" s="40"/>
      <c r="M333" s="39"/>
      <c r="N333" s="42">
        <f>SUM(K333:M333)</f>
        <v>2000</v>
      </c>
      <c r="O333" s="40"/>
      <c r="P333" s="39"/>
      <c r="Q333" s="42">
        <f>SUM(N333:P333)</f>
        <v>2000</v>
      </c>
    </row>
    <row r="334" spans="1:17" ht="12.75" customHeight="1">
      <c r="A334" s="8" t="s">
        <v>89</v>
      </c>
      <c r="B334" s="40"/>
      <c r="C334" s="40"/>
      <c r="D334" s="40">
        <v>233.5</v>
      </c>
      <c r="E334" s="42">
        <f t="shared" si="71"/>
        <v>233.5</v>
      </c>
      <c r="F334" s="40"/>
      <c r="G334" s="39"/>
      <c r="H334" s="42">
        <f>SUM(E334:G334)</f>
        <v>233.5</v>
      </c>
      <c r="I334" s="40"/>
      <c r="J334" s="39"/>
      <c r="K334" s="42"/>
      <c r="L334" s="40"/>
      <c r="M334" s="39"/>
      <c r="N334" s="42"/>
      <c r="O334" s="40"/>
      <c r="P334" s="39"/>
      <c r="Q334" s="42"/>
    </row>
    <row r="335" spans="1:17" ht="12.75" customHeight="1">
      <c r="A335" s="8" t="s">
        <v>93</v>
      </c>
      <c r="B335" s="40">
        <f>B336+B337</f>
        <v>18642</v>
      </c>
      <c r="C335" s="40">
        <f>C336+C337</f>
        <v>0</v>
      </c>
      <c r="D335" s="40">
        <f>D336+D337</f>
        <v>6806.6</v>
      </c>
      <c r="E335" s="42">
        <f t="shared" si="71"/>
        <v>25448.6</v>
      </c>
      <c r="F335" s="40">
        <f>F336+F337</f>
        <v>0</v>
      </c>
      <c r="G335" s="39"/>
      <c r="H335" s="42">
        <f>E335+F335</f>
        <v>25448.6</v>
      </c>
      <c r="I335" s="40"/>
      <c r="J335" s="39"/>
      <c r="K335" s="42">
        <f>H335+I335</f>
        <v>25448.6</v>
      </c>
      <c r="L335" s="40">
        <f>SUM(L336:L337)</f>
        <v>0</v>
      </c>
      <c r="M335" s="39"/>
      <c r="N335" s="42">
        <f>K335+L335</f>
        <v>25448.6</v>
      </c>
      <c r="O335" s="40"/>
      <c r="P335" s="39"/>
      <c r="Q335" s="42">
        <f>N335+O335</f>
        <v>25448.6</v>
      </c>
    </row>
    <row r="336" spans="1:17" ht="12.75" customHeight="1">
      <c r="A336" s="8" t="s">
        <v>92</v>
      </c>
      <c r="B336" s="40">
        <v>10445</v>
      </c>
      <c r="C336" s="40">
        <v>-230</v>
      </c>
      <c r="D336" s="40">
        <v>1700</v>
      </c>
      <c r="E336" s="42">
        <f t="shared" si="71"/>
        <v>11915</v>
      </c>
      <c r="F336" s="40"/>
      <c r="G336" s="39"/>
      <c r="H336" s="42">
        <f>SUM(E336:G336)</f>
        <v>11915</v>
      </c>
      <c r="I336" s="40"/>
      <c r="J336" s="39"/>
      <c r="K336" s="42">
        <f>SUM(H336:J336)</f>
        <v>11915</v>
      </c>
      <c r="L336" s="40"/>
      <c r="M336" s="39"/>
      <c r="N336" s="42">
        <f>SUM(K336:M336)</f>
        <v>11915</v>
      </c>
      <c r="O336" s="40"/>
      <c r="P336" s="39"/>
      <c r="Q336" s="42">
        <f>SUM(N336:P336)</f>
        <v>11915</v>
      </c>
    </row>
    <row r="337" spans="1:17" ht="12.75" customHeight="1">
      <c r="A337" s="8" t="s">
        <v>89</v>
      </c>
      <c r="B337" s="40">
        <v>8197</v>
      </c>
      <c r="C337" s="40">
        <v>230</v>
      </c>
      <c r="D337" s="40">
        <v>5106.6</v>
      </c>
      <c r="E337" s="42">
        <f t="shared" si="71"/>
        <v>13533.6</v>
      </c>
      <c r="F337" s="40"/>
      <c r="G337" s="39"/>
      <c r="H337" s="42">
        <f>SUM(E337:G337)</f>
        <v>13533.6</v>
      </c>
      <c r="I337" s="40"/>
      <c r="J337" s="39"/>
      <c r="K337" s="42">
        <f>SUM(H337:J337)</f>
        <v>13533.6</v>
      </c>
      <c r="L337" s="40"/>
      <c r="M337" s="39"/>
      <c r="N337" s="42">
        <f>SUM(K337:M337)</f>
        <v>13533.6</v>
      </c>
      <c r="O337" s="40"/>
      <c r="P337" s="39"/>
      <c r="Q337" s="42">
        <f>SUM(N337:P337)</f>
        <v>13533.6</v>
      </c>
    </row>
    <row r="338" spans="1:17" ht="12.75" customHeight="1">
      <c r="A338" s="8" t="s">
        <v>44</v>
      </c>
      <c r="B338" s="40">
        <f>SUM(B339:B340)</f>
        <v>120000</v>
      </c>
      <c r="C338" s="40">
        <f>SUM(C339:C341)</f>
        <v>0</v>
      </c>
      <c r="D338" s="40">
        <f>SUM(D339:D341)</f>
        <v>52378.5</v>
      </c>
      <c r="E338" s="42">
        <f t="shared" si="71"/>
        <v>172378.5</v>
      </c>
      <c r="F338" s="40">
        <f>SUM(F339:F341)</f>
        <v>0</v>
      </c>
      <c r="G338" s="40">
        <f>SUM(G339:G340)</f>
        <v>0</v>
      </c>
      <c r="H338" s="42">
        <f>E338+F338+G338</f>
        <v>172378.5</v>
      </c>
      <c r="I338" s="40">
        <f>SUM(I339:I340)</f>
        <v>0</v>
      </c>
      <c r="J338" s="40"/>
      <c r="K338" s="42">
        <f>H338+I338+J338</f>
        <v>172378.5</v>
      </c>
      <c r="L338" s="40">
        <f>SUM(L339:L340)</f>
        <v>0</v>
      </c>
      <c r="M338" s="40"/>
      <c r="N338" s="42">
        <f>K338+L338+M338</f>
        <v>172378.5</v>
      </c>
      <c r="O338" s="40">
        <f>SUM(O339:O340)</f>
        <v>0</v>
      </c>
      <c r="P338" s="40"/>
      <c r="Q338" s="42">
        <f>N338+O338+P338</f>
        <v>172378.5</v>
      </c>
    </row>
    <row r="339" spans="1:17" ht="12.75" customHeight="1">
      <c r="A339" s="8" t="s">
        <v>134</v>
      </c>
      <c r="B339" s="40">
        <v>87900</v>
      </c>
      <c r="C339" s="40">
        <v>-29695.3</v>
      </c>
      <c r="D339" s="40"/>
      <c r="E339" s="42">
        <f t="shared" si="71"/>
        <v>58204.7</v>
      </c>
      <c r="F339" s="40"/>
      <c r="G339" s="40"/>
      <c r="H339" s="42">
        <f>SUM(E339:G339)</f>
        <v>58204.7</v>
      </c>
      <c r="I339" s="40"/>
      <c r="J339" s="40"/>
      <c r="K339" s="42">
        <f>SUM(H339:J339)</f>
        <v>58204.7</v>
      </c>
      <c r="L339" s="40"/>
      <c r="M339" s="40"/>
      <c r="N339" s="42">
        <f>SUM(K339:M339)</f>
        <v>58204.7</v>
      </c>
      <c r="O339" s="40"/>
      <c r="P339" s="40"/>
      <c r="Q339" s="42">
        <f>SUM(N339:P339)</f>
        <v>58204.7</v>
      </c>
    </row>
    <row r="340" spans="1:17" ht="12.75" customHeight="1">
      <c r="A340" s="8" t="s">
        <v>166</v>
      </c>
      <c r="B340" s="40">
        <v>32100</v>
      </c>
      <c r="C340" s="40">
        <v>29695.3</v>
      </c>
      <c r="D340" s="40"/>
      <c r="E340" s="42">
        <f t="shared" si="71"/>
        <v>61795.3</v>
      </c>
      <c r="F340" s="40">
        <v>49626.9</v>
      </c>
      <c r="G340" s="40"/>
      <c r="H340" s="42">
        <f>SUM(E340:G340)</f>
        <v>111422.20000000001</v>
      </c>
      <c r="I340" s="40"/>
      <c r="J340" s="40"/>
      <c r="K340" s="42">
        <f>SUM(H340:J340)</f>
        <v>111422.20000000001</v>
      </c>
      <c r="L340" s="40"/>
      <c r="M340" s="40"/>
      <c r="N340" s="42">
        <f>SUM(K340:M340)</f>
        <v>111422.20000000001</v>
      </c>
      <c r="O340" s="40"/>
      <c r="P340" s="40"/>
      <c r="Q340" s="42">
        <f>SUM(N340:P340)</f>
        <v>111422.20000000001</v>
      </c>
    </row>
    <row r="341" spans="1:17" ht="12.75" customHeight="1">
      <c r="A341" s="8" t="s">
        <v>89</v>
      </c>
      <c r="B341" s="40"/>
      <c r="C341" s="40"/>
      <c r="D341" s="40">
        <f>50000+2378.5</f>
        <v>52378.5</v>
      </c>
      <c r="E341" s="42">
        <f t="shared" si="71"/>
        <v>52378.5</v>
      </c>
      <c r="F341" s="40">
        <v>-49626.9</v>
      </c>
      <c r="G341" s="40"/>
      <c r="H341" s="42">
        <f>SUM(E341:G341)</f>
        <v>2751.5999999999985</v>
      </c>
      <c r="I341" s="40"/>
      <c r="J341" s="40"/>
      <c r="K341" s="42"/>
      <c r="L341" s="40"/>
      <c r="M341" s="40"/>
      <c r="N341" s="42"/>
      <c r="O341" s="40"/>
      <c r="P341" s="40"/>
      <c r="Q341" s="42"/>
    </row>
    <row r="342" spans="1:17" ht="12.75" customHeight="1">
      <c r="A342" s="8" t="s">
        <v>68</v>
      </c>
      <c r="B342" s="40">
        <v>300</v>
      </c>
      <c r="C342" s="40"/>
      <c r="D342" s="40"/>
      <c r="E342" s="42">
        <f t="shared" si="71"/>
        <v>300</v>
      </c>
      <c r="F342" s="40"/>
      <c r="G342" s="40"/>
      <c r="H342" s="42">
        <f>SUM(E342:G342)</f>
        <v>300</v>
      </c>
      <c r="I342" s="40"/>
      <c r="J342" s="40"/>
      <c r="K342" s="42">
        <f>SUM(H342:J342)</f>
        <v>300</v>
      </c>
      <c r="L342" s="40"/>
      <c r="M342" s="40"/>
      <c r="N342" s="42">
        <f>SUM(K342:M342)</f>
        <v>300</v>
      </c>
      <c r="O342" s="40"/>
      <c r="P342" s="40"/>
      <c r="Q342" s="42">
        <f>SUM(N342:P342)</f>
        <v>300</v>
      </c>
    </row>
    <row r="343" spans="1:17" ht="12.75" customHeight="1">
      <c r="A343" s="8" t="s">
        <v>91</v>
      </c>
      <c r="B343" s="40">
        <f>B344</f>
        <v>750</v>
      </c>
      <c r="C343" s="40">
        <f>C344</f>
        <v>0</v>
      </c>
      <c r="D343" s="40">
        <v>9.5</v>
      </c>
      <c r="E343" s="42">
        <f t="shared" si="71"/>
        <v>759.5</v>
      </c>
      <c r="F343" s="40">
        <f>F344</f>
        <v>0</v>
      </c>
      <c r="G343" s="40"/>
      <c r="H343" s="42">
        <f>E343+F343+G343</f>
        <v>759.5</v>
      </c>
      <c r="I343" s="40"/>
      <c r="J343" s="40"/>
      <c r="K343" s="42">
        <f>H343+I343+J343</f>
        <v>759.5</v>
      </c>
      <c r="L343" s="40"/>
      <c r="M343" s="40"/>
      <c r="N343" s="42">
        <f>K343+L343+M343</f>
        <v>759.5</v>
      </c>
      <c r="O343" s="40"/>
      <c r="P343" s="40"/>
      <c r="Q343" s="42">
        <f>N343+O343+P343</f>
        <v>759.5</v>
      </c>
    </row>
    <row r="344" spans="1:17" ht="12.75" customHeight="1">
      <c r="A344" s="8" t="s">
        <v>90</v>
      </c>
      <c r="B344" s="40">
        <v>750</v>
      </c>
      <c r="C344" s="40"/>
      <c r="D344" s="40">
        <v>9.5</v>
      </c>
      <c r="E344" s="42">
        <f t="shared" si="71"/>
        <v>759.5</v>
      </c>
      <c r="F344" s="40"/>
      <c r="G344" s="40"/>
      <c r="H344" s="42">
        <f aca="true" t="shared" si="72" ref="H344:H353">SUM(E344:G344)</f>
        <v>759.5</v>
      </c>
      <c r="I344" s="48"/>
      <c r="J344" s="48"/>
      <c r="K344" s="46">
        <f aca="true" t="shared" si="73" ref="K344:K352">SUM(H344:J344)</f>
        <v>759.5</v>
      </c>
      <c r="L344" s="48"/>
      <c r="M344" s="48"/>
      <c r="N344" s="46">
        <f aca="true" t="shared" si="74" ref="N344:N368">SUM(K344:M344)</f>
        <v>759.5</v>
      </c>
      <c r="O344" s="48"/>
      <c r="P344" s="48"/>
      <c r="Q344" s="46">
        <f aca="true" t="shared" si="75" ref="Q344:Q368">SUM(N344:P344)</f>
        <v>759.5</v>
      </c>
    </row>
    <row r="345" spans="1:17" ht="12.75" customHeight="1">
      <c r="A345" s="8" t="s">
        <v>45</v>
      </c>
      <c r="B345" s="40">
        <f>SUM(B346:B349)</f>
        <v>48000</v>
      </c>
      <c r="C345" s="40">
        <f>SUM(C346:C349)</f>
        <v>0</v>
      </c>
      <c r="D345" s="40">
        <f>SUM(D346:D349)</f>
        <v>34450.2</v>
      </c>
      <c r="E345" s="42">
        <f t="shared" si="71"/>
        <v>82450.2</v>
      </c>
      <c r="F345" s="40">
        <f>SUM(F346:F349)</f>
        <v>16664.4</v>
      </c>
      <c r="G345" s="40">
        <f>SUM(G346:G349)</f>
        <v>0</v>
      </c>
      <c r="H345" s="42">
        <f t="shared" si="72"/>
        <v>99114.6</v>
      </c>
      <c r="I345" s="40">
        <f>SUM(I346:I349)</f>
        <v>0</v>
      </c>
      <c r="J345" s="40">
        <f>SUM(J346:J349)</f>
        <v>0</v>
      </c>
      <c r="K345" s="42">
        <f t="shared" si="73"/>
        <v>99114.6</v>
      </c>
      <c r="L345" s="40">
        <f>SUM(L346:L349)</f>
        <v>0</v>
      </c>
      <c r="M345" s="40">
        <f>SUM(M346:M349)</f>
        <v>0</v>
      </c>
      <c r="N345" s="42">
        <f t="shared" si="74"/>
        <v>99114.6</v>
      </c>
      <c r="O345" s="40">
        <f>SUM(O346:O349)</f>
        <v>0</v>
      </c>
      <c r="P345" s="40">
        <f>SUM(P346:P349)</f>
        <v>0</v>
      </c>
      <c r="Q345" s="42">
        <f t="shared" si="75"/>
        <v>99114.6</v>
      </c>
    </row>
    <row r="346" spans="1:17" ht="12.75" customHeight="1">
      <c r="A346" s="8" t="s">
        <v>135</v>
      </c>
      <c r="B346" s="40">
        <v>42500</v>
      </c>
      <c r="C346" s="40">
        <v>1010</v>
      </c>
      <c r="D346" s="40">
        <f>7747+3990</f>
        <v>11737</v>
      </c>
      <c r="E346" s="42">
        <f t="shared" si="71"/>
        <v>55247</v>
      </c>
      <c r="F346" s="40">
        <f>8500+11106+6000</f>
        <v>25606</v>
      </c>
      <c r="G346" s="40"/>
      <c r="H346" s="42">
        <f t="shared" si="72"/>
        <v>80853</v>
      </c>
      <c r="I346" s="40"/>
      <c r="J346" s="40"/>
      <c r="K346" s="42">
        <f t="shared" si="73"/>
        <v>80853</v>
      </c>
      <c r="L346" s="40"/>
      <c r="M346" s="40"/>
      <c r="N346" s="42">
        <f t="shared" si="74"/>
        <v>80853</v>
      </c>
      <c r="O346" s="40"/>
      <c r="P346" s="40"/>
      <c r="Q346" s="42">
        <f t="shared" si="75"/>
        <v>80853</v>
      </c>
    </row>
    <row r="347" spans="1:17" ht="12.75" customHeight="1">
      <c r="A347" s="8" t="s">
        <v>170</v>
      </c>
      <c r="B347" s="40"/>
      <c r="C347" s="40"/>
      <c r="D347" s="40">
        <v>3000</v>
      </c>
      <c r="E347" s="42">
        <f t="shared" si="71"/>
        <v>3000</v>
      </c>
      <c r="F347" s="40">
        <f>3350+490</f>
        <v>3840</v>
      </c>
      <c r="G347" s="40"/>
      <c r="H347" s="42">
        <f t="shared" si="72"/>
        <v>6840</v>
      </c>
      <c r="I347" s="40"/>
      <c r="J347" s="40"/>
      <c r="K347" s="42">
        <f t="shared" si="73"/>
        <v>6840</v>
      </c>
      <c r="L347" s="40"/>
      <c r="M347" s="40"/>
      <c r="N347" s="42">
        <f t="shared" si="74"/>
        <v>6840</v>
      </c>
      <c r="O347" s="40"/>
      <c r="P347" s="40"/>
      <c r="Q347" s="42">
        <f t="shared" si="75"/>
        <v>6840</v>
      </c>
    </row>
    <row r="348" spans="1:17" ht="12.75" customHeight="1">
      <c r="A348" s="8" t="s">
        <v>70</v>
      </c>
      <c r="B348" s="40">
        <v>500</v>
      </c>
      <c r="C348" s="40"/>
      <c r="D348" s="40">
        <v>2775</v>
      </c>
      <c r="E348" s="42">
        <f t="shared" si="71"/>
        <v>3275</v>
      </c>
      <c r="F348" s="40"/>
      <c r="G348" s="40"/>
      <c r="H348" s="42">
        <f t="shared" si="72"/>
        <v>3275</v>
      </c>
      <c r="I348" s="40"/>
      <c r="J348" s="40"/>
      <c r="K348" s="42">
        <f t="shared" si="73"/>
        <v>3275</v>
      </c>
      <c r="L348" s="40"/>
      <c r="M348" s="40"/>
      <c r="N348" s="42">
        <f t="shared" si="74"/>
        <v>3275</v>
      </c>
      <c r="O348" s="40"/>
      <c r="P348" s="40"/>
      <c r="Q348" s="42">
        <f t="shared" si="75"/>
        <v>3275</v>
      </c>
    </row>
    <row r="349" spans="1:17" ht="12.75" customHeight="1">
      <c r="A349" s="8" t="s">
        <v>85</v>
      </c>
      <c r="B349" s="40">
        <v>5000</v>
      </c>
      <c r="C349" s="40">
        <v>-1010</v>
      </c>
      <c r="D349" s="40">
        <f>20000+928.2-3990</f>
        <v>16938.2</v>
      </c>
      <c r="E349" s="42">
        <f t="shared" si="71"/>
        <v>20928.2</v>
      </c>
      <c r="F349" s="40">
        <f>4814.4-11596-6000</f>
        <v>-12781.6</v>
      </c>
      <c r="G349" s="40"/>
      <c r="H349" s="42">
        <f t="shared" si="72"/>
        <v>8146.6</v>
      </c>
      <c r="I349" s="40"/>
      <c r="J349" s="40"/>
      <c r="K349" s="42">
        <f t="shared" si="73"/>
        <v>8146.6</v>
      </c>
      <c r="L349" s="40"/>
      <c r="M349" s="40"/>
      <c r="N349" s="42">
        <f t="shared" si="74"/>
        <v>8146.6</v>
      </c>
      <c r="O349" s="40"/>
      <c r="P349" s="40"/>
      <c r="Q349" s="42">
        <f t="shared" si="75"/>
        <v>8146.6</v>
      </c>
    </row>
    <row r="350" spans="1:17" ht="12.75" customHeight="1">
      <c r="A350" s="8" t="s">
        <v>46</v>
      </c>
      <c r="B350" s="40">
        <f>SUM(B351:B357)</f>
        <v>200000</v>
      </c>
      <c r="C350" s="40">
        <f>SUM(C351:C357)</f>
        <v>9360.399999999996</v>
      </c>
      <c r="D350" s="40">
        <f>SUM(D351:D357)</f>
        <v>55390.4</v>
      </c>
      <c r="E350" s="42">
        <f t="shared" si="71"/>
        <v>264750.8</v>
      </c>
      <c r="F350" s="40">
        <f>SUM(F351:F357)</f>
        <v>17720</v>
      </c>
      <c r="G350" s="40">
        <f>SUM(G351:G357)</f>
        <v>0</v>
      </c>
      <c r="H350" s="42">
        <f t="shared" si="72"/>
        <v>282470.8</v>
      </c>
      <c r="I350" s="40">
        <f>SUM(I351:I357)</f>
        <v>0</v>
      </c>
      <c r="J350" s="40">
        <f>SUM(J351:J357)</f>
        <v>0</v>
      </c>
      <c r="K350" s="42">
        <f t="shared" si="73"/>
        <v>282470.8</v>
      </c>
      <c r="L350" s="40">
        <f>SUM(L351:L357)</f>
        <v>0</v>
      </c>
      <c r="M350" s="40">
        <f>SUM(M351:M357)</f>
        <v>0</v>
      </c>
      <c r="N350" s="42">
        <f t="shared" si="74"/>
        <v>282470.8</v>
      </c>
      <c r="O350" s="40">
        <f>SUM(O351:O357)</f>
        <v>0</v>
      </c>
      <c r="P350" s="40">
        <f>SUM(P351:P357)</f>
        <v>0</v>
      </c>
      <c r="Q350" s="42">
        <f t="shared" si="75"/>
        <v>282470.8</v>
      </c>
    </row>
    <row r="351" spans="1:17" ht="12.75" customHeight="1">
      <c r="A351" s="8" t="s">
        <v>86</v>
      </c>
      <c r="B351" s="40">
        <v>189690</v>
      </c>
      <c r="C351" s="40">
        <f>2449.6-23740+67</f>
        <v>-21223.4</v>
      </c>
      <c r="D351" s="40"/>
      <c r="E351" s="42">
        <f t="shared" si="71"/>
        <v>168466.6</v>
      </c>
      <c r="F351" s="40">
        <f>-6733.7-8066.6-3716-1816</f>
        <v>-20332.3</v>
      </c>
      <c r="G351" s="40"/>
      <c r="H351" s="42">
        <f t="shared" si="72"/>
        <v>148134.30000000002</v>
      </c>
      <c r="I351" s="40"/>
      <c r="J351" s="40"/>
      <c r="K351" s="42">
        <f t="shared" si="73"/>
        <v>148134.30000000002</v>
      </c>
      <c r="L351" s="40"/>
      <c r="M351" s="40"/>
      <c r="N351" s="42">
        <f t="shared" si="74"/>
        <v>148134.30000000002</v>
      </c>
      <c r="O351" s="40"/>
      <c r="P351" s="40"/>
      <c r="Q351" s="42">
        <f t="shared" si="75"/>
        <v>148134.30000000002</v>
      </c>
    </row>
    <row r="352" spans="1:17" ht="12.75" customHeight="1">
      <c r="A352" s="8" t="s">
        <v>136</v>
      </c>
      <c r="B352" s="40">
        <v>0</v>
      </c>
      <c r="C352" s="40">
        <f>4007.1+23740</f>
        <v>27747.1</v>
      </c>
      <c r="D352" s="40"/>
      <c r="E352" s="42">
        <f t="shared" si="71"/>
        <v>27747.1</v>
      </c>
      <c r="F352" s="40">
        <f>5000+1221.8+4589</f>
        <v>10810.8</v>
      </c>
      <c r="G352" s="40"/>
      <c r="H352" s="42">
        <f t="shared" si="72"/>
        <v>38557.899999999994</v>
      </c>
      <c r="I352" s="40"/>
      <c r="J352" s="40"/>
      <c r="K352" s="42">
        <f t="shared" si="73"/>
        <v>38557.899999999994</v>
      </c>
      <c r="L352" s="40"/>
      <c r="M352" s="40"/>
      <c r="N352" s="42">
        <f t="shared" si="74"/>
        <v>38557.899999999994</v>
      </c>
      <c r="O352" s="40"/>
      <c r="P352" s="40"/>
      <c r="Q352" s="42">
        <f t="shared" si="75"/>
        <v>38557.899999999994</v>
      </c>
    </row>
    <row r="353" spans="1:17" ht="12.75" customHeight="1">
      <c r="A353" s="8" t="s">
        <v>191</v>
      </c>
      <c r="B353" s="40"/>
      <c r="C353" s="40"/>
      <c r="D353" s="40"/>
      <c r="E353" s="42">
        <f t="shared" si="71"/>
        <v>0</v>
      </c>
      <c r="F353" s="40">
        <v>1857</v>
      </c>
      <c r="G353" s="40"/>
      <c r="H353" s="42">
        <f t="shared" si="72"/>
        <v>1857</v>
      </c>
      <c r="I353" s="40"/>
      <c r="J353" s="40"/>
      <c r="K353" s="42"/>
      <c r="L353" s="40"/>
      <c r="M353" s="40"/>
      <c r="N353" s="42">
        <f t="shared" si="74"/>
        <v>0</v>
      </c>
      <c r="O353" s="40"/>
      <c r="P353" s="40"/>
      <c r="Q353" s="42">
        <f t="shared" si="75"/>
        <v>0</v>
      </c>
    </row>
    <row r="354" spans="1:17" ht="12.75" customHeight="1">
      <c r="A354" s="8" t="s">
        <v>137</v>
      </c>
      <c r="B354" s="40"/>
      <c r="C354" s="40"/>
      <c r="D354" s="40"/>
      <c r="E354" s="42">
        <f t="shared" si="71"/>
        <v>0</v>
      </c>
      <c r="F354" s="40">
        <f>4943.7+5000+900</f>
        <v>10843.7</v>
      </c>
      <c r="G354" s="40"/>
      <c r="H354" s="42">
        <f aca="true" t="shared" si="76" ref="H354:H368">SUM(E354:G354)</f>
        <v>10843.7</v>
      </c>
      <c r="I354" s="40"/>
      <c r="J354" s="40"/>
      <c r="K354" s="42">
        <f aca="true" t="shared" si="77" ref="K354:K368">SUM(H354:J354)</f>
        <v>10843.7</v>
      </c>
      <c r="L354" s="40"/>
      <c r="M354" s="40"/>
      <c r="N354" s="42">
        <f t="shared" si="74"/>
        <v>10843.7</v>
      </c>
      <c r="O354" s="40"/>
      <c r="P354" s="40"/>
      <c r="Q354" s="42">
        <f t="shared" si="75"/>
        <v>10843.7</v>
      </c>
    </row>
    <row r="355" spans="1:17" ht="12.75" customHeight="1" hidden="1">
      <c r="A355" s="8" t="s">
        <v>167</v>
      </c>
      <c r="B355" s="40"/>
      <c r="C355" s="40"/>
      <c r="D355" s="40"/>
      <c r="E355" s="42">
        <f t="shared" si="71"/>
        <v>0</v>
      </c>
      <c r="F355" s="40"/>
      <c r="G355" s="40"/>
      <c r="H355" s="42">
        <f t="shared" si="76"/>
        <v>0</v>
      </c>
      <c r="I355" s="40"/>
      <c r="J355" s="40"/>
      <c r="K355" s="42">
        <f t="shared" si="77"/>
        <v>0</v>
      </c>
      <c r="L355" s="40"/>
      <c r="M355" s="40"/>
      <c r="N355" s="42">
        <f t="shared" si="74"/>
        <v>0</v>
      </c>
      <c r="O355" s="40"/>
      <c r="P355" s="40"/>
      <c r="Q355" s="42">
        <f t="shared" si="75"/>
        <v>0</v>
      </c>
    </row>
    <row r="356" spans="1:17" ht="12.75" customHeight="1">
      <c r="A356" s="8" t="s">
        <v>78</v>
      </c>
      <c r="B356" s="40">
        <v>9640</v>
      </c>
      <c r="C356" s="40">
        <f>2903.7+110.2</f>
        <v>3013.8999999999996</v>
      </c>
      <c r="D356" s="40"/>
      <c r="E356" s="42">
        <f t="shared" si="71"/>
        <v>12653.9</v>
      </c>
      <c r="F356" s="40">
        <f>-3210+150+5000+916</f>
        <v>2856</v>
      </c>
      <c r="G356" s="40"/>
      <c r="H356" s="42">
        <f t="shared" si="76"/>
        <v>15509.9</v>
      </c>
      <c r="I356" s="40"/>
      <c r="J356" s="40"/>
      <c r="K356" s="42">
        <f t="shared" si="77"/>
        <v>15509.9</v>
      </c>
      <c r="L356" s="40"/>
      <c r="M356" s="40"/>
      <c r="N356" s="42">
        <f t="shared" si="74"/>
        <v>15509.9</v>
      </c>
      <c r="O356" s="40"/>
      <c r="P356" s="40"/>
      <c r="Q356" s="42">
        <f t="shared" si="75"/>
        <v>15509.9</v>
      </c>
    </row>
    <row r="357" spans="1:17" ht="12.75" customHeight="1">
      <c r="A357" s="8" t="s">
        <v>85</v>
      </c>
      <c r="B357" s="40">
        <v>670</v>
      </c>
      <c r="C357" s="40">
        <f>-110.2-67</f>
        <v>-177.2</v>
      </c>
      <c r="D357" s="40">
        <f>54581+809.4</f>
        <v>55390.4</v>
      </c>
      <c r="E357" s="42">
        <f t="shared" si="71"/>
        <v>55883.200000000004</v>
      </c>
      <c r="F357" s="40">
        <f>17720-162.2-5873</f>
        <v>11684.8</v>
      </c>
      <c r="G357" s="40"/>
      <c r="H357" s="42">
        <f t="shared" si="76"/>
        <v>67568</v>
      </c>
      <c r="I357" s="40"/>
      <c r="J357" s="40"/>
      <c r="K357" s="42">
        <f t="shared" si="77"/>
        <v>67568</v>
      </c>
      <c r="L357" s="40"/>
      <c r="M357" s="40"/>
      <c r="N357" s="42">
        <f t="shared" si="74"/>
        <v>67568</v>
      </c>
      <c r="O357" s="40"/>
      <c r="P357" s="40"/>
      <c r="Q357" s="42">
        <f t="shared" si="75"/>
        <v>67568</v>
      </c>
    </row>
    <row r="358" spans="1:17" ht="12.75" customHeight="1">
      <c r="A358" s="8" t="s">
        <v>39</v>
      </c>
      <c r="B358" s="40">
        <f>SUM(B359:B361)</f>
        <v>10000</v>
      </c>
      <c r="C358" s="40">
        <f>SUM(C359:C361)</f>
        <v>0</v>
      </c>
      <c r="D358" s="40">
        <f>SUM(D359:D361)</f>
        <v>1329.8</v>
      </c>
      <c r="E358" s="42">
        <f t="shared" si="71"/>
        <v>11329.8</v>
      </c>
      <c r="F358" s="40">
        <f>SUM(F359:F361)</f>
        <v>0</v>
      </c>
      <c r="G358" s="40"/>
      <c r="H358" s="42">
        <f t="shared" si="76"/>
        <v>11329.8</v>
      </c>
      <c r="I358" s="40">
        <f>SUM(I359:I361)</f>
        <v>0</v>
      </c>
      <c r="J358" s="40"/>
      <c r="K358" s="42">
        <f t="shared" si="77"/>
        <v>11329.8</v>
      </c>
      <c r="L358" s="40">
        <f>SUM(L359:L361)</f>
        <v>0</v>
      </c>
      <c r="M358" s="40"/>
      <c r="N358" s="42">
        <f t="shared" si="74"/>
        <v>11329.8</v>
      </c>
      <c r="O358" s="40">
        <f>SUM(O359:O361)</f>
        <v>0</v>
      </c>
      <c r="P358" s="40"/>
      <c r="Q358" s="42">
        <f t="shared" si="75"/>
        <v>11329.8</v>
      </c>
    </row>
    <row r="359" spans="1:17" ht="12.75" customHeight="1">
      <c r="A359" s="8" t="s">
        <v>135</v>
      </c>
      <c r="B359" s="40">
        <v>9380</v>
      </c>
      <c r="C359" s="40"/>
      <c r="D359" s="40"/>
      <c r="E359" s="42">
        <f t="shared" si="71"/>
        <v>9380</v>
      </c>
      <c r="F359" s="40">
        <v>810</v>
      </c>
      <c r="G359" s="40"/>
      <c r="H359" s="42">
        <f t="shared" si="76"/>
        <v>10190</v>
      </c>
      <c r="I359" s="40"/>
      <c r="J359" s="40"/>
      <c r="K359" s="42">
        <f t="shared" si="77"/>
        <v>10190</v>
      </c>
      <c r="L359" s="40"/>
      <c r="M359" s="40"/>
      <c r="N359" s="42">
        <f t="shared" si="74"/>
        <v>10190</v>
      </c>
      <c r="O359" s="40"/>
      <c r="P359" s="40"/>
      <c r="Q359" s="42">
        <f t="shared" si="75"/>
        <v>10190</v>
      </c>
    </row>
    <row r="360" spans="1:17" ht="12.75" customHeight="1">
      <c r="A360" s="8" t="s">
        <v>170</v>
      </c>
      <c r="B360" s="40">
        <v>330</v>
      </c>
      <c r="C360" s="40"/>
      <c r="D360" s="40"/>
      <c r="E360" s="42">
        <f t="shared" si="71"/>
        <v>330</v>
      </c>
      <c r="F360" s="40">
        <v>70</v>
      </c>
      <c r="G360" s="40"/>
      <c r="H360" s="42">
        <f t="shared" si="76"/>
        <v>400</v>
      </c>
      <c r="I360" s="40"/>
      <c r="J360" s="40"/>
      <c r="K360" s="42">
        <f t="shared" si="77"/>
        <v>400</v>
      </c>
      <c r="L360" s="40"/>
      <c r="M360" s="40"/>
      <c r="N360" s="42">
        <f t="shared" si="74"/>
        <v>400</v>
      </c>
      <c r="O360" s="40"/>
      <c r="P360" s="40"/>
      <c r="Q360" s="42">
        <f t="shared" si="75"/>
        <v>400</v>
      </c>
    </row>
    <row r="361" spans="1:17" ht="12.75" customHeight="1">
      <c r="A361" s="8" t="s">
        <v>85</v>
      </c>
      <c r="B361" s="40">
        <v>290</v>
      </c>
      <c r="C361" s="40"/>
      <c r="D361" s="40">
        <v>1329.8</v>
      </c>
      <c r="E361" s="42">
        <f t="shared" si="71"/>
        <v>1619.8</v>
      </c>
      <c r="F361" s="40">
        <v>-880</v>
      </c>
      <c r="G361" s="40"/>
      <c r="H361" s="42">
        <f t="shared" si="76"/>
        <v>739.8</v>
      </c>
      <c r="I361" s="40"/>
      <c r="J361" s="40"/>
      <c r="K361" s="42">
        <f t="shared" si="77"/>
        <v>739.8</v>
      </c>
      <c r="L361" s="40"/>
      <c r="M361" s="40"/>
      <c r="N361" s="42">
        <f t="shared" si="74"/>
        <v>739.8</v>
      </c>
      <c r="O361" s="40"/>
      <c r="P361" s="40"/>
      <c r="Q361" s="42">
        <f t="shared" si="75"/>
        <v>739.8</v>
      </c>
    </row>
    <row r="362" spans="1:17" ht="12.75" customHeight="1">
      <c r="A362" s="8" t="s">
        <v>37</v>
      </c>
      <c r="B362" s="40">
        <f>SUM(B363:B366)</f>
        <v>115000</v>
      </c>
      <c r="C362" s="40">
        <f>SUM(C363:C366)</f>
        <v>7137.4</v>
      </c>
      <c r="D362" s="40">
        <f>SUM(D363:D366)</f>
        <v>13810.2</v>
      </c>
      <c r="E362" s="42">
        <f t="shared" si="71"/>
        <v>135947.6</v>
      </c>
      <c r="F362" s="40">
        <f>SUM(F363:F366)</f>
        <v>0</v>
      </c>
      <c r="G362" s="40">
        <f>SUM(G363:G366)</f>
        <v>0</v>
      </c>
      <c r="H362" s="42">
        <f t="shared" si="76"/>
        <v>135947.6</v>
      </c>
      <c r="I362" s="40">
        <f>SUM(I363:I366)</f>
        <v>0</v>
      </c>
      <c r="J362" s="40"/>
      <c r="K362" s="42">
        <f t="shared" si="77"/>
        <v>135947.6</v>
      </c>
      <c r="L362" s="40">
        <f>SUM(L363:L366)</f>
        <v>0</v>
      </c>
      <c r="M362" s="40">
        <f>SUM(M363:M366)</f>
        <v>0</v>
      </c>
      <c r="N362" s="42">
        <f t="shared" si="74"/>
        <v>135947.6</v>
      </c>
      <c r="O362" s="40">
        <f>SUM(O363:O366)</f>
        <v>0</v>
      </c>
      <c r="P362" s="40">
        <f>SUM(P363:P366)</f>
        <v>0</v>
      </c>
      <c r="Q362" s="42">
        <f t="shared" si="75"/>
        <v>135947.6</v>
      </c>
    </row>
    <row r="363" spans="1:17" ht="12.75" customHeight="1">
      <c r="A363" s="8" t="s">
        <v>135</v>
      </c>
      <c r="B363" s="40">
        <v>107270</v>
      </c>
      <c r="C363" s="40">
        <v>3187.4</v>
      </c>
      <c r="D363" s="40"/>
      <c r="E363" s="42">
        <f t="shared" si="71"/>
        <v>110457.4</v>
      </c>
      <c r="F363" s="40">
        <v>4890</v>
      </c>
      <c r="G363" s="40"/>
      <c r="H363" s="42">
        <f t="shared" si="76"/>
        <v>115347.4</v>
      </c>
      <c r="I363" s="40"/>
      <c r="J363" s="40"/>
      <c r="K363" s="42">
        <f t="shared" si="77"/>
        <v>115347.4</v>
      </c>
      <c r="L363" s="40"/>
      <c r="M363" s="40"/>
      <c r="N363" s="42">
        <f t="shared" si="74"/>
        <v>115347.4</v>
      </c>
      <c r="O363" s="40"/>
      <c r="P363" s="40"/>
      <c r="Q363" s="42">
        <f t="shared" si="75"/>
        <v>115347.4</v>
      </c>
    </row>
    <row r="364" spans="1:17" ht="12.75" customHeight="1">
      <c r="A364" s="8" t="s">
        <v>170</v>
      </c>
      <c r="B364" s="40">
        <v>6300</v>
      </c>
      <c r="C364" s="40">
        <v>3950</v>
      </c>
      <c r="D364" s="40"/>
      <c r="E364" s="42">
        <f t="shared" si="71"/>
        <v>10250</v>
      </c>
      <c r="F364" s="40"/>
      <c r="G364" s="40"/>
      <c r="H364" s="42">
        <f t="shared" si="76"/>
        <v>10250</v>
      </c>
      <c r="I364" s="40"/>
      <c r="J364" s="40"/>
      <c r="K364" s="42">
        <f t="shared" si="77"/>
        <v>10250</v>
      </c>
      <c r="L364" s="40"/>
      <c r="M364" s="40"/>
      <c r="N364" s="42">
        <f t="shared" si="74"/>
        <v>10250</v>
      </c>
      <c r="O364" s="40"/>
      <c r="P364" s="40"/>
      <c r="Q364" s="42">
        <f t="shared" si="75"/>
        <v>10250</v>
      </c>
    </row>
    <row r="365" spans="1:17" ht="12.75" customHeight="1">
      <c r="A365" s="8" t="s">
        <v>71</v>
      </c>
      <c r="B365" s="40"/>
      <c r="C365" s="40"/>
      <c r="D365" s="40"/>
      <c r="E365" s="42">
        <f t="shared" si="71"/>
        <v>0</v>
      </c>
      <c r="F365" s="40">
        <v>300</v>
      </c>
      <c r="G365" s="40"/>
      <c r="H365" s="42">
        <f t="shared" si="76"/>
        <v>300</v>
      </c>
      <c r="I365" s="40"/>
      <c r="J365" s="40"/>
      <c r="K365" s="42">
        <f t="shared" si="77"/>
        <v>300</v>
      </c>
      <c r="L365" s="40"/>
      <c r="M365" s="40"/>
      <c r="N365" s="42">
        <f t="shared" si="74"/>
        <v>300</v>
      </c>
      <c r="O365" s="40"/>
      <c r="P365" s="40"/>
      <c r="Q365" s="42">
        <f t="shared" si="75"/>
        <v>300</v>
      </c>
    </row>
    <row r="366" spans="1:17" ht="12.75" customHeight="1">
      <c r="A366" s="8" t="s">
        <v>85</v>
      </c>
      <c r="B366" s="40">
        <v>1430</v>
      </c>
      <c r="C366" s="40"/>
      <c r="D366" s="40">
        <f>12700+1110.2</f>
        <v>13810.2</v>
      </c>
      <c r="E366" s="42">
        <f t="shared" si="71"/>
        <v>15240.2</v>
      </c>
      <c r="F366" s="40">
        <f>-4890-300</f>
        <v>-5190</v>
      </c>
      <c r="G366" s="40"/>
      <c r="H366" s="42">
        <f t="shared" si="76"/>
        <v>10050.2</v>
      </c>
      <c r="I366" s="40"/>
      <c r="J366" s="40"/>
      <c r="K366" s="42">
        <f t="shared" si="77"/>
        <v>10050.2</v>
      </c>
      <c r="L366" s="40"/>
      <c r="M366" s="40"/>
      <c r="N366" s="42">
        <f t="shared" si="74"/>
        <v>10050.2</v>
      </c>
      <c r="O366" s="40"/>
      <c r="P366" s="40"/>
      <c r="Q366" s="42">
        <f t="shared" si="75"/>
        <v>10050.2</v>
      </c>
    </row>
    <row r="367" spans="1:17" ht="12.75" customHeight="1">
      <c r="A367" s="67" t="s">
        <v>94</v>
      </c>
      <c r="B367" s="48"/>
      <c r="C367" s="48"/>
      <c r="D367" s="48"/>
      <c r="E367" s="46">
        <f t="shared" si="71"/>
        <v>0</v>
      </c>
      <c r="F367" s="48"/>
      <c r="G367" s="48"/>
      <c r="H367" s="46">
        <f t="shared" si="76"/>
        <v>0</v>
      </c>
      <c r="I367" s="48"/>
      <c r="J367" s="48"/>
      <c r="K367" s="46">
        <f t="shared" si="77"/>
        <v>0</v>
      </c>
      <c r="L367" s="48"/>
      <c r="M367" s="48"/>
      <c r="N367" s="46">
        <f t="shared" si="74"/>
        <v>0</v>
      </c>
      <c r="O367" s="48"/>
      <c r="P367" s="48"/>
      <c r="Q367" s="46">
        <f t="shared" si="75"/>
        <v>0</v>
      </c>
    </row>
    <row r="368" spans="1:17" ht="18" customHeight="1" thickBot="1">
      <c r="A368" s="38" t="s">
        <v>142</v>
      </c>
      <c r="B368" s="41">
        <v>4511</v>
      </c>
      <c r="C368" s="41">
        <v>800</v>
      </c>
      <c r="D368" s="41"/>
      <c r="E368" s="41">
        <f>SUM(B368:D368)</f>
        <v>5311</v>
      </c>
      <c r="F368" s="41"/>
      <c r="G368" s="41"/>
      <c r="H368" s="41">
        <f t="shared" si="76"/>
        <v>5311</v>
      </c>
      <c r="I368" s="41"/>
      <c r="J368" s="41"/>
      <c r="K368" s="41">
        <f t="shared" si="77"/>
        <v>5311</v>
      </c>
      <c r="L368" s="41"/>
      <c r="M368" s="41"/>
      <c r="N368" s="41">
        <f t="shared" si="74"/>
        <v>5311</v>
      </c>
      <c r="O368" s="41"/>
      <c r="P368" s="41"/>
      <c r="Q368" s="41">
        <f t="shared" si="75"/>
        <v>5311</v>
      </c>
    </row>
    <row r="369" spans="1:17" ht="21.75" customHeight="1" thickBot="1">
      <c r="A369" s="34" t="s">
        <v>23</v>
      </c>
      <c r="B369" s="50">
        <f>B76+B89+B104+B133+B156+B217+B246+B263+B276+B312+B320+B327+B172+B161+B293+B123+B368</f>
        <v>3275889.7</v>
      </c>
      <c r="C369" s="50">
        <f>C76+C89+C104+C133+C156+C217+C246+C263+C276+C312+C320+C327+C172+C161+C293+C123+C368</f>
        <v>1172875.7000000002</v>
      </c>
      <c r="D369" s="50">
        <f>D76+D89+D104+D133+D156+D217+D246+D263+D276+D312+D320+D327+D172+D161+D293+D123</f>
        <v>598075.6</v>
      </c>
      <c r="E369" s="50">
        <f>E76+E89+E104+E133+E156+E217+E246+E263+E276+E312+E320+E327+E172+E161+E293+E123+E368</f>
        <v>5046840.999999999</v>
      </c>
      <c r="F369" s="50">
        <f>F76+F89+F104+F133+F156+F217+F246+F263+F276+F312+F320+F327+F172+F161+F293+F123+F368</f>
        <v>1228662.0000000002</v>
      </c>
      <c r="G369" s="50">
        <f>G76+G89+G104+G133+G156+G217+G246+G263+G276+G312+G320+G327+G172+G161+G293+G123</f>
        <v>0</v>
      </c>
      <c r="H369" s="51">
        <f>H76+H89+H104+H133+H156+H217+H246+H263+H276+H312+H320+H327+H172+H161+H293+H123+H368</f>
        <v>6275503.000000001</v>
      </c>
      <c r="I369" s="81">
        <f>I76+I89+I104+I133+I156+I217+I246+I263+I276+I312+I320+I327+I172+I161+I293+I123+I368</f>
        <v>0</v>
      </c>
      <c r="J369" s="50">
        <f>J76+J89+J104+J133+J156+J217+J246+J263+J276+J312+J320+J327+J172+J161+J293+J123</f>
        <v>0</v>
      </c>
      <c r="K369" s="51">
        <f>K76+K89+K104+K133+K156+K217+K246+K263+K276+K312+K320+K327+K172+K161+K293+K123+K368</f>
        <v>6262988.800000001</v>
      </c>
      <c r="L369" s="50">
        <f>L76+L89+L104+L133+L156+L217+L246+L263+L276+L312+L320+L327+L172+L161+L293+L123+L368</f>
        <v>0</v>
      </c>
      <c r="M369" s="50">
        <f>M76+M89+M104+M133+M156+M217+M246+M263+M276+M312+M320+M327+M172+M161+M293+M123</f>
        <v>0</v>
      </c>
      <c r="N369" s="51">
        <f>N76+N89+N104+N133+N156+N217+N246+N263+N276+N312+N320+N327+N172+N161+N293+N123+N368</f>
        <v>6262988.800000001</v>
      </c>
      <c r="O369" s="50">
        <f>O76+O89+O104+O133+O156+O217+O246+O263+O276+O312+O320+O327+O172+O161+O293+O123+O368</f>
        <v>0</v>
      </c>
      <c r="P369" s="50">
        <f>P76+P89+P104+P133+P156+P217+P246+P263+P276+P312+P320+P327+P172+P161+P293+P123</f>
        <v>0</v>
      </c>
      <c r="Q369" s="51">
        <f>Q76+Q89+Q104+Q133+Q156+Q217+Q246+Q263+Q276+Q312+Q320+Q327+Q172+Q161+Q293+Q123+Q368</f>
        <v>6262988.800000001</v>
      </c>
    </row>
    <row r="370" spans="1:17" ht="15" customHeight="1" thickBot="1">
      <c r="A370" s="33" t="s">
        <v>139</v>
      </c>
      <c r="B370" s="52">
        <v>-4511</v>
      </c>
      <c r="C370" s="52"/>
      <c r="D370" s="52"/>
      <c r="E370" s="53">
        <f>SUM(B370:D370)</f>
        <v>-4511</v>
      </c>
      <c r="F370" s="52"/>
      <c r="G370" s="52"/>
      <c r="H370" s="53">
        <f>SUM(E370:G370)</f>
        <v>-4511</v>
      </c>
      <c r="I370" s="82"/>
      <c r="J370" s="52"/>
      <c r="K370" s="53">
        <f>SUM(H370:J370)</f>
        <v>-4511</v>
      </c>
      <c r="L370" s="52"/>
      <c r="M370" s="52"/>
      <c r="N370" s="53">
        <f>SUM(K370:M370)</f>
        <v>-4511</v>
      </c>
      <c r="O370" s="52"/>
      <c r="P370" s="52"/>
      <c r="Q370" s="53">
        <f>SUM(N370:P370)</f>
        <v>-4511</v>
      </c>
    </row>
    <row r="371" spans="1:17" ht="21.75" customHeight="1" thickBot="1">
      <c r="A371" s="25" t="s">
        <v>140</v>
      </c>
      <c r="B371" s="54">
        <f aca="true" t="shared" si="78" ref="B371:Q371">B369+B370</f>
        <v>3271378.7</v>
      </c>
      <c r="C371" s="54">
        <f t="shared" si="78"/>
        <v>1172875.7000000002</v>
      </c>
      <c r="D371" s="54">
        <f t="shared" si="78"/>
        <v>598075.6</v>
      </c>
      <c r="E371" s="55">
        <f t="shared" si="78"/>
        <v>5042329.999999999</v>
      </c>
      <c r="F371" s="54">
        <f t="shared" si="78"/>
        <v>1228662.0000000002</v>
      </c>
      <c r="G371" s="54">
        <f t="shared" si="78"/>
        <v>0</v>
      </c>
      <c r="H371" s="55">
        <f t="shared" si="78"/>
        <v>6270992.000000001</v>
      </c>
      <c r="I371" s="83">
        <f t="shared" si="78"/>
        <v>0</v>
      </c>
      <c r="J371" s="54">
        <f t="shared" si="78"/>
        <v>0</v>
      </c>
      <c r="K371" s="55">
        <f t="shared" si="78"/>
        <v>6258477.800000001</v>
      </c>
      <c r="L371" s="54">
        <f t="shared" si="78"/>
        <v>0</v>
      </c>
      <c r="M371" s="54">
        <f t="shared" si="78"/>
        <v>0</v>
      </c>
      <c r="N371" s="55">
        <f t="shared" si="78"/>
        <v>6258477.800000001</v>
      </c>
      <c r="O371" s="54">
        <f t="shared" si="78"/>
        <v>0</v>
      </c>
      <c r="P371" s="54">
        <f t="shared" si="78"/>
        <v>0</v>
      </c>
      <c r="Q371" s="55">
        <f t="shared" si="78"/>
        <v>6258477.800000001</v>
      </c>
    </row>
    <row r="372" spans="1:17" ht="12" customHeight="1">
      <c r="A372" s="29" t="s">
        <v>1</v>
      </c>
      <c r="B372" s="56"/>
      <c r="C372" s="56"/>
      <c r="D372" s="56"/>
      <c r="E372" s="56"/>
      <c r="F372" s="56"/>
      <c r="G372" s="56"/>
      <c r="H372" s="57"/>
      <c r="I372" s="78"/>
      <c r="J372" s="56"/>
      <c r="K372" s="57"/>
      <c r="L372" s="72"/>
      <c r="M372" s="56"/>
      <c r="N372" s="57"/>
      <c r="O372" s="72"/>
      <c r="P372" s="56"/>
      <c r="Q372" s="57"/>
    </row>
    <row r="373" spans="1:17" ht="15" customHeight="1">
      <c r="A373" s="28" t="s">
        <v>34</v>
      </c>
      <c r="B373" s="58">
        <f>B77+B90+B105+B134+B157+B173+B218+B247+B264+B277+B313+B321+B329+B162+B294+B124+B368+B370</f>
        <v>2422221.9</v>
      </c>
      <c r="C373" s="58">
        <f>C77+C90+C105+C134+C157+C173+C218+C247+C264+C277+C313+C321+C329+C162+C294+C124+C368+C370</f>
        <v>1118680.3000000003</v>
      </c>
      <c r="D373" s="58">
        <f>D77+D90+D105+D134+D157+D173+D218+D247+D264+D277+D313+D321+D329+D162+D294+D124</f>
        <v>326916.8</v>
      </c>
      <c r="E373" s="58">
        <f>E77+E90+E105+E134+E157+E173+E218+E247+E264+E277+E313+E321+E329+E162+E294+E124+E368+E370</f>
        <v>3867819</v>
      </c>
      <c r="F373" s="58">
        <f>F77+F90+F105+F134+F157+F173+F218+F247+F264+F277+F313+F321+F329+F162+F294+F124+F368+F370</f>
        <v>1119385.7</v>
      </c>
      <c r="G373" s="58" t="e">
        <f>G77+G90+G105+G134+G157+G173+G218+G247+G264+G277+G313+G321+G329+G162+G294+G124+G368+G370+#REF!</f>
        <v>#REF!</v>
      </c>
      <c r="H373" s="59">
        <f>H77+H90+H105+H134+H157+H173+H218+H247+H264+H277+H313+H321+H329+H162+H294+H124+H368+H370</f>
        <v>4987204.7</v>
      </c>
      <c r="I373" s="79">
        <f>I77+I90+I105+I134+I157+I173+I218+I247+I264+I277+I313+I321+I329+I162+I294+I124+I368+I370</f>
        <v>0</v>
      </c>
      <c r="J373" s="58">
        <f>J77+J90+J105+J134+J157+J173+J218+J247+J264+J277+J313+J321+J329+J162+J294+J124</f>
        <v>0</v>
      </c>
      <c r="K373" s="59">
        <f>K77+K90+K105+K134+K157+K173+K218+K247+K264+K277+K313+K321+K329+K162+K294+K124+K368+K370</f>
        <v>4983239.7</v>
      </c>
      <c r="L373" s="73"/>
      <c r="M373" s="58">
        <f>M77+M90+M105+M134+M157+M173+M218+M247+M264+M277+M313+M321+M329+M162+M294+M124</f>
        <v>0</v>
      </c>
      <c r="N373" s="59">
        <f>N77+N90+N105+N134+N157+N173+N218+N247+N264+N277+N313+N321+N329+N162+N294+N124+N368+N370</f>
        <v>4983239.7</v>
      </c>
      <c r="O373" s="73">
        <f>O77+O90+O105+O134+O157+O173+O218+O247+O264+O277+O313+O321+O329+O162+O294+O124+O368+O370</f>
        <v>0</v>
      </c>
      <c r="P373" s="58">
        <f>P77+P90+P105+P134+P157+P173+P218+P247+P264+P277+P313+P321+P329+P162+P294+P124</f>
        <v>0</v>
      </c>
      <c r="Q373" s="59">
        <f>Q77+Q90+Q105+Q134+Q157+Q173+Q218+Q247+Q264+Q277+Q313+Q321+Q329+Q162+Q294+Q124+Q368+Q370</f>
        <v>4983239.7</v>
      </c>
    </row>
    <row r="374" spans="1:17" ht="15" customHeight="1" thickBot="1">
      <c r="A374" s="80" t="s">
        <v>35</v>
      </c>
      <c r="B374" s="75">
        <f aca="true" t="shared" si="79" ref="B374:K374">B115+B144+B202+B239+B255+B316+B330+B168+B287+B85+B303+B273+B130</f>
        <v>849156.8</v>
      </c>
      <c r="C374" s="75">
        <f t="shared" si="79"/>
        <v>54195.399999999994</v>
      </c>
      <c r="D374" s="75">
        <f t="shared" si="79"/>
        <v>271158.8</v>
      </c>
      <c r="E374" s="75">
        <f t="shared" si="79"/>
        <v>1174511</v>
      </c>
      <c r="F374" s="75">
        <f t="shared" si="79"/>
        <v>109276.29999999999</v>
      </c>
      <c r="G374" s="75">
        <f t="shared" si="79"/>
        <v>0</v>
      </c>
      <c r="H374" s="76">
        <f t="shared" si="79"/>
        <v>1283787.2999999998</v>
      </c>
      <c r="I374" s="79">
        <f t="shared" si="79"/>
        <v>0</v>
      </c>
      <c r="J374" s="58">
        <f t="shared" si="79"/>
        <v>0</v>
      </c>
      <c r="K374" s="59">
        <f t="shared" si="79"/>
        <v>1275238.0999999999</v>
      </c>
      <c r="L374" s="74">
        <f>L115+L144+L202+L239+L255+L316+L330+L168+L287+L85+L303+L273+L130+L101</f>
        <v>0</v>
      </c>
      <c r="M374" s="75">
        <f>M115+M144+M202+M239+M255+M316+M330+M168+M287+M85+M303+M273+M130</f>
        <v>0</v>
      </c>
      <c r="N374" s="76">
        <f>N115+N144+N202+N239+N255+N316+N330+N168+N287+N85+N303+N273+N130+N101</f>
        <v>1275238.0999999999</v>
      </c>
      <c r="O374" s="74">
        <f>O115+O144+O202+O239+O255+O316+O330+O168+O287+O85+O303+O273+O130+O101</f>
        <v>0</v>
      </c>
      <c r="P374" s="75">
        <f>P115+P144+P202+P239+P255+P316+P330+P168+P287+P85+P303+P273+P130</f>
        <v>0</v>
      </c>
      <c r="Q374" s="76">
        <f>Q115+Q144+Q202+Q239+Q255+Q316+Q330+Q168+Q287+Q85+Q303+Q273+Q130+Q101</f>
        <v>1275238.0999999999</v>
      </c>
    </row>
    <row r="375" spans="1:17" ht="19.5" customHeight="1">
      <c r="A375" s="29" t="s">
        <v>48</v>
      </c>
      <c r="B375" s="60">
        <f aca="true" t="shared" si="80" ref="B375:Q375">SUM(B377:B380)</f>
        <v>188606.7</v>
      </c>
      <c r="C375" s="60">
        <f t="shared" si="80"/>
        <v>68046.8</v>
      </c>
      <c r="D375" s="60">
        <f t="shared" si="80"/>
        <v>456629.7</v>
      </c>
      <c r="E375" s="61">
        <f t="shared" si="80"/>
        <v>713283.2</v>
      </c>
      <c r="F375" s="60">
        <f t="shared" si="80"/>
        <v>85358.1</v>
      </c>
      <c r="G375" s="60">
        <f t="shared" si="80"/>
        <v>0</v>
      </c>
      <c r="H375" s="61">
        <f t="shared" si="80"/>
        <v>798641.3</v>
      </c>
      <c r="I375" s="84">
        <f t="shared" si="80"/>
        <v>0</v>
      </c>
      <c r="J375" s="60">
        <f t="shared" si="80"/>
        <v>0</v>
      </c>
      <c r="K375" s="61">
        <f t="shared" si="80"/>
        <v>798641.3</v>
      </c>
      <c r="L375" s="60">
        <f t="shared" si="80"/>
        <v>0</v>
      </c>
      <c r="M375" s="60">
        <f t="shared" si="80"/>
        <v>0</v>
      </c>
      <c r="N375" s="61">
        <f t="shared" si="80"/>
        <v>798641.3</v>
      </c>
      <c r="O375" s="60">
        <f t="shared" si="80"/>
        <v>0</v>
      </c>
      <c r="P375" s="60">
        <f t="shared" si="80"/>
        <v>0</v>
      </c>
      <c r="Q375" s="61">
        <f t="shared" si="80"/>
        <v>798641.3</v>
      </c>
    </row>
    <row r="376" spans="1:17" ht="9.75" customHeight="1">
      <c r="A376" s="26" t="s">
        <v>1</v>
      </c>
      <c r="B376" s="62"/>
      <c r="C376" s="62"/>
      <c r="D376" s="62"/>
      <c r="E376" s="63"/>
      <c r="F376" s="62"/>
      <c r="G376" s="62"/>
      <c r="H376" s="63"/>
      <c r="I376" s="85"/>
      <c r="J376" s="62"/>
      <c r="K376" s="63"/>
      <c r="L376" s="62"/>
      <c r="M376" s="62"/>
      <c r="N376" s="63"/>
      <c r="O376" s="62"/>
      <c r="P376" s="62"/>
      <c r="Q376" s="63"/>
    </row>
    <row r="377" spans="1:17" ht="12.75" customHeight="1">
      <c r="A377" s="26" t="s">
        <v>69</v>
      </c>
      <c r="B377" s="64">
        <v>188606.7</v>
      </c>
      <c r="C377" s="64"/>
      <c r="D377" s="64">
        <v>12142.2</v>
      </c>
      <c r="E377" s="63">
        <f>SUM(B377:D377)</f>
        <v>200748.90000000002</v>
      </c>
      <c r="F377" s="64"/>
      <c r="G377" s="64"/>
      <c r="H377" s="63">
        <f>SUM(E377:G377)</f>
        <v>200748.90000000002</v>
      </c>
      <c r="I377" s="86"/>
      <c r="J377" s="64"/>
      <c r="K377" s="63">
        <f>SUM(H377:J377)</f>
        <v>200748.90000000002</v>
      </c>
      <c r="L377" s="64"/>
      <c r="M377" s="64"/>
      <c r="N377" s="63">
        <f>SUM(K377:M377)</f>
        <v>200748.90000000002</v>
      </c>
      <c r="O377" s="64"/>
      <c r="P377" s="64"/>
      <c r="Q377" s="63">
        <f>SUM(N377:P377)</f>
        <v>200748.90000000002</v>
      </c>
    </row>
    <row r="378" spans="1:17" ht="12.75" customHeight="1" hidden="1">
      <c r="A378" s="26" t="s">
        <v>162</v>
      </c>
      <c r="B378" s="64"/>
      <c r="C378" s="64"/>
      <c r="D378" s="64"/>
      <c r="E378" s="63"/>
      <c r="F378" s="64"/>
      <c r="G378" s="64"/>
      <c r="H378" s="63">
        <f>SUM(E378:G378)</f>
        <v>0</v>
      </c>
      <c r="I378" s="86"/>
      <c r="J378" s="64"/>
      <c r="K378" s="63">
        <f>SUM(H378:J378)</f>
        <v>0</v>
      </c>
      <c r="L378" s="64"/>
      <c r="M378" s="64"/>
      <c r="N378" s="63">
        <f>SUM(K378:M378)</f>
        <v>0</v>
      </c>
      <c r="O378" s="64"/>
      <c r="P378" s="64"/>
      <c r="Q378" s="63">
        <f>SUM(N378:P378)</f>
        <v>0</v>
      </c>
    </row>
    <row r="379" spans="1:17" ht="12.75" customHeight="1">
      <c r="A379" s="26" t="s">
        <v>138</v>
      </c>
      <c r="B379" s="62"/>
      <c r="C379" s="64">
        <v>67246.8</v>
      </c>
      <c r="D379" s="64">
        <v>444487.5</v>
      </c>
      <c r="E379" s="63">
        <f>SUM(B379:D379)</f>
        <v>511734.3</v>
      </c>
      <c r="F379" s="64">
        <v>85358.1</v>
      </c>
      <c r="G379" s="64"/>
      <c r="H379" s="63">
        <f>SUM(E379:G379)</f>
        <v>597092.4</v>
      </c>
      <c r="I379" s="86"/>
      <c r="J379" s="64"/>
      <c r="K379" s="63">
        <f>SUM(H379:J379)</f>
        <v>597092.4</v>
      </c>
      <c r="L379" s="64"/>
      <c r="M379" s="64"/>
      <c r="N379" s="63">
        <f>SUM(K379:M379)</f>
        <v>597092.4</v>
      </c>
      <c r="O379" s="64"/>
      <c r="P379" s="64"/>
      <c r="Q379" s="63">
        <f>SUM(N379:P379)</f>
        <v>597092.4</v>
      </c>
    </row>
    <row r="380" spans="1:17" ht="12.75" customHeight="1" thickBot="1">
      <c r="A380" s="27" t="s">
        <v>141</v>
      </c>
      <c r="B380" s="65"/>
      <c r="C380" s="65">
        <v>800</v>
      </c>
      <c r="D380" s="65"/>
      <c r="E380" s="66">
        <f>SUM(B380:D380)</f>
        <v>800</v>
      </c>
      <c r="F380" s="65"/>
      <c r="G380" s="65"/>
      <c r="H380" s="66">
        <f>SUM(E380:G380)</f>
        <v>800</v>
      </c>
      <c r="I380" s="87"/>
      <c r="J380" s="65"/>
      <c r="K380" s="66">
        <f>SUM(H380:J380)</f>
        <v>800</v>
      </c>
      <c r="L380" s="65"/>
      <c r="M380" s="65"/>
      <c r="N380" s="66">
        <f>SUM(K380:M380)</f>
        <v>800</v>
      </c>
      <c r="O380" s="65"/>
      <c r="P380" s="65"/>
      <c r="Q380" s="66">
        <f>SUM(N380:P380)</f>
        <v>800</v>
      </c>
    </row>
    <row r="381" spans="1:5" ht="15" customHeight="1">
      <c r="A381" s="15"/>
      <c r="B381" s="22"/>
      <c r="C381" s="21"/>
      <c r="D381" s="21"/>
      <c r="E381" s="22"/>
    </row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spans="1:2" ht="12.75" customHeight="1">
      <c r="A391" s="14"/>
      <c r="B391" s="24"/>
    </row>
    <row r="392" ht="12.75" customHeight="1"/>
    <row r="393" spans="1:2" ht="12.75" customHeight="1">
      <c r="A393" s="14"/>
      <c r="B393" s="24"/>
    </row>
    <row r="394" ht="12.75" customHeight="1"/>
    <row r="395" ht="12.75" customHeight="1">
      <c r="A395" s="23"/>
    </row>
    <row r="396" ht="12.75" customHeight="1">
      <c r="A396" s="23"/>
    </row>
    <row r="397" ht="12.75" customHeight="1">
      <c r="A397" s="23"/>
    </row>
    <row r="398" ht="12.75" customHeight="1">
      <c r="A398" s="23"/>
    </row>
    <row r="399" ht="15" customHeight="1">
      <c r="A399" s="23"/>
    </row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</sheetData>
  <mergeCells count="5">
    <mergeCell ref="A7:A8"/>
    <mergeCell ref="A2:Q2"/>
    <mergeCell ref="A3:Q3"/>
    <mergeCell ref="A4:Q4"/>
    <mergeCell ref="A5:Q5"/>
  </mergeCells>
  <printOptions horizontalCentered="1"/>
  <pageMargins left="0.1968503937007874" right="0.1968503937007874" top="0.7874015748031497" bottom="0.7874015748031497" header="0.31496062992125984" footer="0.3937007874015748"/>
  <pageSetup horizontalDpi="600" verticalDpi="600" orientation="portrait" paperSize="9" scale="83" r:id="rId1"/>
  <headerFooter alignWithMargins="0">
    <oddHeader>&amp;RPříloha č. 1
</oddHeader>
    <oddFooter>&amp;CStránka &amp;P</oddFooter>
  </headerFooter>
  <rowBreaks count="4" manualBreakCount="4">
    <brk id="84" max="255" man="1"/>
    <brk id="171" max="255" man="1"/>
    <brk id="245" max="255" man="1"/>
    <brk id="3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2008-05-29T07:18:34Z</cp:lastPrinted>
  <dcterms:created xsi:type="dcterms:W3CDTF">1997-01-24T11:07:25Z</dcterms:created>
  <dcterms:modified xsi:type="dcterms:W3CDTF">2008-05-29T07:19:41Z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33596419</vt:i4>
  </property>
  <property fmtid="{D5CDD505-2E9C-101B-9397-08002B2CF9AE}" pid="3" name="_EmailSubject">
    <vt:lpwstr>2.ZR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