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nápočet komponent" sheetId="1" r:id="rId1"/>
    <sheet name="souběh výkonů ŠJ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<sst xmlns="http://schemas.openxmlformats.org/spreadsheetml/2006/main" count="172" uniqueCount="106">
  <si>
    <t>parametry regresní funkce</t>
  </si>
  <si>
    <t>výkony pro výpoč</t>
  </si>
  <si>
    <t>hodnota
Np, No</t>
  </si>
  <si>
    <t>Norm. úv.
 zaměst.</t>
  </si>
  <si>
    <t>interval
(velikost)</t>
  </si>
  <si>
    <t>a0</t>
  </si>
  <si>
    <t>a1</t>
  </si>
  <si>
    <t>a2</t>
  </si>
  <si>
    <t>a3</t>
  </si>
  <si>
    <t>a4</t>
  </si>
  <si>
    <t>a5</t>
  </si>
  <si>
    <t>a6</t>
  </si>
  <si>
    <t>max (extr):</t>
  </si>
  <si>
    <t>Mateřské školy</t>
  </si>
  <si>
    <t xml:space="preserve">MŠ </t>
  </si>
  <si>
    <t>Np</t>
  </si>
  <si>
    <t>do 13 dětí</t>
  </si>
  <si>
    <t>učitelé</t>
  </si>
  <si>
    <t>MŠ</t>
  </si>
  <si>
    <t>No</t>
  </si>
  <si>
    <t>provozní z.</t>
  </si>
  <si>
    <t>107 a více</t>
  </si>
  <si>
    <t>platy/ žáka ped / nep.</t>
  </si>
  <si>
    <t>Kč</t>
  </si>
  <si>
    <t>Kpedag:</t>
  </si>
  <si>
    <t>Kneped:</t>
  </si>
  <si>
    <t>MŠ plat indiv.</t>
  </si>
  <si>
    <t>Kped</t>
  </si>
  <si>
    <t>Základní školy s 1.-5.r.</t>
  </si>
  <si>
    <t>ZŠ 1-5r.,</t>
  </si>
  <si>
    <t>do 10 žáků</t>
  </si>
  <si>
    <t>10-18 ž.</t>
  </si>
  <si>
    <t>19-200 ž.</t>
  </si>
  <si>
    <t>201 a více</t>
  </si>
  <si>
    <t>10-94 ž.</t>
  </si>
  <si>
    <t>95 a více</t>
  </si>
  <si>
    <t>ZŠ 1-5r. indiv</t>
  </si>
  <si>
    <t>Základní školy s 1.-9.r., práce pedagogů pro 1. stupeň</t>
  </si>
  <si>
    <t>ZŠ 1.-9.r.</t>
  </si>
  <si>
    <t>do 85 žáků</t>
  </si>
  <si>
    <t>učitelé 1.st.</t>
  </si>
  <si>
    <t>85- 200 ž.</t>
  </si>
  <si>
    <t>401 a více ž.</t>
  </si>
  <si>
    <t>Základní školy s 1.-9.r., práce pedagogů pro 2. stupeň</t>
  </si>
  <si>
    <t>do 68 žáků</t>
  </si>
  <si>
    <t>učitelé 2. st.</t>
  </si>
  <si>
    <t>68 - 400 ž.</t>
  </si>
  <si>
    <t>Základní školy s 1.-9.r., práce nepedagogů (1.+ 2. stupeň)</t>
  </si>
  <si>
    <t>ZŠ 1-9.,</t>
  </si>
  <si>
    <t>do 153 ž.</t>
  </si>
  <si>
    <t>provozní zam.</t>
  </si>
  <si>
    <t>153-747 ž.</t>
  </si>
  <si>
    <t>748 a více ž.</t>
  </si>
  <si>
    <t>platy neped/žáka</t>
  </si>
  <si>
    <t xml:space="preserve">Školní družina </t>
  </si>
  <si>
    <t>vych. ŠD</t>
  </si>
  <si>
    <t>do 10 ž.</t>
  </si>
  <si>
    <t>do 1067 str.</t>
  </si>
  <si>
    <t>1067 a více</t>
  </si>
  <si>
    <t>Školní jídelna - pro stravované děti, které se vzdělávají v MŠ</t>
  </si>
  <si>
    <t>ŠJ MŠ</t>
  </si>
  <si>
    <t>Domov mládeže - pro  ubytované žáky, kteří se vzdělávají v SŠ</t>
  </si>
  <si>
    <t>do 20 ubyt.</t>
  </si>
  <si>
    <t>20-405 ubyt.</t>
  </si>
  <si>
    <t>405 a více</t>
  </si>
  <si>
    <t>pedag. DM</t>
  </si>
  <si>
    <t>normativ</t>
  </si>
  <si>
    <t>platy pedag./ žáka 1.st</t>
  </si>
  <si>
    <t>platy pedag./ žáka 2.st</t>
  </si>
  <si>
    <t>platy pedag./ žáka v ŠD</t>
  </si>
  <si>
    <t>platy/ ubyt. ped./neped</t>
  </si>
  <si>
    <t>platy neped./ stravov.</t>
  </si>
  <si>
    <t>ŠJ ZŠ, SŠ</t>
  </si>
  <si>
    <t>norm.
kompon.</t>
  </si>
  <si>
    <r>
      <t>Školní jídelna - pro stravované žáky, kteří se vzdělávají v ZŠ, SŠ</t>
    </r>
    <r>
      <rPr>
        <sz val="12"/>
        <rFont val="Arial"/>
        <family val="2"/>
      </rPr>
      <t xml:space="preserve"> - se souběhem s dětmi MŠ, celodenním stravováním</t>
    </r>
  </si>
  <si>
    <t>děti MŠ -obědy +dopl.j.</t>
  </si>
  <si>
    <t>žáci ZŠ - obědy</t>
  </si>
  <si>
    <t>žáci SŠ+VOŠ - obědy</t>
  </si>
  <si>
    <t>strávníci - žáci ZŠ, SŠ</t>
  </si>
  <si>
    <t>strávníci - děti MŠ</t>
  </si>
  <si>
    <t>strávníci</t>
  </si>
  <si>
    <t>hodnota
No</t>
  </si>
  <si>
    <t>úv. NPo</t>
  </si>
  <si>
    <t>Knep.</t>
  </si>
  <si>
    <t>celodenní strav - děti MŠ</t>
  </si>
  <si>
    <t>celodenní strav- ZŠ, SŠ, VOŠ</t>
  </si>
  <si>
    <t>celod. strav. bez obědů MŠ</t>
  </si>
  <si>
    <t>celod. strav. bez obědů ost</t>
  </si>
  <si>
    <t>CELKEM</t>
  </si>
  <si>
    <t>vývařovna - obědy pro MŠ</t>
  </si>
  <si>
    <t>vývařovna - obědy ZŠ, SŠ</t>
  </si>
  <si>
    <t>Školní jídelna - pro stravované děti, které se vzdělávají v MŠ - oběd a doplňková jídla</t>
  </si>
  <si>
    <r>
      <t>Školní jídelna - pro stravované žáky, kteří se vzdělávají v ZŠ, SŠ - obědy</t>
    </r>
    <r>
      <rPr>
        <sz val="12"/>
        <rFont val="Arial"/>
        <family val="2"/>
      </rPr>
      <t xml:space="preserve"> (bez souběhu s dětmi MŠ, celodenním stravováním)</t>
    </r>
  </si>
  <si>
    <t>Výpočet pro školní jídelnu se stravováním více typů strávníků (souběh více normativů)</t>
  </si>
  <si>
    <t xml:space="preserve">k vyplnění </t>
  </si>
  <si>
    <t>výkony dle normativů</t>
  </si>
  <si>
    <t>platy</t>
  </si>
  <si>
    <t>tis. Kč</t>
  </si>
  <si>
    <t>Výpočet hodnot normativů potřeby práce pro rok 2015, normativní objem mzdových prostředků na jednotku výkonů</t>
  </si>
  <si>
    <t>13 -106 dětí</t>
  </si>
  <si>
    <t>29 a více</t>
  </si>
  <si>
    <t>13 - 28 dětí</t>
  </si>
  <si>
    <t>201 -400 ž.</t>
  </si>
  <si>
    <t>10-249 ž.</t>
  </si>
  <si>
    <t>250 ž. a více</t>
  </si>
  <si>
    <t>Pozn.:  pro korektní výpočet musí být vyplněny všechny výkony - nevyužitá políčka musí obsahovat 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</si>
</sst>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E+00"/>
    <numFmt numFmtId="166" formatCode="0.0000"/>
    <numFmt numFmtId="167" formatCode="0.0000000"/>
    <numFmt numFmtId="168" formatCode="0.0"/>
    <numFmt numFmtId="169" formatCode="0.000000"/>
    <numFmt numFmtId="170" formatCode="0.0000000E+00"/>
    <numFmt numFmtId="171" formatCode="0.00000E+00"/>
    <numFmt numFmtId="172" formatCode="0.000E+00"/>
    <numFmt numFmtId="173" formatCode="0.0000000000"/>
    <numFmt numFmtId="174" formatCode="0.00000000000"/>
    <numFmt numFmtId="175" formatCode="0.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0"/>
      <name val="Arial CE"/>
      <family val="0"/>
    </font>
    <font>
      <sz val="10"/>
      <name val="Times New Roman CE"/>
      <family val="1"/>
    </font>
    <font>
      <b/>
      <sz val="10"/>
      <name val="Arial CE"/>
      <family val="2"/>
    </font>
    <font>
      <b/>
      <sz val="10"/>
      <name val="Times New Roman CE"/>
      <family val="1"/>
    </font>
    <font>
      <b/>
      <sz val="11"/>
      <name val="Arial CE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 CE"/>
      <family val="1"/>
    </font>
    <font>
      <sz val="11"/>
      <color indexed="1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 CE"/>
      <family val="1"/>
    </font>
    <font>
      <sz val="11"/>
      <color theme="3" tint="-0.24997000396251678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3EDED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/>
      <protection locked="0"/>
    </xf>
    <xf numFmtId="164" fontId="5" fillId="34" borderId="16" xfId="0" applyNumberFormat="1" applyFont="1" applyFill="1" applyBorder="1" applyAlignment="1" applyProtection="1">
      <alignment/>
      <protection/>
    </xf>
    <xf numFmtId="164" fontId="3" fillId="34" borderId="17" xfId="0" applyNumberFormat="1" applyFont="1" applyFill="1" applyBorder="1" applyAlignment="1" applyProtection="1">
      <alignment/>
      <protection/>
    </xf>
    <xf numFmtId="164" fontId="4" fillId="34" borderId="18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 applyProtection="1">
      <alignment horizontal="right"/>
      <protection/>
    </xf>
    <xf numFmtId="0" fontId="11" fillId="0" borderId="19" xfId="0" applyFont="1" applyFill="1" applyBorder="1" applyAlignment="1" applyProtection="1">
      <alignment horizontal="right"/>
      <protection/>
    </xf>
    <xf numFmtId="0" fontId="11" fillId="0" borderId="20" xfId="0" applyFont="1" applyBorder="1" applyAlignment="1" applyProtection="1">
      <alignment horizontal="right"/>
      <protection/>
    </xf>
    <xf numFmtId="2" fontId="0" fillId="0" borderId="21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/>
      <protection/>
    </xf>
    <xf numFmtId="164" fontId="0" fillId="34" borderId="24" xfId="0" applyNumberFormat="1" applyFill="1" applyBorder="1" applyAlignment="1" applyProtection="1">
      <alignment/>
      <protection/>
    </xf>
    <xf numFmtId="164" fontId="3" fillId="34" borderId="25" xfId="0" applyNumberFormat="1" applyFont="1" applyFill="1" applyBorder="1" applyAlignment="1" applyProtection="1">
      <alignment/>
      <protection/>
    </xf>
    <xf numFmtId="164" fontId="4" fillId="34" borderId="24" xfId="0" applyNumberFormat="1" applyFont="1" applyFill="1" applyBorder="1" applyAlignment="1" applyProtection="1">
      <alignment/>
      <protection/>
    </xf>
    <xf numFmtId="0" fontId="10" fillId="0" borderId="26" xfId="0" applyFont="1" applyFill="1" applyBorder="1" applyAlignment="1" applyProtection="1">
      <alignment horizontal="right"/>
      <protection/>
    </xf>
    <xf numFmtId="0" fontId="10" fillId="0" borderId="26" xfId="0" applyFont="1" applyFill="1" applyBorder="1" applyAlignment="1" applyProtection="1">
      <alignment horizontal="right"/>
      <protection/>
    </xf>
    <xf numFmtId="0" fontId="10" fillId="0" borderId="27" xfId="0" applyFont="1" applyBorder="1" applyAlignment="1" applyProtection="1">
      <alignment horizontal="right"/>
      <protection/>
    </xf>
    <xf numFmtId="164" fontId="0" fillId="34" borderId="28" xfId="0" applyNumberFormat="1" applyFill="1" applyBorder="1" applyAlignment="1" applyProtection="1">
      <alignment/>
      <protection/>
    </xf>
    <xf numFmtId="164" fontId="3" fillId="34" borderId="29" xfId="0" applyNumberFormat="1" applyFont="1" applyFill="1" applyBorder="1" applyAlignment="1" applyProtection="1">
      <alignment/>
      <protection/>
    </xf>
    <xf numFmtId="164" fontId="4" fillId="34" borderId="30" xfId="0" applyNumberFormat="1" applyFont="1" applyFill="1" applyBorder="1" applyAlignment="1" applyProtection="1">
      <alignment/>
      <protection/>
    </xf>
    <xf numFmtId="165" fontId="10" fillId="0" borderId="26" xfId="0" applyNumberFormat="1" applyFont="1" applyFill="1" applyBorder="1" applyAlignment="1" applyProtection="1">
      <alignment horizontal="right"/>
      <protection/>
    </xf>
    <xf numFmtId="164" fontId="5" fillId="34" borderId="31" xfId="0" applyNumberFormat="1" applyFont="1" applyFill="1" applyBorder="1" applyAlignment="1" applyProtection="1">
      <alignment/>
      <protection/>
    </xf>
    <xf numFmtId="164" fontId="3" fillId="34" borderId="32" xfId="0" applyNumberFormat="1" applyFont="1" applyFill="1" applyBorder="1" applyAlignment="1" applyProtection="1">
      <alignment/>
      <protection/>
    </xf>
    <xf numFmtId="164" fontId="4" fillId="34" borderId="28" xfId="0" applyNumberFormat="1" applyFont="1" applyFill="1" applyBorder="1" applyAlignment="1" applyProtection="1">
      <alignment/>
      <protection/>
    </xf>
    <xf numFmtId="0" fontId="11" fillId="0" borderId="26" xfId="0" applyFont="1" applyFill="1" applyBorder="1" applyAlignment="1" applyProtection="1">
      <alignment horizontal="right"/>
      <protection/>
    </xf>
    <xf numFmtId="0" fontId="11" fillId="0" borderId="27" xfId="0" applyFont="1" applyBorder="1" applyAlignment="1" applyProtection="1">
      <alignment horizontal="right"/>
      <protection/>
    </xf>
    <xf numFmtId="166" fontId="0" fillId="34" borderId="24" xfId="0" applyNumberFormat="1" applyFill="1" applyBorder="1" applyAlignment="1" applyProtection="1">
      <alignment/>
      <protection/>
    </xf>
    <xf numFmtId="164" fontId="4" fillId="34" borderId="31" xfId="0" applyNumberFormat="1" applyFont="1" applyFill="1" applyBorder="1" applyAlignment="1" applyProtection="1">
      <alignment/>
      <protection/>
    </xf>
    <xf numFmtId="167" fontId="10" fillId="0" borderId="26" xfId="0" applyNumberFormat="1" applyFont="1" applyFill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center"/>
      <protection/>
    </xf>
    <xf numFmtId="0" fontId="0" fillId="35" borderId="34" xfId="0" applyFill="1" applyBorder="1" applyAlignment="1" applyProtection="1">
      <alignment/>
      <protection/>
    </xf>
    <xf numFmtId="166" fontId="0" fillId="34" borderId="35" xfId="0" applyNumberFormat="1" applyFill="1" applyBorder="1" applyAlignment="1" applyProtection="1">
      <alignment/>
      <protection/>
    </xf>
    <xf numFmtId="164" fontId="3" fillId="34" borderId="36" xfId="0" applyNumberFormat="1" applyFont="1" applyFill="1" applyBorder="1" applyAlignment="1" applyProtection="1">
      <alignment/>
      <protection/>
    </xf>
    <xf numFmtId="164" fontId="4" fillId="34" borderId="37" xfId="0" applyNumberFormat="1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 horizontal="right"/>
      <protection/>
    </xf>
    <xf numFmtId="0" fontId="11" fillId="0" borderId="38" xfId="0" applyFont="1" applyFill="1" applyBorder="1" applyAlignment="1" applyProtection="1">
      <alignment horizontal="right"/>
      <protection/>
    </xf>
    <xf numFmtId="0" fontId="11" fillId="0" borderId="39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13" fillId="0" borderId="12" xfId="0" applyFont="1" applyBorder="1" applyAlignment="1" applyProtection="1">
      <alignment/>
      <protection/>
    </xf>
    <xf numFmtId="1" fontId="13" fillId="0" borderId="12" xfId="0" applyNumberFormat="1" applyFont="1" applyBorder="1" applyAlignment="1" applyProtection="1">
      <alignment/>
      <protection/>
    </xf>
    <xf numFmtId="169" fontId="13" fillId="0" borderId="12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horizontal="center"/>
      <protection/>
    </xf>
    <xf numFmtId="0" fontId="0" fillId="35" borderId="43" xfId="0" applyFill="1" applyBorder="1" applyAlignment="1" applyProtection="1">
      <alignment/>
      <protection locked="0"/>
    </xf>
    <xf numFmtId="1" fontId="0" fillId="34" borderId="41" xfId="0" applyNumberFormat="1" applyFill="1" applyBorder="1" applyAlignment="1" applyProtection="1">
      <alignment/>
      <protection/>
    </xf>
    <xf numFmtId="164" fontId="3" fillId="34" borderId="40" xfId="0" applyNumberFormat="1" applyFont="1" applyFill="1" applyBorder="1" applyAlignment="1" applyProtection="1">
      <alignment/>
      <protection/>
    </xf>
    <xf numFmtId="164" fontId="6" fillId="34" borderId="41" xfId="0" applyNumberFormat="1" applyFont="1" applyFill="1" applyBorder="1" applyAlignment="1" applyProtection="1">
      <alignment/>
      <protection/>
    </xf>
    <xf numFmtId="0" fontId="10" fillId="0" borderId="44" xfId="0" applyFont="1" applyFill="1" applyBorder="1" applyAlignment="1" applyProtection="1">
      <alignment horizontal="right"/>
      <protection/>
    </xf>
    <xf numFmtId="0" fontId="11" fillId="0" borderId="44" xfId="0" applyFont="1" applyFill="1" applyBorder="1" applyAlignment="1" applyProtection="1">
      <alignment horizontal="right"/>
      <protection/>
    </xf>
    <xf numFmtId="0" fontId="11" fillId="0" borderId="43" xfId="0" applyFont="1" applyBorder="1" applyAlignment="1" applyProtection="1">
      <alignment horizontal="right"/>
      <protection/>
    </xf>
    <xf numFmtId="0" fontId="5" fillId="0" borderId="14" xfId="0" applyFont="1" applyBorder="1" applyAlignment="1" applyProtection="1">
      <alignment horizontal="center"/>
      <protection/>
    </xf>
    <xf numFmtId="1" fontId="5" fillId="33" borderId="15" xfId="0" applyNumberFormat="1" applyFont="1" applyFill="1" applyBorder="1" applyAlignment="1" applyProtection="1">
      <alignment/>
      <protection locked="0"/>
    </xf>
    <xf numFmtId="164" fontId="4" fillId="34" borderId="45" xfId="0" applyNumberFormat="1" applyFont="1" applyFill="1" applyBorder="1" applyAlignment="1" applyProtection="1">
      <alignment/>
      <protection/>
    </xf>
    <xf numFmtId="0" fontId="10" fillId="0" borderId="45" xfId="0" applyFont="1" applyFill="1" applyBorder="1" applyAlignment="1" applyProtection="1">
      <alignment horizontal="right"/>
      <protection/>
    </xf>
    <xf numFmtId="0" fontId="10" fillId="0" borderId="20" xfId="0" applyFont="1" applyBorder="1" applyAlignment="1" applyProtection="1">
      <alignment horizontal="right"/>
      <protection/>
    </xf>
    <xf numFmtId="0" fontId="0" fillId="0" borderId="46" xfId="0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/>
      <protection/>
    </xf>
    <xf numFmtId="164" fontId="4" fillId="34" borderId="47" xfId="0" applyNumberFormat="1" applyFont="1" applyFill="1" applyBorder="1" applyAlignment="1" applyProtection="1">
      <alignment/>
      <protection/>
    </xf>
    <xf numFmtId="171" fontId="10" fillId="0" borderId="26" xfId="0" applyNumberFormat="1" applyFont="1" applyFill="1" applyBorder="1" applyAlignment="1" applyProtection="1">
      <alignment horizontal="right"/>
      <protection/>
    </xf>
    <xf numFmtId="0" fontId="10" fillId="0" borderId="27" xfId="0" applyFont="1" applyBorder="1" applyAlignment="1" applyProtection="1">
      <alignment horizontal="right"/>
      <protection/>
    </xf>
    <xf numFmtId="166" fontId="0" fillId="34" borderId="28" xfId="0" applyNumberFormat="1" applyFill="1" applyBorder="1" applyAlignment="1" applyProtection="1">
      <alignment/>
      <protection/>
    </xf>
    <xf numFmtId="164" fontId="4" fillId="34" borderId="48" xfId="0" applyNumberFormat="1" applyFont="1" applyFill="1" applyBorder="1" applyAlignment="1" applyProtection="1">
      <alignment/>
      <protection/>
    </xf>
    <xf numFmtId="0" fontId="10" fillId="0" borderId="49" xfId="0" applyFont="1" applyFill="1" applyBorder="1" applyAlignment="1" applyProtection="1">
      <alignment horizontal="right"/>
      <protection/>
    </xf>
    <xf numFmtId="0" fontId="10" fillId="0" borderId="50" xfId="0" applyFont="1" applyFill="1" applyBorder="1" applyAlignment="1" applyProtection="1">
      <alignment horizontal="right"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164" fontId="4" fillId="34" borderId="49" xfId="0" applyNumberFormat="1" applyFont="1" applyFill="1" applyBorder="1" applyAlignment="1" applyProtection="1">
      <alignment/>
      <protection/>
    </xf>
    <xf numFmtId="2" fontId="10" fillId="0" borderId="49" xfId="0" applyNumberFormat="1" applyFont="1" applyFill="1" applyBorder="1" applyAlignment="1" applyProtection="1">
      <alignment horizontal="right"/>
      <protection/>
    </xf>
    <xf numFmtId="0" fontId="10" fillId="0" borderId="51" xfId="0" applyFont="1" applyBorder="1" applyAlignment="1" applyProtection="1">
      <alignment horizontal="right"/>
      <protection/>
    </xf>
    <xf numFmtId="172" fontId="13" fillId="0" borderId="12" xfId="0" applyNumberFormat="1" applyFont="1" applyBorder="1" applyAlignment="1" applyProtection="1">
      <alignment/>
      <protection/>
    </xf>
    <xf numFmtId="2" fontId="0" fillId="0" borderId="52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/>
    </xf>
    <xf numFmtId="1" fontId="0" fillId="35" borderId="43" xfId="0" applyNumberFormat="1" applyFill="1" applyBorder="1" applyAlignment="1" applyProtection="1">
      <alignment/>
      <protection locked="0"/>
    </xf>
    <xf numFmtId="2" fontId="10" fillId="0" borderId="19" xfId="0" applyNumberFormat="1" applyFont="1" applyFill="1" applyBorder="1" applyAlignment="1" applyProtection="1">
      <alignment horizontal="right"/>
      <protection/>
    </xf>
    <xf numFmtId="165" fontId="10" fillId="0" borderId="26" xfId="0" applyNumberFormat="1" applyFont="1" applyFill="1" applyBorder="1" applyAlignment="1" applyProtection="1">
      <alignment horizontal="right"/>
      <protection/>
    </xf>
    <xf numFmtId="0" fontId="0" fillId="0" borderId="53" xfId="0" applyBorder="1" applyAlignment="1" applyProtection="1">
      <alignment horizontal="center"/>
      <protection/>
    </xf>
    <xf numFmtId="0" fontId="0" fillId="35" borderId="36" xfId="0" applyFill="1" applyBorder="1" applyAlignment="1" applyProtection="1">
      <alignment/>
      <protection/>
    </xf>
    <xf numFmtId="164" fontId="4" fillId="34" borderId="54" xfId="0" applyNumberFormat="1" applyFont="1" applyFill="1" applyBorder="1" applyAlignment="1" applyProtection="1">
      <alignment/>
      <protection/>
    </xf>
    <xf numFmtId="0" fontId="10" fillId="0" borderId="53" xfId="0" applyFont="1" applyFill="1" applyBorder="1" applyAlignment="1" applyProtection="1">
      <alignment horizontal="right"/>
      <protection/>
    </xf>
    <xf numFmtId="165" fontId="10" fillId="0" borderId="53" xfId="0" applyNumberFormat="1" applyFont="1" applyFill="1" applyBorder="1" applyAlignment="1" applyProtection="1">
      <alignment horizontal="right"/>
      <protection/>
    </xf>
    <xf numFmtId="0" fontId="10" fillId="0" borderId="34" xfId="0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171" fontId="10" fillId="0" borderId="19" xfId="0" applyNumberFormat="1" applyFont="1" applyFill="1" applyBorder="1" applyAlignment="1" applyProtection="1">
      <alignment horizontal="right"/>
      <protection/>
    </xf>
    <xf numFmtId="0" fontId="10" fillId="0" borderId="47" xfId="0" applyFont="1" applyFill="1" applyBorder="1" applyAlignment="1" applyProtection="1">
      <alignment horizontal="right"/>
      <protection/>
    </xf>
    <xf numFmtId="164" fontId="4" fillId="34" borderId="55" xfId="0" applyNumberFormat="1" applyFont="1" applyFill="1" applyBorder="1" applyAlignment="1" applyProtection="1">
      <alignment/>
      <protection/>
    </xf>
    <xf numFmtId="164" fontId="4" fillId="34" borderId="56" xfId="0" applyNumberFormat="1" applyFont="1" applyFill="1" applyBorder="1" applyAlignment="1" applyProtection="1">
      <alignment/>
      <protection/>
    </xf>
    <xf numFmtId="0" fontId="10" fillId="0" borderId="39" xfId="0" applyFont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horizontal="right"/>
      <protection/>
    </xf>
    <xf numFmtId="0" fontId="10" fillId="0" borderId="40" xfId="0" applyFont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13" xfId="0" applyNumberFormat="1" applyFill="1" applyBorder="1" applyAlignment="1" applyProtection="1">
      <alignment horizontal="center"/>
      <protection/>
    </xf>
    <xf numFmtId="164" fontId="10" fillId="0" borderId="45" xfId="0" applyNumberFormat="1" applyFont="1" applyFill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center"/>
      <protection/>
    </xf>
    <xf numFmtId="164" fontId="5" fillId="34" borderId="24" xfId="0" applyNumberFormat="1" applyFont="1" applyFill="1" applyBorder="1" applyAlignment="1" applyProtection="1">
      <alignment/>
      <protection/>
    </xf>
    <xf numFmtId="0" fontId="10" fillId="0" borderId="56" xfId="0" applyFont="1" applyFill="1" applyBorder="1" applyAlignment="1" applyProtection="1">
      <alignment horizontal="right"/>
      <protection/>
    </xf>
    <xf numFmtId="0" fontId="10" fillId="0" borderId="46" xfId="0" applyFont="1" applyFill="1" applyBorder="1" applyAlignment="1" applyProtection="1">
      <alignment horizontal="right"/>
      <protection/>
    </xf>
    <xf numFmtId="173" fontId="10" fillId="0" borderId="46" xfId="0" applyNumberFormat="1" applyFont="1" applyFill="1" applyBorder="1" applyAlignment="1" applyProtection="1">
      <alignment horizontal="right"/>
      <protection/>
    </xf>
    <xf numFmtId="171" fontId="10" fillId="0" borderId="46" xfId="0" applyNumberFormat="1" applyFont="1" applyFill="1" applyBorder="1" applyAlignment="1" applyProtection="1">
      <alignment horizontal="right"/>
      <protection/>
    </xf>
    <xf numFmtId="165" fontId="10" fillId="0" borderId="46" xfId="0" applyNumberFormat="1" applyFont="1" applyFill="1" applyBorder="1" applyAlignment="1" applyProtection="1">
      <alignment horizontal="right"/>
      <protection/>
    </xf>
    <xf numFmtId="0" fontId="10" fillId="0" borderId="23" xfId="0" applyFont="1" applyBorder="1" applyAlignment="1" applyProtection="1">
      <alignment horizontal="right"/>
      <protection/>
    </xf>
    <xf numFmtId="164" fontId="4" fillId="34" borderId="57" xfId="0" applyNumberFormat="1" applyFont="1" applyFill="1" applyBorder="1" applyAlignment="1" applyProtection="1">
      <alignment/>
      <protection/>
    </xf>
    <xf numFmtId="2" fontId="10" fillId="0" borderId="57" xfId="0" applyNumberFormat="1" applyFont="1" applyFill="1" applyBorder="1" applyAlignment="1" applyProtection="1">
      <alignment horizontal="right"/>
      <protection/>
    </xf>
    <xf numFmtId="173" fontId="10" fillId="0" borderId="38" xfId="0" applyNumberFormat="1" applyFont="1" applyFill="1" applyBorder="1" applyAlignment="1" applyProtection="1">
      <alignment horizontal="right"/>
      <protection/>
    </xf>
    <xf numFmtId="170" fontId="10" fillId="0" borderId="38" xfId="0" applyNumberFormat="1" applyFont="1" applyFill="1" applyBorder="1" applyAlignment="1" applyProtection="1">
      <alignment horizontal="right"/>
      <protection/>
    </xf>
    <xf numFmtId="165" fontId="10" fillId="0" borderId="38" xfId="0" applyNumberFormat="1" applyFont="1" applyFill="1" applyBorder="1" applyAlignment="1" applyProtection="1">
      <alignment horizontal="right"/>
      <protection/>
    </xf>
    <xf numFmtId="0" fontId="0" fillId="0" borderId="52" xfId="0" applyBorder="1" applyAlignment="1" applyProtection="1">
      <alignment/>
      <protection/>
    </xf>
    <xf numFmtId="0" fontId="6" fillId="0" borderId="58" xfId="0" applyFont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/>
      <protection locked="0"/>
    </xf>
    <xf numFmtId="164" fontId="3" fillId="34" borderId="59" xfId="0" applyNumberFormat="1" applyFont="1" applyFill="1" applyBorder="1" applyAlignment="1" applyProtection="1">
      <alignment/>
      <protection/>
    </xf>
    <xf numFmtId="167" fontId="10" fillId="0" borderId="19" xfId="0" applyNumberFormat="1" applyFont="1" applyFill="1" applyBorder="1" applyAlignment="1" applyProtection="1">
      <alignment horizontal="right"/>
      <protection/>
    </xf>
    <xf numFmtId="173" fontId="10" fillId="0" borderId="19" xfId="0" applyNumberFormat="1" applyFont="1" applyFill="1" applyBorder="1" applyAlignment="1" applyProtection="1">
      <alignment horizontal="right"/>
      <protection/>
    </xf>
    <xf numFmtId="165" fontId="10" fillId="0" borderId="19" xfId="0" applyNumberFormat="1" applyFont="1" applyFill="1" applyBorder="1" applyAlignment="1" applyProtection="1">
      <alignment horizontal="right"/>
      <protection/>
    </xf>
    <xf numFmtId="1" fontId="10" fillId="0" borderId="19" xfId="0" applyNumberFormat="1" applyFont="1" applyFill="1" applyBorder="1" applyAlignment="1" applyProtection="1">
      <alignment horizontal="right"/>
      <protection/>
    </xf>
    <xf numFmtId="0" fontId="6" fillId="0" borderId="33" xfId="0" applyFont="1" applyBorder="1" applyAlignment="1" applyProtection="1">
      <alignment horizontal="center"/>
      <protection/>
    </xf>
    <xf numFmtId="164" fontId="0" fillId="34" borderId="35" xfId="0" applyNumberFormat="1" applyFill="1" applyBorder="1" applyAlignment="1" applyProtection="1">
      <alignment/>
      <protection/>
    </xf>
    <xf numFmtId="164" fontId="3" fillId="34" borderId="34" xfId="0" applyNumberFormat="1" applyFont="1" applyFill="1" applyBorder="1" applyAlignment="1" applyProtection="1">
      <alignment/>
      <protection/>
    </xf>
    <xf numFmtId="2" fontId="10" fillId="0" borderId="37" xfId="0" applyNumberFormat="1" applyFont="1" applyFill="1" applyBorder="1" applyAlignment="1" applyProtection="1">
      <alignment horizontal="right"/>
      <protection/>
    </xf>
    <xf numFmtId="174" fontId="10" fillId="0" borderId="38" xfId="0" applyNumberFormat="1" applyFont="1" applyFill="1" applyBorder="1" applyAlignment="1" applyProtection="1">
      <alignment horizontal="right"/>
      <protection/>
    </xf>
    <xf numFmtId="1" fontId="10" fillId="0" borderId="38" xfId="0" applyNumberFormat="1" applyFont="1" applyFill="1" applyBorder="1" applyAlignment="1" applyProtection="1">
      <alignment horizontal="right"/>
      <protection/>
    </xf>
    <xf numFmtId="2" fontId="0" fillId="0" borderId="60" xfId="0" applyNumberFormat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5" fillId="33" borderId="61" xfId="0" applyFont="1" applyFill="1" applyBorder="1" applyAlignment="1" applyProtection="1">
      <alignment/>
      <protection locked="0"/>
    </xf>
    <xf numFmtId="164" fontId="5" fillId="34" borderId="37" xfId="0" applyNumberFormat="1" applyFont="1" applyFill="1" applyBorder="1" applyAlignment="1" applyProtection="1">
      <alignment/>
      <protection/>
    </xf>
    <xf numFmtId="164" fontId="3" fillId="34" borderId="61" xfId="0" applyNumberFormat="1" applyFont="1" applyFill="1" applyBorder="1" applyAlignment="1" applyProtection="1">
      <alignment/>
      <protection/>
    </xf>
    <xf numFmtId="164" fontId="6" fillId="34" borderId="37" xfId="0" applyNumberFormat="1" applyFont="1" applyFill="1" applyBorder="1" applyAlignment="1" applyProtection="1">
      <alignment/>
      <protection/>
    </xf>
    <xf numFmtId="166" fontId="10" fillId="0" borderId="57" xfId="0" applyNumberFormat="1" applyFont="1" applyFill="1" applyBorder="1" applyAlignment="1" applyProtection="1">
      <alignment/>
      <protection/>
    </xf>
    <xf numFmtId="167" fontId="10" fillId="0" borderId="38" xfId="0" applyNumberFormat="1" applyFont="1" applyFill="1" applyBorder="1" applyAlignment="1" applyProtection="1">
      <alignment/>
      <protection/>
    </xf>
    <xf numFmtId="175" fontId="10" fillId="0" borderId="38" xfId="0" applyNumberFormat="1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1" fontId="10" fillId="0" borderId="39" xfId="0" applyNumberFormat="1" applyFont="1" applyBorder="1" applyAlignment="1" applyProtection="1">
      <alignment/>
      <protection/>
    </xf>
    <xf numFmtId="2" fontId="0" fillId="0" borderId="62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69" fontId="13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64" fontId="10" fillId="0" borderId="18" xfId="0" applyNumberFormat="1" applyFont="1" applyFill="1" applyBorder="1" applyAlignment="1" applyProtection="1">
      <alignment horizontal="right"/>
      <protection/>
    </xf>
    <xf numFmtId="169" fontId="10" fillId="0" borderId="19" xfId="0" applyNumberFormat="1" applyFont="1" applyFill="1" applyBorder="1" applyAlignment="1" applyProtection="1">
      <alignment horizontal="right"/>
      <protection/>
    </xf>
    <xf numFmtId="164" fontId="3" fillId="34" borderId="23" xfId="0" applyNumberFormat="1" applyFont="1" applyFill="1" applyBorder="1" applyAlignment="1" applyProtection="1">
      <alignment/>
      <protection/>
    </xf>
    <xf numFmtId="0" fontId="5" fillId="0" borderId="33" xfId="0" applyFont="1" applyBorder="1" applyAlignment="1" applyProtection="1">
      <alignment horizontal="center"/>
      <protection/>
    </xf>
    <xf numFmtId="164" fontId="10" fillId="0" borderId="37" xfId="0" applyNumberFormat="1" applyFont="1" applyFill="1" applyBorder="1" applyAlignment="1" applyProtection="1">
      <alignment horizontal="right"/>
      <protection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35" borderId="59" xfId="0" applyFill="1" applyBorder="1" applyAlignment="1" applyProtection="1">
      <alignment/>
      <protection/>
    </xf>
    <xf numFmtId="0" fontId="41" fillId="0" borderId="64" xfId="0" applyFont="1" applyBorder="1" applyAlignment="1">
      <alignment/>
    </xf>
    <xf numFmtId="0" fontId="41" fillId="0" borderId="0" xfId="0" applyFont="1" applyAlignment="1">
      <alignment/>
    </xf>
    <xf numFmtId="0" fontId="0" fillId="0" borderId="53" xfId="0" applyBorder="1" applyAlignment="1" applyProtection="1">
      <alignment/>
      <protection/>
    </xf>
    <xf numFmtId="0" fontId="5" fillId="0" borderId="58" xfId="0" applyFont="1" applyBorder="1" applyAlignment="1" applyProtection="1">
      <alignment horizontal="center"/>
      <protection/>
    </xf>
    <xf numFmtId="1" fontId="0" fillId="35" borderId="17" xfId="0" applyNumberFormat="1" applyFill="1" applyBorder="1" applyAlignment="1" applyProtection="1">
      <alignment/>
      <protection/>
    </xf>
    <xf numFmtId="0" fontId="41" fillId="0" borderId="63" xfId="0" applyFont="1" applyBorder="1" applyAlignment="1">
      <alignment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66" xfId="0" applyFont="1" applyBorder="1" applyAlignment="1" applyProtection="1">
      <alignment horizontal="center" vertical="center" wrapText="1"/>
      <protection/>
    </xf>
    <xf numFmtId="0" fontId="4" fillId="35" borderId="27" xfId="0" applyFont="1" applyFill="1" applyBorder="1" applyAlignment="1" applyProtection="1">
      <alignment horizontal="center" vertical="center" wrapText="1"/>
      <protection/>
    </xf>
    <xf numFmtId="0" fontId="12" fillId="36" borderId="67" xfId="0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168" fontId="5" fillId="36" borderId="12" xfId="0" applyNumberFormat="1" applyFont="1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168" fontId="5" fillId="36" borderId="11" xfId="0" applyNumberFormat="1" applyFont="1" applyFill="1" applyBorder="1" applyAlignment="1" applyProtection="1">
      <alignment/>
      <protection/>
    </xf>
    <xf numFmtId="168" fontId="41" fillId="36" borderId="12" xfId="0" applyNumberFormat="1" applyFont="1" applyFill="1" applyBorder="1" applyAlignment="1" applyProtection="1">
      <alignment/>
      <protection/>
    </xf>
    <xf numFmtId="164" fontId="15" fillId="34" borderId="17" xfId="0" applyNumberFormat="1" applyFont="1" applyFill="1" applyBorder="1" applyAlignment="1" applyProtection="1">
      <alignment horizontal="center" wrapText="1"/>
      <protection/>
    </xf>
    <xf numFmtId="164" fontId="16" fillId="34" borderId="16" xfId="0" applyNumberFormat="1" applyFont="1" applyFill="1" applyBorder="1" applyAlignment="1" applyProtection="1">
      <alignment horizontal="center" wrapText="1"/>
      <protection/>
    </xf>
    <xf numFmtId="164" fontId="16" fillId="34" borderId="17" xfId="0" applyNumberFormat="1" applyFont="1" applyFill="1" applyBorder="1" applyAlignment="1" applyProtection="1">
      <alignment horizontal="center" wrapText="1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58" fillId="0" borderId="68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left"/>
      <protection/>
    </xf>
    <xf numFmtId="0" fontId="41" fillId="0" borderId="67" xfId="0" applyFont="1" applyBorder="1" applyAlignment="1">
      <alignment/>
    </xf>
    <xf numFmtId="0" fontId="6" fillId="0" borderId="44" xfId="0" applyFont="1" applyBorder="1" applyAlignment="1" applyProtection="1">
      <alignment horizontal="center"/>
      <protection/>
    </xf>
    <xf numFmtId="166" fontId="10" fillId="0" borderId="68" xfId="0" applyNumberFormat="1" applyFont="1" applyFill="1" applyBorder="1" applyAlignment="1" applyProtection="1">
      <alignment/>
      <protection/>
    </xf>
    <xf numFmtId="167" fontId="10" fillId="0" borderId="44" xfId="0" applyNumberFormat="1" applyFont="1" applyFill="1" applyBorder="1" applyAlignment="1" applyProtection="1">
      <alignment/>
      <protection/>
    </xf>
    <xf numFmtId="175" fontId="10" fillId="0" borderId="44" xfId="0" applyNumberFormat="1" applyFont="1" applyFill="1" applyBorder="1" applyAlignment="1" applyProtection="1">
      <alignment/>
      <protection/>
    </xf>
    <xf numFmtId="0" fontId="10" fillId="0" borderId="44" xfId="0" applyFont="1" applyFill="1" applyBorder="1" applyAlignment="1" applyProtection="1">
      <alignment/>
      <protection/>
    </xf>
    <xf numFmtId="1" fontId="10" fillId="0" borderId="43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5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7" borderId="69" xfId="0" applyNumberFormat="1" applyFill="1" applyBorder="1" applyAlignment="1">
      <alignment horizontal="center"/>
    </xf>
    <xf numFmtId="2" fontId="0" fillId="37" borderId="70" xfId="0" applyNumberFormat="1" applyFill="1" applyBorder="1" applyAlignment="1">
      <alignment horizontal="center"/>
    </xf>
    <xf numFmtId="2" fontId="0" fillId="37" borderId="71" xfId="0" applyNumberFormat="1" applyFill="1" applyBorder="1" applyAlignment="1">
      <alignment horizontal="center"/>
    </xf>
    <xf numFmtId="164" fontId="3" fillId="34" borderId="59" xfId="0" applyNumberFormat="1" applyFont="1" applyFill="1" applyBorder="1" applyAlignment="1" applyProtection="1">
      <alignment horizontal="center"/>
      <protection/>
    </xf>
    <xf numFmtId="164" fontId="3" fillId="34" borderId="40" xfId="0" applyNumberFormat="1" applyFont="1" applyFill="1" applyBorder="1" applyAlignment="1" applyProtection="1">
      <alignment horizontal="center"/>
      <protection/>
    </xf>
    <xf numFmtId="164" fontId="5" fillId="34" borderId="16" xfId="0" applyNumberFormat="1" applyFont="1" applyFill="1" applyBorder="1" applyAlignment="1" applyProtection="1">
      <alignment horizontal="center"/>
      <protection/>
    </xf>
    <xf numFmtId="164" fontId="5" fillId="34" borderId="41" xfId="0" applyNumberFormat="1" applyFont="1" applyFill="1" applyBorder="1" applyAlignment="1" applyProtection="1">
      <alignment horizontal="center"/>
      <protection/>
    </xf>
    <xf numFmtId="0" fontId="0" fillId="38" borderId="69" xfId="0" applyFill="1" applyBorder="1" applyAlignment="1" applyProtection="1">
      <alignment/>
      <protection locked="0"/>
    </xf>
    <xf numFmtId="0" fontId="0" fillId="38" borderId="70" xfId="0" applyFill="1" applyBorder="1" applyAlignment="1" applyProtection="1">
      <alignment/>
      <protection locked="0"/>
    </xf>
    <xf numFmtId="0" fontId="0" fillId="38" borderId="71" xfId="0" applyFill="1" applyBorder="1" applyAlignment="1" applyProtection="1">
      <alignment/>
      <protection locked="0"/>
    </xf>
    <xf numFmtId="0" fontId="59" fillId="0" borderId="0" xfId="0" applyFont="1" applyAlignment="1">
      <alignment/>
    </xf>
    <xf numFmtId="168" fontId="5" fillId="33" borderId="17" xfId="0" applyNumberFormat="1" applyFont="1" applyFill="1" applyBorder="1" applyAlignment="1" applyProtection="1">
      <alignment/>
      <protection/>
    </xf>
    <xf numFmtId="168" fontId="5" fillId="33" borderId="40" xfId="0" applyNumberFormat="1" applyFont="1" applyFill="1" applyBorder="1" applyAlignment="1" applyProtection="1">
      <alignment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1" fillId="38" borderId="0" xfId="0" applyFont="1" applyFill="1" applyAlignment="1">
      <alignment/>
    </xf>
    <xf numFmtId="2" fontId="41" fillId="0" borderId="0" xfId="0" applyNumberFormat="1" applyFont="1" applyAlignment="1">
      <alignment horizontal="center"/>
    </xf>
    <xf numFmtId="2" fontId="41" fillId="37" borderId="0" xfId="0" applyNumberFormat="1" applyFont="1" applyFill="1" applyBorder="1" applyAlignment="1">
      <alignment horizontal="center"/>
    </xf>
    <xf numFmtId="168" fontId="41" fillId="0" borderId="0" xfId="0" applyNumberFormat="1" applyFont="1" applyAlignment="1">
      <alignment/>
    </xf>
    <xf numFmtId="168" fontId="0" fillId="0" borderId="50" xfId="0" applyNumberFormat="1" applyBorder="1" applyAlignment="1">
      <alignment/>
    </xf>
    <xf numFmtId="168" fontId="0" fillId="0" borderId="46" xfId="0" applyNumberFormat="1" applyBorder="1" applyAlignment="1">
      <alignment/>
    </xf>
    <xf numFmtId="168" fontId="0" fillId="0" borderId="72" xfId="0" applyNumberFormat="1" applyBorder="1" applyAlignment="1">
      <alignment/>
    </xf>
    <xf numFmtId="173" fontId="10" fillId="0" borderId="26" xfId="0" applyNumberFormat="1" applyFont="1" applyFill="1" applyBorder="1" applyAlignment="1" applyProtection="1">
      <alignment horizontal="right"/>
      <protection/>
    </xf>
    <xf numFmtId="166" fontId="10" fillId="0" borderId="26" xfId="0" applyNumberFormat="1" applyFont="1" applyFill="1" applyBorder="1" applyAlignment="1" applyProtection="1">
      <alignment horizontal="right"/>
      <protection/>
    </xf>
    <xf numFmtId="166" fontId="10" fillId="0" borderId="24" xfId="0" applyNumberFormat="1" applyFont="1" applyFill="1" applyBorder="1" applyAlignment="1" applyProtection="1">
      <alignment horizontal="right"/>
      <protection/>
    </xf>
    <xf numFmtId="166" fontId="10" fillId="0" borderId="18" xfId="0" applyNumberFormat="1" applyFont="1" applyFill="1" applyBorder="1" applyAlignment="1" applyProtection="1">
      <alignment horizontal="right"/>
      <protection/>
    </xf>
    <xf numFmtId="1" fontId="0" fillId="0" borderId="21" xfId="0" applyNumberFormat="1" applyBorder="1" applyAlignment="1" applyProtection="1">
      <alignment horizontal="center"/>
      <protection/>
    </xf>
    <xf numFmtId="167" fontId="10" fillId="0" borderId="46" xfId="0" applyNumberFormat="1" applyFont="1" applyFill="1" applyBorder="1" applyAlignment="1" applyProtection="1">
      <alignment horizontal="right"/>
      <protection/>
    </xf>
    <xf numFmtId="165" fontId="10" fillId="0" borderId="44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90" zoomScaleNormal="9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55" sqref="I55"/>
    </sheetView>
  </sheetViews>
  <sheetFormatPr defaultColWidth="9.140625" defaultRowHeight="15"/>
  <cols>
    <col min="1" max="1" width="10.7109375" style="0" customWidth="1"/>
    <col min="7" max="7" width="10.7109375" style="0" customWidth="1"/>
    <col min="8" max="8" width="11.140625" style="0" customWidth="1"/>
    <col min="9" max="9" width="10.8515625" style="0" customWidth="1"/>
    <col min="10" max="10" width="11.140625" style="0" customWidth="1"/>
    <col min="11" max="12" width="11.57421875" style="0" customWidth="1"/>
    <col min="13" max="13" width="7.00390625" style="0" customWidth="1"/>
  </cols>
  <sheetData>
    <row r="1" spans="1:15" ht="15.75">
      <c r="A1" s="1" t="s">
        <v>98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>
      <c r="A2" s="5"/>
      <c r="B2" s="2"/>
      <c r="C2" s="2"/>
      <c r="D2" s="2"/>
      <c r="E2" s="3"/>
      <c r="F2" s="4"/>
      <c r="G2" s="2" t="s">
        <v>0</v>
      </c>
      <c r="H2" s="2"/>
      <c r="I2" s="2"/>
      <c r="J2" s="2"/>
      <c r="K2" s="2"/>
      <c r="L2" s="2"/>
      <c r="M2" s="2"/>
      <c r="N2" s="2"/>
      <c r="O2" s="2"/>
    </row>
    <row r="3" spans="1:15" ht="26.25" thickBot="1">
      <c r="A3" s="182" t="s">
        <v>66</v>
      </c>
      <c r="B3" s="183" t="s">
        <v>73</v>
      </c>
      <c r="C3" s="184" t="s">
        <v>1</v>
      </c>
      <c r="D3" s="192" t="s">
        <v>2</v>
      </c>
      <c r="E3" s="193" t="s">
        <v>3</v>
      </c>
      <c r="F3" s="191" t="s">
        <v>4</v>
      </c>
      <c r="G3" s="194" t="s">
        <v>5</v>
      </c>
      <c r="H3" s="195" t="s">
        <v>6</v>
      </c>
      <c r="I3" s="195" t="s">
        <v>7</v>
      </c>
      <c r="J3" s="195" t="s">
        <v>8</v>
      </c>
      <c r="K3" s="195" t="s">
        <v>9</v>
      </c>
      <c r="L3" s="195" t="s">
        <v>10</v>
      </c>
      <c r="M3" s="195" t="s">
        <v>11</v>
      </c>
      <c r="N3" s="6"/>
      <c r="O3" s="7" t="s">
        <v>12</v>
      </c>
    </row>
    <row r="4" spans="1:15" ht="16.5" thickBot="1">
      <c r="A4" s="8" t="s">
        <v>13</v>
      </c>
      <c r="B4" s="9"/>
      <c r="C4" s="10"/>
      <c r="D4" s="11"/>
      <c r="E4" s="11"/>
      <c r="F4" s="12"/>
      <c r="G4" s="13"/>
      <c r="H4" s="13"/>
      <c r="I4" s="13"/>
      <c r="J4" s="13"/>
      <c r="K4" s="13"/>
      <c r="L4" s="13"/>
      <c r="M4" s="13"/>
      <c r="N4" s="6"/>
      <c r="O4" s="14"/>
    </row>
    <row r="5" spans="1:15" ht="15.75" thickBot="1">
      <c r="A5" s="172" t="s">
        <v>14</v>
      </c>
      <c r="B5" s="15" t="s">
        <v>15</v>
      </c>
      <c r="C5" s="16">
        <v>15</v>
      </c>
      <c r="D5" s="17">
        <f>ROUND(IF(C5&lt;13,G5,IF(C5&lt;O6,G6+H6*C5+I6*C5^2+J6*C5^3+K6*C5^4+L6*C5^5+M6*C5^6,G7+H7*C5+I7*C5^2+J7*C5^3+K7*C5^4+L7*C5^5+M7*C5^6)),2)</f>
        <v>10</v>
      </c>
      <c r="E5" s="18">
        <f>ROUND(C5/D5,2)</f>
        <v>1.5</v>
      </c>
      <c r="F5" s="19" t="s">
        <v>16</v>
      </c>
      <c r="G5" s="20">
        <v>9.56</v>
      </c>
      <c r="H5" s="20"/>
      <c r="I5" s="20"/>
      <c r="J5" s="21"/>
      <c r="K5" s="21"/>
      <c r="L5" s="21"/>
      <c r="M5" s="22"/>
      <c r="N5" s="2"/>
      <c r="O5" s="23"/>
    </row>
    <row r="6" spans="1:15" ht="15">
      <c r="A6" s="176" t="s">
        <v>17</v>
      </c>
      <c r="B6" s="24"/>
      <c r="C6" s="25"/>
      <c r="D6" s="26"/>
      <c r="E6" s="27"/>
      <c r="F6" s="28" t="s">
        <v>101</v>
      </c>
      <c r="G6" s="29">
        <v>17.099</v>
      </c>
      <c r="H6" s="29">
        <v>-2.053031</v>
      </c>
      <c r="I6" s="29">
        <v>0.1832573</v>
      </c>
      <c r="J6" s="30">
        <v>-0.00670989</v>
      </c>
      <c r="K6" s="232">
        <v>0.0001113387</v>
      </c>
      <c r="L6" s="35">
        <v>-6.940768E-07</v>
      </c>
      <c r="M6" s="31">
        <v>0</v>
      </c>
      <c r="N6" s="2"/>
      <c r="O6" s="23">
        <v>29</v>
      </c>
    </row>
    <row r="7" spans="1:15" ht="15.75" thickBot="1">
      <c r="A7" s="174"/>
      <c r="B7" s="44"/>
      <c r="C7" s="45"/>
      <c r="D7" s="32"/>
      <c r="E7" s="33"/>
      <c r="F7" s="34" t="s">
        <v>100</v>
      </c>
      <c r="G7" s="29">
        <v>11.715</v>
      </c>
      <c r="H7" s="29">
        <v>0.0412332</v>
      </c>
      <c r="I7" s="29">
        <v>-0.000483673</v>
      </c>
      <c r="J7" s="35">
        <v>2.748811E-06</v>
      </c>
      <c r="K7" s="35">
        <v>-5.773263E-09</v>
      </c>
      <c r="L7" s="30">
        <v>0</v>
      </c>
      <c r="M7" s="31">
        <v>0</v>
      </c>
      <c r="N7" s="2"/>
      <c r="O7" s="23"/>
    </row>
    <row r="8" spans="1:15" ht="15">
      <c r="A8" s="172" t="s">
        <v>18</v>
      </c>
      <c r="B8" s="68" t="s">
        <v>19</v>
      </c>
      <c r="C8" s="175">
        <f>C5</f>
        <v>15</v>
      </c>
      <c r="D8" s="36">
        <f>ROUND(IF(C8&lt;13,G8,IF(C8&lt;O9,G9+H9*C8+I9*C8^2+J9*C8^3+K9*C8^4+L9*C8^5+M9*C8^6,G9+H9*O9+I9*O9^2+J9*O9^3+K9*O9^4+L9*O9^5+M9*O9^6)),2)</f>
        <v>32.7</v>
      </c>
      <c r="E8" s="37">
        <f>ROUND(C8/D8,2)</f>
        <v>0.46</v>
      </c>
      <c r="F8" s="38" t="s">
        <v>16</v>
      </c>
      <c r="G8" s="29">
        <v>32.51</v>
      </c>
      <c r="H8" s="29"/>
      <c r="I8" s="29"/>
      <c r="J8" s="39"/>
      <c r="K8" s="39"/>
      <c r="L8" s="39"/>
      <c r="M8" s="40"/>
      <c r="N8" s="2"/>
      <c r="O8" s="23"/>
    </row>
    <row r="9" spans="1:15" ht="15">
      <c r="A9" s="176" t="s">
        <v>20</v>
      </c>
      <c r="B9" s="24"/>
      <c r="C9" s="25"/>
      <c r="D9" s="41"/>
      <c r="E9" s="27"/>
      <c r="F9" s="42" t="s">
        <v>99</v>
      </c>
      <c r="G9" s="29">
        <v>31.154999999999998</v>
      </c>
      <c r="H9" s="43">
        <v>0.11085149999999998</v>
      </c>
      <c r="I9" s="43">
        <v>-0.0005024999999999999</v>
      </c>
      <c r="J9" s="39"/>
      <c r="K9" s="39"/>
      <c r="L9" s="39"/>
      <c r="M9" s="40"/>
      <c r="N9" s="2"/>
      <c r="O9" s="23">
        <v>107</v>
      </c>
    </row>
    <row r="10" spans="1:15" ht="15.75" thickBot="1">
      <c r="A10" s="174"/>
      <c r="B10" s="44"/>
      <c r="C10" s="45"/>
      <c r="D10" s="46"/>
      <c r="E10" s="47"/>
      <c r="F10" s="48" t="s">
        <v>21</v>
      </c>
      <c r="G10" s="49">
        <v>37.26</v>
      </c>
      <c r="H10" s="49"/>
      <c r="I10" s="49"/>
      <c r="J10" s="50"/>
      <c r="K10" s="50"/>
      <c r="L10" s="50"/>
      <c r="M10" s="51"/>
      <c r="N10" s="2"/>
      <c r="O10" s="23"/>
    </row>
    <row r="11" spans="1:13" ht="18.75" customHeight="1" thickBot="1">
      <c r="A11" s="185" t="s">
        <v>22</v>
      </c>
      <c r="B11" s="186"/>
      <c r="C11" s="187">
        <f>1/D5*12*G11</f>
        <v>27135.600000000006</v>
      </c>
      <c r="D11" s="187">
        <f>1/D8*12*I11</f>
        <v>4233.761467889908</v>
      </c>
      <c r="E11" s="52" t="s">
        <v>23</v>
      </c>
      <c r="F11" s="53" t="s">
        <v>24</v>
      </c>
      <c r="G11" s="54">
        <v>22613</v>
      </c>
      <c r="H11" s="53" t="s">
        <v>25</v>
      </c>
      <c r="I11" s="55">
        <v>11537</v>
      </c>
      <c r="J11" s="56"/>
      <c r="K11" s="57"/>
      <c r="L11" s="57"/>
      <c r="M11" s="58"/>
    </row>
    <row r="12" ht="15.75" thickBot="1"/>
    <row r="13" spans="1:15" ht="15.75" thickBot="1">
      <c r="A13" s="59" t="s">
        <v>26</v>
      </c>
      <c r="B13" s="60" t="s">
        <v>27</v>
      </c>
      <c r="C13" s="61">
        <f>C5</f>
        <v>15</v>
      </c>
      <c r="D13" s="62">
        <f>IF(C13&gt;13,G13+H13*C13+I13*C13^2+J13*C13^3,G13+H13*13+I13*13^2+J13*13^3)</f>
        <v>22825.4801025</v>
      </c>
      <c r="E13" s="63"/>
      <c r="F13" s="64"/>
      <c r="G13" s="196">
        <v>23013</v>
      </c>
      <c r="H13" s="65">
        <v>-13.50769</v>
      </c>
      <c r="I13" s="65">
        <v>0.0670909</v>
      </c>
      <c r="J13" s="66"/>
      <c r="K13" s="66"/>
      <c r="L13" s="66"/>
      <c r="M13" s="67"/>
      <c r="N13" s="2"/>
      <c r="O13" s="23">
        <v>100.67</v>
      </c>
    </row>
    <row r="15" ht="16.5" thickBot="1">
      <c r="A15" s="8" t="s">
        <v>28</v>
      </c>
    </row>
    <row r="16" spans="1:15" ht="15.75" thickBot="1">
      <c r="A16" s="172" t="s">
        <v>29</v>
      </c>
      <c r="B16" s="68" t="s">
        <v>15</v>
      </c>
      <c r="C16" s="69">
        <v>50</v>
      </c>
      <c r="D16" s="17">
        <f>ROUND(IF(C16&lt;O16,G16,IF(C16&lt;O17,G17+H17*C16+I17*C16^2+J17*C16^3+K17*C16^4+L17*C16^5+M17*C16^6,IF(C16&lt;O18,G18+H18*C16+I18*C16^2+J18*C16^3+K18*C16^4+L18*C16^5+M18*C16^6,G19))),2)</f>
        <v>12.71</v>
      </c>
      <c r="E16" s="18">
        <f>ROUND(C16/D16,2)</f>
        <v>3.93</v>
      </c>
      <c r="F16" s="70" t="s">
        <v>30</v>
      </c>
      <c r="G16" s="71">
        <v>7.54</v>
      </c>
      <c r="H16" s="20"/>
      <c r="I16" s="20"/>
      <c r="J16" s="20"/>
      <c r="K16" s="20"/>
      <c r="L16" s="20"/>
      <c r="M16" s="72"/>
      <c r="N16" s="2"/>
      <c r="O16" s="23">
        <v>10</v>
      </c>
    </row>
    <row r="17" spans="1:15" ht="15">
      <c r="A17" s="176" t="s">
        <v>17</v>
      </c>
      <c r="B17" s="73"/>
      <c r="C17" s="74"/>
      <c r="D17" s="41"/>
      <c r="E17" s="27"/>
      <c r="F17" s="75" t="s">
        <v>31</v>
      </c>
      <c r="G17" s="233">
        <v>1.41</v>
      </c>
      <c r="H17" s="29">
        <v>0.8339028</v>
      </c>
      <c r="I17" s="29">
        <v>-0.02569158</v>
      </c>
      <c r="J17" s="93">
        <v>0.0003614991</v>
      </c>
      <c r="K17" s="76"/>
      <c r="L17" s="29"/>
      <c r="M17" s="77"/>
      <c r="N17" s="2"/>
      <c r="O17" s="23">
        <v>19</v>
      </c>
    </row>
    <row r="18" spans="1:15" ht="15">
      <c r="A18" s="173"/>
      <c r="B18" s="73"/>
      <c r="C18" s="74"/>
      <c r="D18" s="41"/>
      <c r="E18" s="27"/>
      <c r="F18" s="75" t="s">
        <v>32</v>
      </c>
      <c r="G18" s="233">
        <v>8.4058</v>
      </c>
      <c r="H18" s="43">
        <v>0.1113454</v>
      </c>
      <c r="I18" s="93">
        <v>-0.0005698913</v>
      </c>
      <c r="J18" s="93">
        <v>1.283705E-06</v>
      </c>
      <c r="K18" s="29"/>
      <c r="L18" s="29"/>
      <c r="M18" s="77"/>
      <c r="N18" s="2"/>
      <c r="O18" s="23">
        <v>201</v>
      </c>
    </row>
    <row r="19" spans="1:15" ht="15.75" thickBot="1">
      <c r="A19" s="174"/>
      <c r="B19" s="178"/>
      <c r="C19" s="95"/>
      <c r="D19" s="78"/>
      <c r="E19" s="33"/>
      <c r="F19" s="79" t="s">
        <v>33</v>
      </c>
      <c r="G19" s="80">
        <v>18.15</v>
      </c>
      <c r="H19" s="81"/>
      <c r="I19" s="81"/>
      <c r="J19" s="82"/>
      <c r="K19" s="82"/>
      <c r="L19" s="82"/>
      <c r="M19" s="83"/>
      <c r="N19" s="2"/>
      <c r="O19" s="23"/>
    </row>
    <row r="20" spans="1:15" ht="15">
      <c r="A20" s="172" t="s">
        <v>29</v>
      </c>
      <c r="B20" s="179" t="s">
        <v>19</v>
      </c>
      <c r="C20" s="180">
        <f>C16</f>
        <v>50</v>
      </c>
      <c r="D20" s="36">
        <f>ROUND(IF(C20&lt;O20,G20,IF(C20&lt;O21,G21+H21*C20+I21*C20^2+J21*C20^3+K21*C20^4+L21*C20^5+M21*C20^6,G22)),2)</f>
        <v>42.01</v>
      </c>
      <c r="E20" s="37">
        <f>ROUND(C20/D20,2)</f>
        <v>1.19</v>
      </c>
      <c r="F20" s="79" t="s">
        <v>30</v>
      </c>
      <c r="G20" s="80">
        <v>23.03</v>
      </c>
      <c r="H20" s="82"/>
      <c r="I20" s="82"/>
      <c r="J20" s="82"/>
      <c r="K20" s="82"/>
      <c r="L20" s="82"/>
      <c r="M20" s="83"/>
      <c r="N20" s="2"/>
      <c r="O20" s="23">
        <v>10</v>
      </c>
    </row>
    <row r="21" spans="1:15" ht="15">
      <c r="A21" s="176" t="s">
        <v>20</v>
      </c>
      <c r="B21" s="84"/>
      <c r="C21" s="74"/>
      <c r="D21" s="41"/>
      <c r="E21" s="27"/>
      <c r="F21" s="75" t="s">
        <v>34</v>
      </c>
      <c r="G21" s="80">
        <v>16.447</v>
      </c>
      <c r="H21" s="80">
        <v>0.6955854</v>
      </c>
      <c r="I21" s="80">
        <v>-0.003687707</v>
      </c>
      <c r="J21" s="82"/>
      <c r="K21" s="82"/>
      <c r="L21" s="82"/>
      <c r="M21" s="83"/>
      <c r="N21" s="2"/>
      <c r="O21" s="23">
        <v>94.31</v>
      </c>
    </row>
    <row r="22" spans="1:15" ht="15.75" thickBot="1">
      <c r="A22" s="174"/>
      <c r="B22" s="94"/>
      <c r="C22" s="95"/>
      <c r="D22" s="41"/>
      <c r="E22" s="27"/>
      <c r="F22" s="85" t="s">
        <v>35</v>
      </c>
      <c r="G22" s="86">
        <v>49.25</v>
      </c>
      <c r="H22" s="81"/>
      <c r="I22" s="81"/>
      <c r="J22" s="81"/>
      <c r="K22" s="81"/>
      <c r="L22" s="81"/>
      <c r="M22" s="87"/>
      <c r="N22" s="2"/>
      <c r="O22" s="23"/>
    </row>
    <row r="23" spans="1:15" ht="21.75" customHeight="1" thickBot="1">
      <c r="A23" s="185" t="s">
        <v>22</v>
      </c>
      <c r="B23" s="186"/>
      <c r="C23" s="187">
        <f>12/D16*G23</f>
        <v>24964.90952006294</v>
      </c>
      <c r="D23" s="187">
        <f>12/D20*I23</f>
        <v>3734.8250416567485</v>
      </c>
      <c r="E23" s="52" t="s">
        <v>23</v>
      </c>
      <c r="F23" s="53" t="s">
        <v>24</v>
      </c>
      <c r="G23" s="54">
        <v>26442</v>
      </c>
      <c r="H23" s="53" t="s">
        <v>25</v>
      </c>
      <c r="I23" s="55">
        <v>13075</v>
      </c>
      <c r="J23" s="88"/>
      <c r="K23" s="57"/>
      <c r="L23" s="57"/>
      <c r="M23" s="58"/>
      <c r="N23" s="2"/>
      <c r="O23" s="89"/>
    </row>
    <row r="24" spans="1:15" ht="15.75" thickBot="1">
      <c r="A24" s="2"/>
      <c r="B24" s="2"/>
      <c r="C24" s="2"/>
      <c r="D24" s="2"/>
      <c r="E24" s="3"/>
      <c r="F24" s="4"/>
      <c r="G24" s="2"/>
      <c r="H24" s="2"/>
      <c r="I24" s="2"/>
      <c r="J24" s="2"/>
      <c r="K24" s="2"/>
      <c r="L24" s="2"/>
      <c r="M24" s="2"/>
      <c r="N24" s="2"/>
      <c r="O24" s="90"/>
    </row>
    <row r="25" spans="1:15" ht="15.75" thickBot="1">
      <c r="A25" s="59" t="s">
        <v>36</v>
      </c>
      <c r="B25" s="60" t="s">
        <v>27</v>
      </c>
      <c r="C25" s="91">
        <f>C16</f>
        <v>50</v>
      </c>
      <c r="D25" s="62">
        <f>G25+H25*C25+I25*C25^2+J25*C25^3+K25*C25^4+L25*C25^5</f>
        <v>26650.652</v>
      </c>
      <c r="E25" s="63"/>
      <c r="F25" s="64"/>
      <c r="G25" s="196">
        <v>28783</v>
      </c>
      <c r="H25" s="65">
        <v>-54.30895</v>
      </c>
      <c r="I25" s="65">
        <v>0.2332398</v>
      </c>
      <c r="J25" s="66"/>
      <c r="K25" s="66"/>
      <c r="L25" s="66"/>
      <c r="M25" s="67"/>
      <c r="N25" s="2"/>
      <c r="O25" s="23">
        <v>100.67</v>
      </c>
    </row>
    <row r="26" ht="29.25" customHeight="1" thickBot="1">
      <c r="A26" s="8" t="s">
        <v>37</v>
      </c>
    </row>
    <row r="27" spans="1:15" ht="15.75" thickBot="1">
      <c r="A27" s="172" t="s">
        <v>38</v>
      </c>
      <c r="B27" s="68" t="s">
        <v>15</v>
      </c>
      <c r="C27" s="16">
        <v>250</v>
      </c>
      <c r="D27" s="17">
        <f>ROUND(IF(C27&lt;O27,G27,IF(C27&lt;O28,G28+H28*C27+I28*C27^2+J28*C27^3+K28*C27^4+L28*C27^5+M28*C27^6,IF(C27&lt;O29,G29+H29*C27+I29*C27^2+J29*C27^3+K29*C27^4+L29*C27^5+M29*C27^6,G30))),2)</f>
        <v>19.29</v>
      </c>
      <c r="E27" s="18">
        <f>ROUND(C27/D27,2)</f>
        <v>12.96</v>
      </c>
      <c r="F27" s="70" t="s">
        <v>39</v>
      </c>
      <c r="G27" s="92">
        <v>15.42</v>
      </c>
      <c r="H27" s="92"/>
      <c r="I27" s="92"/>
      <c r="J27" s="92"/>
      <c r="K27" s="92"/>
      <c r="L27" s="92"/>
      <c r="M27" s="72"/>
      <c r="N27" s="2"/>
      <c r="O27" s="23">
        <v>85</v>
      </c>
    </row>
    <row r="28" spans="1:15" ht="15">
      <c r="A28" s="176" t="s">
        <v>40</v>
      </c>
      <c r="B28" s="73"/>
      <c r="C28" s="74"/>
      <c r="D28" s="41"/>
      <c r="E28" s="27"/>
      <c r="F28" s="34" t="s">
        <v>41</v>
      </c>
      <c r="G28" s="233">
        <v>10.110299999999999</v>
      </c>
      <c r="H28" s="29">
        <v>0.04263938</v>
      </c>
      <c r="I28" s="93">
        <v>0.0006223452</v>
      </c>
      <c r="J28" s="93">
        <v>-6.003169E-06</v>
      </c>
      <c r="K28" s="93">
        <v>1.84695E-08</v>
      </c>
      <c r="L28" s="93">
        <v>-1.922312E-11</v>
      </c>
      <c r="M28" s="77"/>
      <c r="N28" s="2"/>
      <c r="O28" s="23">
        <v>200</v>
      </c>
    </row>
    <row r="29" spans="1:15" ht="15">
      <c r="A29" s="173"/>
      <c r="B29" s="73"/>
      <c r="C29" s="74"/>
      <c r="D29" s="41"/>
      <c r="E29" s="27"/>
      <c r="F29" s="34" t="s">
        <v>102</v>
      </c>
      <c r="G29" s="233">
        <v>20.394</v>
      </c>
      <c r="H29" s="29">
        <v>-0.07529091</v>
      </c>
      <c r="I29" s="93">
        <v>0.0007802618</v>
      </c>
      <c r="J29" s="93">
        <v>-3.325777E-06</v>
      </c>
      <c r="K29" s="93">
        <v>6.604081E-09</v>
      </c>
      <c r="L29" s="93">
        <v>-5.001565E-12</v>
      </c>
      <c r="M29" s="77"/>
      <c r="N29" s="2"/>
      <c r="O29" s="23">
        <v>401</v>
      </c>
    </row>
    <row r="30" spans="1:15" ht="15.75" thickBot="1">
      <c r="A30" s="174"/>
      <c r="B30" s="94"/>
      <c r="C30" s="95"/>
      <c r="D30" s="46"/>
      <c r="E30" s="47"/>
      <c r="F30" s="96" t="s">
        <v>42</v>
      </c>
      <c r="G30" s="97">
        <v>20.12</v>
      </c>
      <c r="H30" s="97"/>
      <c r="I30" s="98"/>
      <c r="J30" s="98"/>
      <c r="K30" s="98"/>
      <c r="L30" s="98"/>
      <c r="M30" s="99"/>
      <c r="N30" s="2"/>
      <c r="O30" s="23"/>
    </row>
    <row r="31" spans="1:15" ht="15.75" thickBot="1">
      <c r="A31" s="185" t="s">
        <v>67</v>
      </c>
      <c r="B31" s="186"/>
      <c r="C31" s="187">
        <f>12/D27*G31</f>
        <v>16449.14463452566</v>
      </c>
      <c r="D31" s="52" t="s">
        <v>23</v>
      </c>
      <c r="E31" s="57"/>
      <c r="F31" s="53" t="s">
        <v>24</v>
      </c>
      <c r="G31" s="54">
        <v>26442</v>
      </c>
      <c r="H31" s="57"/>
      <c r="I31" s="57"/>
      <c r="J31" s="57"/>
      <c r="K31" s="57"/>
      <c r="L31" s="57"/>
      <c r="M31" s="100"/>
      <c r="N31" s="2"/>
      <c r="O31" s="23"/>
    </row>
    <row r="32" spans="1:15" ht="27.75" customHeight="1" thickBot="1">
      <c r="A32" s="8" t="s">
        <v>43</v>
      </c>
      <c r="B32" s="101"/>
      <c r="C32" s="102"/>
      <c r="D32" s="103"/>
      <c r="E32" s="104"/>
      <c r="F32" s="105"/>
      <c r="G32" s="106"/>
      <c r="H32" s="106"/>
      <c r="I32" s="106"/>
      <c r="J32" s="106"/>
      <c r="K32" s="106"/>
      <c r="L32" s="106"/>
      <c r="M32" s="106"/>
      <c r="N32" s="2"/>
      <c r="O32" s="23"/>
    </row>
    <row r="33" spans="1:15" ht="15.75" thickBot="1">
      <c r="A33" s="172" t="s">
        <v>38</v>
      </c>
      <c r="B33" s="68" t="s">
        <v>15</v>
      </c>
      <c r="C33" s="16">
        <v>150</v>
      </c>
      <c r="D33" s="17">
        <f>ROUND(IF(C33&lt;O33,G33+H33*C33+I33*C33^2+J33*C33^3+K33*C33^4+L33*C33^5+M33*C33^6,IF(C33&lt;O34,G34+H34*C33+I34*C33^2+J34*C33^3+K34*C33^4+L34*C33^5+M34*C33^6,G35)),2)</f>
        <v>12.86</v>
      </c>
      <c r="E33" s="18">
        <f>ROUND(C33/D33,2)</f>
        <v>11.66</v>
      </c>
      <c r="F33" s="70" t="s">
        <v>44</v>
      </c>
      <c r="G33" s="71">
        <v>10.41</v>
      </c>
      <c r="H33" s="20"/>
      <c r="I33" s="20"/>
      <c r="J33" s="107"/>
      <c r="K33" s="107"/>
      <c r="L33" s="107"/>
      <c r="M33" s="72"/>
      <c r="N33" s="2"/>
      <c r="O33" s="23">
        <v>68</v>
      </c>
    </row>
    <row r="34" spans="1:15" ht="15">
      <c r="A34" s="176" t="s">
        <v>45</v>
      </c>
      <c r="B34" s="73"/>
      <c r="C34" s="74"/>
      <c r="D34" s="41"/>
      <c r="E34" s="27"/>
      <c r="F34" s="34" t="s">
        <v>46</v>
      </c>
      <c r="G34" s="108">
        <v>2.4452</v>
      </c>
      <c r="H34" s="29">
        <v>0.1931431</v>
      </c>
      <c r="I34" s="29">
        <v>-0.001453898</v>
      </c>
      <c r="J34" s="93">
        <v>5.613024E-06</v>
      </c>
      <c r="K34" s="93">
        <v>-1.0620337499999999E-08</v>
      </c>
      <c r="L34" s="93">
        <v>7.800473E-12</v>
      </c>
      <c r="M34" s="77"/>
      <c r="N34" s="2"/>
      <c r="O34" s="23">
        <v>401</v>
      </c>
    </row>
    <row r="35" spans="1:15" ht="15.75" thickBot="1">
      <c r="A35" s="174"/>
      <c r="B35" s="94"/>
      <c r="C35" s="95"/>
      <c r="D35" s="46"/>
      <c r="E35" s="47"/>
      <c r="F35" s="96" t="s">
        <v>42</v>
      </c>
      <c r="G35" s="97">
        <v>14.31</v>
      </c>
      <c r="H35" s="97"/>
      <c r="I35" s="98"/>
      <c r="J35" s="98"/>
      <c r="K35" s="98"/>
      <c r="L35" s="98"/>
      <c r="M35" s="99"/>
      <c r="N35" s="2"/>
      <c r="O35" s="89"/>
    </row>
    <row r="36" spans="1:15" ht="15.75" thickBot="1">
      <c r="A36" s="185" t="s">
        <v>68</v>
      </c>
      <c r="B36" s="186"/>
      <c r="C36" s="187">
        <f>12/D33*G36</f>
        <v>24673.71695178849</v>
      </c>
      <c r="D36" s="52" t="s">
        <v>23</v>
      </c>
      <c r="E36" s="57"/>
      <c r="F36" s="53" t="s">
        <v>24</v>
      </c>
      <c r="G36" s="54">
        <v>26442</v>
      </c>
      <c r="H36" s="57"/>
      <c r="I36" s="57"/>
      <c r="J36" s="57"/>
      <c r="K36" s="57"/>
      <c r="L36" s="57"/>
      <c r="M36" s="100"/>
      <c r="N36" s="2"/>
      <c r="O36" s="89"/>
    </row>
    <row r="37" spans="1:15" ht="24.75" customHeight="1" thickBot="1">
      <c r="A37" s="8" t="s">
        <v>47</v>
      </c>
      <c r="B37" s="101"/>
      <c r="C37" s="102"/>
      <c r="D37" s="103"/>
      <c r="E37" s="104"/>
      <c r="F37" s="105"/>
      <c r="G37" s="106"/>
      <c r="H37" s="106"/>
      <c r="I37" s="106"/>
      <c r="J37" s="106"/>
      <c r="K37" s="106"/>
      <c r="L37" s="106"/>
      <c r="M37" s="106"/>
      <c r="N37" s="2"/>
      <c r="O37" s="90"/>
    </row>
    <row r="38" spans="1:15" ht="15.75" thickBot="1">
      <c r="A38" s="172" t="s">
        <v>48</v>
      </c>
      <c r="B38" s="68" t="s">
        <v>19</v>
      </c>
      <c r="C38" s="16">
        <v>400</v>
      </c>
      <c r="D38" s="17">
        <f>ROUND(IF(C38&lt;O38,G38,IF(C38&lt;O39,G39+H39*C38+I39*C38^2+J39*C38^3+K39*C38^4+L39*C38^5+M39*C38^6,G40)),2)</f>
        <v>61.32</v>
      </c>
      <c r="E38" s="18">
        <f>ROUND(C38/D38,2)</f>
        <v>6.52</v>
      </c>
      <c r="F38" s="109" t="s">
        <v>49</v>
      </c>
      <c r="G38" s="20">
        <v>48.68</v>
      </c>
      <c r="H38" s="20"/>
      <c r="I38" s="20"/>
      <c r="J38" s="20"/>
      <c r="K38" s="20"/>
      <c r="L38" s="20"/>
      <c r="M38" s="72"/>
      <c r="N38" s="2"/>
      <c r="O38" s="236">
        <v>153</v>
      </c>
    </row>
    <row r="39" spans="1:15" ht="15">
      <c r="A39" s="176" t="s">
        <v>50</v>
      </c>
      <c r="B39" s="73"/>
      <c r="C39" s="74"/>
      <c r="D39" s="41"/>
      <c r="E39" s="27"/>
      <c r="F39" s="110" t="s">
        <v>51</v>
      </c>
      <c r="G39" s="29">
        <v>37.5277</v>
      </c>
      <c r="H39" s="29">
        <v>0.08124098</v>
      </c>
      <c r="I39" s="93">
        <v>-5.437278E-05</v>
      </c>
      <c r="J39" s="29"/>
      <c r="K39" s="29"/>
      <c r="L39" s="29"/>
      <c r="M39" s="77"/>
      <c r="N39" s="2"/>
      <c r="O39" s="23">
        <v>747.0734109508014</v>
      </c>
    </row>
    <row r="40" spans="1:15" ht="15.75" thickBot="1">
      <c r="A40" s="174"/>
      <c r="B40" s="94"/>
      <c r="C40" s="95"/>
      <c r="D40" s="46"/>
      <c r="E40" s="47"/>
      <c r="F40" s="96" t="s">
        <v>52</v>
      </c>
      <c r="G40" s="49">
        <v>67.87</v>
      </c>
      <c r="H40" s="49"/>
      <c r="I40" s="49"/>
      <c r="J40" s="49"/>
      <c r="K40" s="49"/>
      <c r="L40" s="49"/>
      <c r="M40" s="111"/>
      <c r="N40" s="2"/>
      <c r="O40" s="23"/>
    </row>
    <row r="41" spans="1:15" ht="15.75" thickBot="1">
      <c r="A41" s="185" t="s">
        <v>53</v>
      </c>
      <c r="B41" s="186"/>
      <c r="C41" s="186"/>
      <c r="D41" s="187">
        <f>12/D38*I41</f>
        <v>2558.708414872798</v>
      </c>
      <c r="E41" s="52" t="s">
        <v>23</v>
      </c>
      <c r="F41" s="53" t="s">
        <v>24</v>
      </c>
      <c r="G41" s="54">
        <v>0</v>
      </c>
      <c r="H41" s="53" t="s">
        <v>25</v>
      </c>
      <c r="I41" s="55">
        <v>13075</v>
      </c>
      <c r="J41" s="112"/>
      <c r="K41" s="112"/>
      <c r="L41" s="112"/>
      <c r="M41" s="113"/>
      <c r="N41" s="2"/>
      <c r="O41" s="89"/>
    </row>
    <row r="42" spans="2:15" ht="15">
      <c r="B42" s="102"/>
      <c r="C42" s="114"/>
      <c r="D42" s="102"/>
      <c r="E42" s="115"/>
      <c r="F42" s="116"/>
      <c r="G42" s="117"/>
      <c r="H42" s="116"/>
      <c r="I42" s="118"/>
      <c r="J42" s="106"/>
      <c r="K42" s="106"/>
      <c r="L42" s="106"/>
      <c r="M42" s="106"/>
      <c r="N42" s="119"/>
      <c r="O42" s="120"/>
    </row>
    <row r="43" spans="1:15" ht="16.5" thickBot="1">
      <c r="A43" s="8" t="s">
        <v>54</v>
      </c>
      <c r="B43" s="101"/>
      <c r="C43" s="102"/>
      <c r="D43" s="103"/>
      <c r="E43" s="104"/>
      <c r="F43" s="106"/>
      <c r="G43" s="106"/>
      <c r="H43" s="106"/>
      <c r="I43" s="106"/>
      <c r="J43" s="106"/>
      <c r="K43" s="106"/>
      <c r="L43" s="106"/>
      <c r="M43" s="106"/>
      <c r="N43" s="102"/>
      <c r="O43" s="121"/>
    </row>
    <row r="44" spans="1:15" ht="15.75" thickBot="1">
      <c r="A44" s="181" t="s">
        <v>55</v>
      </c>
      <c r="B44" s="68" t="s">
        <v>15</v>
      </c>
      <c r="C44" s="16">
        <v>35</v>
      </c>
      <c r="D44" s="17">
        <f>ROUND(IF(C44&lt;O44,G44,IF(C44&lt;O45,G45+H45*C44+I45*C44^2+J45*C44^3+K45*C44^4+L45*C44^5+M45*C44^6,G46)),2)</f>
        <v>30.59</v>
      </c>
      <c r="E44" s="18">
        <f>ROUND(C44/D44,2)</f>
        <v>1.14</v>
      </c>
      <c r="F44" s="70" t="s">
        <v>56</v>
      </c>
      <c r="G44" s="122">
        <v>29.21</v>
      </c>
      <c r="H44" s="20"/>
      <c r="I44" s="20"/>
      <c r="J44" s="107"/>
      <c r="K44" s="107"/>
      <c r="L44" s="107"/>
      <c r="M44" s="72"/>
      <c r="N44" s="2"/>
      <c r="O44" s="23">
        <v>10</v>
      </c>
    </row>
    <row r="45" spans="1:15" ht="15">
      <c r="A45" s="173"/>
      <c r="B45" s="123"/>
      <c r="C45" s="74"/>
      <c r="D45" s="124"/>
      <c r="E45" s="27"/>
      <c r="F45" s="110" t="s">
        <v>103</v>
      </c>
      <c r="G45" s="125">
        <v>28.4586</v>
      </c>
      <c r="H45" s="126">
        <v>0.08175534</v>
      </c>
      <c r="I45" s="127">
        <v>-0.0006885195</v>
      </c>
      <c r="J45" s="129">
        <v>2.758635E-06</v>
      </c>
      <c r="K45" s="129">
        <v>-4.061738E-09</v>
      </c>
      <c r="L45" s="128"/>
      <c r="M45" s="130"/>
      <c r="N45" s="2"/>
      <c r="O45" s="23">
        <v>250</v>
      </c>
    </row>
    <row r="46" spans="1:15" ht="15.75" thickBot="1">
      <c r="A46" s="174"/>
      <c r="B46" s="94"/>
      <c r="C46" s="95"/>
      <c r="D46" s="46"/>
      <c r="E46" s="47"/>
      <c r="F46" s="131" t="s">
        <v>104</v>
      </c>
      <c r="G46" s="132">
        <v>33.1</v>
      </c>
      <c r="H46" s="49"/>
      <c r="I46" s="133"/>
      <c r="J46" s="134"/>
      <c r="K46" s="134"/>
      <c r="L46" s="135"/>
      <c r="M46" s="111"/>
      <c r="N46" s="2"/>
      <c r="O46" s="89"/>
    </row>
    <row r="47" spans="1:15" ht="15.75" thickBot="1">
      <c r="A47" s="185" t="s">
        <v>69</v>
      </c>
      <c r="B47" s="188"/>
      <c r="C47" s="189">
        <f>12/D44*G47</f>
        <v>8373.716900948022</v>
      </c>
      <c r="D47" s="52" t="s">
        <v>23</v>
      </c>
      <c r="E47" s="57"/>
      <c r="F47" s="53" t="s">
        <v>24</v>
      </c>
      <c r="G47" s="54">
        <v>21346</v>
      </c>
      <c r="H47" s="57"/>
      <c r="I47" s="57"/>
      <c r="J47" s="57"/>
      <c r="K47" s="57"/>
      <c r="L47" s="57"/>
      <c r="M47" s="58"/>
      <c r="N47" s="2"/>
      <c r="O47" s="136"/>
    </row>
    <row r="48" spans="2:15" ht="15">
      <c r="B48" s="102"/>
      <c r="C48" s="114"/>
      <c r="D48" s="102"/>
      <c r="E48" s="115"/>
      <c r="F48" s="116"/>
      <c r="G48" s="106"/>
      <c r="H48" s="115"/>
      <c r="I48" s="115"/>
      <c r="J48" s="115"/>
      <c r="K48" s="115"/>
      <c r="L48" s="115"/>
      <c r="M48" s="102"/>
      <c r="N48" s="119"/>
      <c r="O48" s="102"/>
    </row>
    <row r="49" spans="1:15" ht="27.75" customHeight="1" thickBot="1">
      <c r="A49" s="8" t="s">
        <v>92</v>
      </c>
      <c r="B49" s="101"/>
      <c r="C49" s="102"/>
      <c r="D49" s="103"/>
      <c r="E49" s="104"/>
      <c r="F49" s="105"/>
      <c r="G49" s="106"/>
      <c r="H49" s="106"/>
      <c r="I49" s="106"/>
      <c r="J49" s="106"/>
      <c r="K49" s="106"/>
      <c r="L49" s="106"/>
      <c r="M49" s="106"/>
      <c r="N49" s="102"/>
      <c r="O49" s="121"/>
    </row>
    <row r="50" spans="1:15" ht="15">
      <c r="A50" s="177" t="s">
        <v>72</v>
      </c>
      <c r="B50" s="137" t="s">
        <v>19</v>
      </c>
      <c r="C50" s="138">
        <v>35</v>
      </c>
      <c r="D50" s="17">
        <f>ROUND(IF(C50&lt;O50,G50+H50*C50+I50*C50^2+J50*C50^3+K50*C50^4+L50*C50^5,G51+H51*C50+I51*C50^2+J51*C50^3+K51*C50^4+L51*C50^5),2)</f>
        <v>37.13</v>
      </c>
      <c r="E50" s="139">
        <f>ROUND(C50/D50,2)</f>
        <v>0.94</v>
      </c>
      <c r="F50" s="109" t="s">
        <v>57</v>
      </c>
      <c r="G50" s="235">
        <v>32.562</v>
      </c>
      <c r="H50" s="140">
        <v>0.136172</v>
      </c>
      <c r="I50" s="141">
        <v>-0.0001634229</v>
      </c>
      <c r="J50" s="142">
        <v>6.879604E-08</v>
      </c>
      <c r="K50" s="143">
        <v>0</v>
      </c>
      <c r="L50" s="20">
        <v>0</v>
      </c>
      <c r="M50" s="72">
        <v>0</v>
      </c>
      <c r="N50" s="2"/>
      <c r="O50" s="23">
        <v>1067</v>
      </c>
    </row>
    <row r="51" spans="2:15" ht="15.75" thickBot="1">
      <c r="B51" s="144"/>
      <c r="C51" s="74"/>
      <c r="D51" s="145"/>
      <c r="E51" s="146"/>
      <c r="F51" s="96" t="s">
        <v>58</v>
      </c>
      <c r="G51" s="147">
        <v>75.37</v>
      </c>
      <c r="H51" s="148"/>
      <c r="I51" s="148"/>
      <c r="J51" s="148"/>
      <c r="K51" s="149"/>
      <c r="L51" s="49"/>
      <c r="M51" s="111"/>
      <c r="N51" s="2"/>
      <c r="O51" s="150"/>
    </row>
    <row r="52" spans="1:15" ht="15.75" thickBot="1">
      <c r="A52" s="185" t="s">
        <v>71</v>
      </c>
      <c r="B52" s="186"/>
      <c r="C52" s="186"/>
      <c r="D52" s="187">
        <f>12/D50*I52</f>
        <v>4336.224077565311</v>
      </c>
      <c r="E52" s="52" t="s">
        <v>23</v>
      </c>
      <c r="F52" s="53" t="s">
        <v>24</v>
      </c>
      <c r="G52" s="54">
        <v>0</v>
      </c>
      <c r="H52" s="53" t="s">
        <v>25</v>
      </c>
      <c r="I52" s="55">
        <v>13417</v>
      </c>
      <c r="J52" s="56"/>
      <c r="K52" s="57"/>
      <c r="L52" s="57"/>
      <c r="M52" s="58"/>
      <c r="N52" s="2"/>
      <c r="O52" s="89"/>
    </row>
    <row r="53" spans="1:15" ht="25.5" customHeight="1" thickBot="1">
      <c r="A53" s="8" t="s">
        <v>91</v>
      </c>
      <c r="B53" s="2"/>
      <c r="C53" s="2"/>
      <c r="D53" s="2"/>
      <c r="E53" s="3"/>
      <c r="F53" s="4"/>
      <c r="G53" s="3"/>
      <c r="H53" s="3"/>
      <c r="I53" s="3"/>
      <c r="J53" s="3"/>
      <c r="K53" s="3"/>
      <c r="L53" s="3"/>
      <c r="M53" s="2"/>
      <c r="N53" s="2"/>
      <c r="O53" s="90"/>
    </row>
    <row r="54" spans="1:15" ht="15.75" thickBot="1">
      <c r="A54" s="177" t="s">
        <v>60</v>
      </c>
      <c r="B54" s="151" t="s">
        <v>19</v>
      </c>
      <c r="C54" s="152">
        <v>35</v>
      </c>
      <c r="D54" s="153">
        <f>ROUND(G54+H54*C54+I54*C54^2+J54*C54^3+K54*C54^4+L54*C54^5,2)</f>
        <v>27.25</v>
      </c>
      <c r="E54" s="154">
        <f>ROUND(C54/D54,2)</f>
        <v>1.28</v>
      </c>
      <c r="F54" s="155"/>
      <c r="G54" s="156">
        <v>16.8117</v>
      </c>
      <c r="H54" s="157">
        <v>0.3633883</v>
      </c>
      <c r="I54" s="158">
        <v>-0.002012071</v>
      </c>
      <c r="J54" s="142">
        <v>4.370433E-06</v>
      </c>
      <c r="K54" s="159">
        <v>0</v>
      </c>
      <c r="L54" s="159">
        <v>0</v>
      </c>
      <c r="M54" s="160">
        <v>0</v>
      </c>
      <c r="N54" s="2"/>
      <c r="O54" s="161"/>
    </row>
    <row r="55" spans="1:15" ht="15.75" thickBot="1">
      <c r="A55" s="185" t="s">
        <v>71</v>
      </c>
      <c r="B55" s="186"/>
      <c r="C55" s="186"/>
      <c r="D55" s="187">
        <f>12/D54*I55</f>
        <v>5908.403669724771</v>
      </c>
      <c r="E55" s="52" t="s">
        <v>23</v>
      </c>
      <c r="F55" s="53" t="s">
        <v>24</v>
      </c>
      <c r="G55" s="54">
        <v>0</v>
      </c>
      <c r="H55" s="53" t="s">
        <v>25</v>
      </c>
      <c r="I55" s="55">
        <v>13417</v>
      </c>
      <c r="J55" s="56"/>
      <c r="K55" s="57"/>
      <c r="L55" s="57"/>
      <c r="M55" s="58"/>
      <c r="N55" s="2"/>
      <c r="O55" s="162"/>
    </row>
    <row r="56" spans="2:15" ht="15">
      <c r="B56" s="102"/>
      <c r="C56" s="114"/>
      <c r="D56" s="102"/>
      <c r="E56" s="115"/>
      <c r="F56" s="116"/>
      <c r="G56" s="117"/>
      <c r="H56" s="116"/>
      <c r="I56" s="118"/>
      <c r="J56" s="163"/>
      <c r="K56" s="115"/>
      <c r="L56" s="115"/>
      <c r="M56" s="102"/>
      <c r="N56" s="119"/>
      <c r="O56" s="120"/>
    </row>
    <row r="57" spans="1:15" ht="20.25" customHeight="1" thickBot="1">
      <c r="A57" s="8" t="s">
        <v>61</v>
      </c>
      <c r="B57" s="2"/>
      <c r="C57" s="2"/>
      <c r="D57" s="164"/>
      <c r="E57" s="165"/>
      <c r="F57" s="4"/>
      <c r="G57" s="166"/>
      <c r="H57" s="2"/>
      <c r="I57" s="2"/>
      <c r="J57" s="2"/>
      <c r="K57" s="2"/>
      <c r="L57" s="2"/>
      <c r="M57" s="2"/>
      <c r="N57" s="2"/>
      <c r="O57" s="2"/>
    </row>
    <row r="58" spans="1:15" ht="15">
      <c r="A58" s="177" t="s">
        <v>65</v>
      </c>
      <c r="B58" s="68" t="s">
        <v>15</v>
      </c>
      <c r="C58" s="138">
        <v>25</v>
      </c>
      <c r="D58" s="17">
        <f>ROUND(IF(C58&lt;O58,G58,IF(C58&lt;O59,G59+H59*C58+I59*C58^2+J59*C58^3+K59*C58^4+L59*C58^5+M59*C58^6,G60)),2)</f>
        <v>11.51</v>
      </c>
      <c r="E58" s="139">
        <f>ROUND(C58/D58,2)</f>
        <v>2.17</v>
      </c>
      <c r="F58" s="109" t="s">
        <v>62</v>
      </c>
      <c r="G58" s="167">
        <v>10.73</v>
      </c>
      <c r="H58" s="168"/>
      <c r="I58" s="20"/>
      <c r="J58" s="142"/>
      <c r="K58" s="142"/>
      <c r="L58" s="142"/>
      <c r="M58" s="72"/>
      <c r="N58" s="2"/>
      <c r="O58" s="23">
        <v>20</v>
      </c>
    </row>
    <row r="59" spans="2:15" ht="15">
      <c r="B59" s="123"/>
      <c r="C59" s="74"/>
      <c r="D59" s="124"/>
      <c r="E59" s="169"/>
      <c r="F59" s="110" t="s">
        <v>63</v>
      </c>
      <c r="G59" s="234">
        <v>7.1486</v>
      </c>
      <c r="H59" s="237">
        <v>0.1994724</v>
      </c>
      <c r="I59" s="127">
        <v>-0.001069521</v>
      </c>
      <c r="J59" s="129">
        <v>2.951323E-06</v>
      </c>
      <c r="K59" s="129">
        <v>-4.028452E-09</v>
      </c>
      <c r="L59" s="129">
        <v>2.119143E-12</v>
      </c>
      <c r="M59" s="130"/>
      <c r="N59" s="2"/>
      <c r="O59" s="23">
        <v>405</v>
      </c>
    </row>
    <row r="60" spans="2:15" ht="15.75" thickBot="1">
      <c r="B60" s="170"/>
      <c r="C60" s="74"/>
      <c r="D60" s="145"/>
      <c r="E60" s="146"/>
      <c r="F60" s="96" t="s">
        <v>64</v>
      </c>
      <c r="G60" s="171">
        <v>23.27</v>
      </c>
      <c r="H60" s="148"/>
      <c r="I60" s="148"/>
      <c r="J60" s="148"/>
      <c r="K60" s="149"/>
      <c r="L60" s="49"/>
      <c r="M60" s="111"/>
      <c r="N60" s="2"/>
      <c r="O60" s="162"/>
    </row>
    <row r="61" spans="1:15" ht="15.75" thickBot="1">
      <c r="A61" s="185" t="s">
        <v>70</v>
      </c>
      <c r="B61" s="186"/>
      <c r="C61" s="187">
        <f>12/D58*G61</f>
        <v>24046.915725456125</v>
      </c>
      <c r="D61" s="190">
        <f>12/29*I61</f>
        <v>5697.517241379311</v>
      </c>
      <c r="E61" s="52" t="s">
        <v>23</v>
      </c>
      <c r="F61" s="53" t="s">
        <v>24</v>
      </c>
      <c r="G61" s="54">
        <v>23065</v>
      </c>
      <c r="H61" s="53" t="s">
        <v>25</v>
      </c>
      <c r="I61" s="55">
        <v>13769</v>
      </c>
      <c r="J61" s="56"/>
      <c r="K61" s="57"/>
      <c r="L61" s="57"/>
      <c r="M61" s="58"/>
      <c r="N61" s="2"/>
      <c r="O61" s="2"/>
    </row>
  </sheetData>
  <sheetProtection sheet="1"/>
  <printOptions/>
  <pageMargins left="0.7" right="0.7" top="0.52" bottom="0.5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F9" sqref="F9"/>
    </sheetView>
  </sheetViews>
  <sheetFormatPr defaultColWidth="9.140625" defaultRowHeight="15"/>
  <cols>
    <col min="1" max="1" width="19.00390625" style="0" customWidth="1"/>
    <col min="2" max="2" width="7.57421875" style="0" customWidth="1"/>
    <col min="3" max="3" width="9.57421875" style="0" customWidth="1"/>
    <col min="5" max="5" width="11.140625" style="0" customWidth="1"/>
    <col min="9" max="9" width="12.7109375" style="0" customWidth="1"/>
    <col min="10" max="10" width="11.57421875" style="0" customWidth="1"/>
  </cols>
  <sheetData>
    <row r="1" ht="18.75">
      <c r="A1" s="223" t="s">
        <v>93</v>
      </c>
    </row>
    <row r="2" ht="18.75">
      <c r="A2" s="223"/>
    </row>
    <row r="3" spans="1:7" ht="15.75" thickBot="1">
      <c r="A3" s="225" t="s">
        <v>94</v>
      </c>
      <c r="G3" t="s">
        <v>96</v>
      </c>
    </row>
    <row r="4" spans="1:7" ht="15.75" thickBot="1">
      <c r="A4" s="225" t="s">
        <v>95</v>
      </c>
      <c r="C4" s="206" t="s">
        <v>80</v>
      </c>
      <c r="D4" s="207" t="s">
        <v>19</v>
      </c>
      <c r="E4" s="208" t="s">
        <v>82</v>
      </c>
      <c r="F4" s="205" t="s">
        <v>83</v>
      </c>
      <c r="G4" t="s">
        <v>97</v>
      </c>
    </row>
    <row r="5" spans="1:7" ht="15">
      <c r="A5" s="224" t="s">
        <v>75</v>
      </c>
      <c r="C5" s="217">
        <v>25</v>
      </c>
      <c r="D5" s="209">
        <f>IF(C5=0,"",D24)</f>
        <v>24.71</v>
      </c>
      <c r="E5" s="210">
        <f>IF(D5&lt;&gt;"",ROUND(C5/D5,2),"")</f>
        <v>1.01</v>
      </c>
      <c r="F5">
        <v>13417</v>
      </c>
      <c r="G5" s="229">
        <f>IF(D5&lt;&gt;"",ROUND(E5*0.012*F5,1),0)</f>
        <v>162.6</v>
      </c>
    </row>
    <row r="6" spans="1:7" ht="15">
      <c r="A6" s="224" t="s">
        <v>76</v>
      </c>
      <c r="C6" s="218">
        <v>35</v>
      </c>
      <c r="D6" s="209">
        <f>IF(C6=0,"",D$20)</f>
        <v>40.16</v>
      </c>
      <c r="E6" s="211">
        <f aca="true" t="shared" si="0" ref="E6:E13">IF(D6&lt;&gt;"",ROUND(C6/D6,2),"")</f>
        <v>0.87</v>
      </c>
      <c r="F6">
        <v>13417</v>
      </c>
      <c r="G6" s="230">
        <f>IF(D6&lt;&gt;"",ROUND(E6*0.012*F6,1),0)</f>
        <v>140.1</v>
      </c>
    </row>
    <row r="7" spans="1:7" ht="15">
      <c r="A7" s="224" t="s">
        <v>77</v>
      </c>
      <c r="C7" s="218">
        <v>0</v>
      </c>
      <c r="D7" s="209">
        <f>IF(C7=0,"",D$20)</f>
      </c>
      <c r="E7" s="211">
        <f t="shared" si="0"/>
      </c>
      <c r="F7">
        <v>13417</v>
      </c>
      <c r="G7" s="230">
        <f>IF(D7&lt;&gt;"",ROUND(E7*0.012*F7,1),0)</f>
        <v>0</v>
      </c>
    </row>
    <row r="8" spans="1:7" ht="15">
      <c r="A8" s="224" t="s">
        <v>84</v>
      </c>
      <c r="C8" s="218">
        <v>0</v>
      </c>
      <c r="D8" s="209">
        <f>IF(C8=0,"",30.15)</f>
      </c>
      <c r="E8" s="211">
        <f t="shared" si="0"/>
      </c>
      <c r="F8">
        <v>13598</v>
      </c>
      <c r="G8" s="230">
        <f aca="true" t="shared" si="1" ref="G8:G13">IF(D8&lt;&gt;"",ROUND(E8*0.012*F8,1),0)</f>
        <v>0</v>
      </c>
    </row>
    <row r="9" spans="1:7" ht="15">
      <c r="A9" s="224" t="s">
        <v>85</v>
      </c>
      <c r="C9" s="218">
        <v>0</v>
      </c>
      <c r="D9" s="209">
        <f>IF(C9=0,"",30.15)</f>
      </c>
      <c r="E9" s="211">
        <f t="shared" si="0"/>
      </c>
      <c r="F9">
        <v>13598</v>
      </c>
      <c r="G9" s="230">
        <f t="shared" si="1"/>
        <v>0</v>
      </c>
    </row>
    <row r="10" spans="1:7" ht="15">
      <c r="A10" s="224" t="s">
        <v>86</v>
      </c>
      <c r="C10" s="218">
        <v>0</v>
      </c>
      <c r="D10" s="209">
        <f>IF(C10=0,"",39.2)</f>
      </c>
      <c r="E10" s="211">
        <f t="shared" si="0"/>
      </c>
      <c r="F10">
        <v>13598</v>
      </c>
      <c r="G10" s="230">
        <f t="shared" si="1"/>
        <v>0</v>
      </c>
    </row>
    <row r="11" spans="1:7" ht="15">
      <c r="A11" s="224" t="s">
        <v>87</v>
      </c>
      <c r="C11" s="218">
        <v>0</v>
      </c>
      <c r="D11" s="209">
        <f>IF(C11=0,"",39.2)</f>
      </c>
      <c r="E11" s="211">
        <f t="shared" si="0"/>
      </c>
      <c r="F11">
        <v>13598</v>
      </c>
      <c r="G11" s="230">
        <f t="shared" si="1"/>
        <v>0</v>
      </c>
    </row>
    <row r="12" spans="1:7" ht="15">
      <c r="A12" s="224" t="s">
        <v>89</v>
      </c>
      <c r="C12" s="218">
        <v>0</v>
      </c>
      <c r="D12" s="209">
        <f>IF(C12=0,"",D$24/0.67)</f>
      </c>
      <c r="E12" s="211">
        <f t="shared" si="0"/>
      </c>
      <c r="F12">
        <v>13417</v>
      </c>
      <c r="G12" s="230">
        <f t="shared" si="1"/>
        <v>0</v>
      </c>
    </row>
    <row r="13" spans="1:7" ht="15.75" thickBot="1">
      <c r="A13" s="224" t="s">
        <v>90</v>
      </c>
      <c r="C13" s="219">
        <v>0</v>
      </c>
      <c r="D13" s="209">
        <f>IF(C13=0,"",D$20/0.7)</f>
      </c>
      <c r="E13" s="212">
        <f t="shared" si="0"/>
      </c>
      <c r="F13">
        <v>13417</v>
      </c>
      <c r="G13" s="231">
        <f t="shared" si="1"/>
        <v>0</v>
      </c>
    </row>
    <row r="14" spans="1:7" ht="15">
      <c r="A14" s="177" t="s">
        <v>88</v>
      </c>
      <c r="B14" s="177"/>
      <c r="C14" s="177"/>
      <c r="D14" s="226"/>
      <c r="E14" s="227">
        <f>SUM(E5:E13)</f>
        <v>1.88</v>
      </c>
      <c r="F14" s="177"/>
      <c r="G14" s="228">
        <f>SUM(G5:G13)</f>
        <v>302.7</v>
      </c>
    </row>
    <row r="15" ht="15">
      <c r="A15" s="220" t="s">
        <v>105</v>
      </c>
    </row>
    <row r="16" ht="15.75" thickBot="1"/>
    <row r="17" spans="1:15" ht="25.5">
      <c r="A17" s="182" t="s">
        <v>66</v>
      </c>
      <c r="B17" s="183" t="s">
        <v>73</v>
      </c>
      <c r="C17" s="184" t="s">
        <v>1</v>
      </c>
      <c r="D17" s="192" t="s">
        <v>81</v>
      </c>
      <c r="E17" s="193" t="s">
        <v>3</v>
      </c>
      <c r="F17" s="191" t="s">
        <v>4</v>
      </c>
      <c r="G17" s="194" t="s">
        <v>5</v>
      </c>
      <c r="H17" s="195" t="s">
        <v>6</v>
      </c>
      <c r="I17" s="195" t="s">
        <v>7</v>
      </c>
      <c r="J17" s="195" t="s">
        <v>8</v>
      </c>
      <c r="K17" s="195" t="s">
        <v>9</v>
      </c>
      <c r="L17" s="195" t="s">
        <v>10</v>
      </c>
      <c r="M17" s="195" t="s">
        <v>11</v>
      </c>
      <c r="N17" s="6"/>
      <c r="O17" s="7" t="s">
        <v>12</v>
      </c>
    </row>
    <row r="19" spans="1:13" ht="16.5" thickBot="1">
      <c r="A19" s="8" t="s">
        <v>74</v>
      </c>
      <c r="B19" s="101"/>
      <c r="C19" s="102"/>
      <c r="D19" s="103"/>
      <c r="E19" s="104"/>
      <c r="F19" s="105"/>
      <c r="G19" s="106"/>
      <c r="H19" s="106"/>
      <c r="I19" s="106"/>
      <c r="J19" s="106"/>
      <c r="K19" s="106"/>
      <c r="L19" s="106"/>
      <c r="M19" s="106"/>
    </row>
    <row r="20" spans="1:15" ht="15">
      <c r="A20" s="177" t="s">
        <v>78</v>
      </c>
      <c r="B20" s="137" t="s">
        <v>19</v>
      </c>
      <c r="C20" s="221">
        <f>C5+C6+C7+C8+C9+C10+C11+0.67*C12+0.7*C13</f>
        <v>60</v>
      </c>
      <c r="D20" s="215">
        <f>ROUND(IF(C20&lt;O20,G20+H20*C20+I20*C20^2+J20*C20^3+K20*C20^4+L20*C20^5,G21+H21*C20+I21*C20^2+J21*C20^3+K21*C20^4+L21*C20^5),2)</f>
        <v>40.16</v>
      </c>
      <c r="E20" s="213"/>
      <c r="F20" s="109" t="s">
        <v>57</v>
      </c>
      <c r="G20" s="235">
        <v>32.562</v>
      </c>
      <c r="H20" s="140">
        <v>0.136172</v>
      </c>
      <c r="I20" s="141">
        <v>-0.0001634229</v>
      </c>
      <c r="J20" s="142">
        <v>6.879604E-08</v>
      </c>
      <c r="K20" s="143">
        <v>0</v>
      </c>
      <c r="L20" s="20">
        <v>0</v>
      </c>
      <c r="M20" s="72">
        <v>0</v>
      </c>
      <c r="O20" s="23">
        <v>1067</v>
      </c>
    </row>
    <row r="21" spans="2:15" ht="15.75" thickBot="1">
      <c r="B21" s="144"/>
      <c r="C21" s="74"/>
      <c r="D21" s="145"/>
      <c r="E21" s="146"/>
      <c r="F21" s="96" t="s">
        <v>58</v>
      </c>
      <c r="G21" s="147">
        <v>75.37</v>
      </c>
      <c r="H21" s="148"/>
      <c r="I21" s="148"/>
      <c r="J21" s="148"/>
      <c r="K21" s="149"/>
      <c r="L21" s="49"/>
      <c r="M21" s="111"/>
      <c r="O21" s="150"/>
    </row>
    <row r="22" spans="1:15" ht="15.75" thickBot="1">
      <c r="A22" s="185" t="s">
        <v>71</v>
      </c>
      <c r="B22" s="186"/>
      <c r="C22" s="186"/>
      <c r="D22" s="187">
        <f>12/D20*I22</f>
        <v>4009.0637450199206</v>
      </c>
      <c r="E22" s="52" t="s">
        <v>23</v>
      </c>
      <c r="F22" s="53" t="s">
        <v>24</v>
      </c>
      <c r="G22" s="54">
        <v>0</v>
      </c>
      <c r="H22" s="53" t="s">
        <v>25</v>
      </c>
      <c r="I22" s="55">
        <v>13417</v>
      </c>
      <c r="J22" s="56"/>
      <c r="K22" s="57"/>
      <c r="L22" s="57"/>
      <c r="M22" s="58"/>
      <c r="O22" s="89"/>
    </row>
    <row r="23" spans="1:15" ht="16.5" thickBot="1">
      <c r="A23" s="197" t="s">
        <v>59</v>
      </c>
      <c r="B23" s="2"/>
      <c r="C23" s="2"/>
      <c r="D23" s="2"/>
      <c r="E23" s="3"/>
      <c r="F23" s="4"/>
      <c r="G23" s="3"/>
      <c r="H23" s="3"/>
      <c r="I23" s="3"/>
      <c r="J23" s="3"/>
      <c r="K23" s="3"/>
      <c r="L23" s="3"/>
      <c r="M23" s="2"/>
      <c r="O23" s="90"/>
    </row>
    <row r="24" spans="1:15" ht="15.75" thickBot="1">
      <c r="A24" s="198" t="s">
        <v>79</v>
      </c>
      <c r="B24" s="199" t="s">
        <v>19</v>
      </c>
      <c r="C24" s="222">
        <f>C5+C8+C10+C12*0.67</f>
        <v>25</v>
      </c>
      <c r="D24" s="216">
        <f>ROUND(G24+H24*C24+I24*C24^2+J24*C24^3+K24*C24^4+L24*C24^5,2)</f>
        <v>24.71</v>
      </c>
      <c r="E24" s="214"/>
      <c r="F24" s="64"/>
      <c r="G24" s="200">
        <v>16.8117</v>
      </c>
      <c r="H24" s="201">
        <v>0.3633883</v>
      </c>
      <c r="I24" s="202">
        <v>-0.002012071</v>
      </c>
      <c r="J24" s="238">
        <v>4.370433E-06</v>
      </c>
      <c r="K24" s="203">
        <v>0</v>
      </c>
      <c r="L24" s="203">
        <v>0</v>
      </c>
      <c r="M24" s="204">
        <v>0</v>
      </c>
      <c r="O24" s="161"/>
    </row>
    <row r="25" spans="1:15" ht="15.75" thickBot="1">
      <c r="A25" s="185" t="s">
        <v>71</v>
      </c>
      <c r="B25" s="186"/>
      <c r="C25" s="186"/>
      <c r="D25" s="187">
        <f>12/D24*I25</f>
        <v>6515.742614326184</v>
      </c>
      <c r="E25" s="52" t="s">
        <v>23</v>
      </c>
      <c r="F25" s="53" t="s">
        <v>24</v>
      </c>
      <c r="G25" s="54">
        <v>0</v>
      </c>
      <c r="H25" s="53" t="s">
        <v>25</v>
      </c>
      <c r="I25" s="55">
        <v>13417</v>
      </c>
      <c r="J25" s="56"/>
      <c r="K25" s="57"/>
      <c r="L25" s="57"/>
      <c r="M25" s="58"/>
      <c r="O25" s="162"/>
    </row>
  </sheetData>
  <sheetProtection sheet="1"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340</cp:lastModifiedBy>
  <cp:lastPrinted>2012-02-19T17:39:39Z</cp:lastPrinted>
  <dcterms:created xsi:type="dcterms:W3CDTF">2011-02-23T12:23:42Z</dcterms:created>
  <dcterms:modified xsi:type="dcterms:W3CDTF">2015-02-22T17:32:06Z</dcterms:modified>
  <cp:category/>
  <cp:version/>
  <cp:contentType/>
  <cp:contentStatus/>
</cp:coreProperties>
</file>