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400" windowHeight="10932" activeTab="0"/>
  </bookViews>
  <sheets>
    <sheet name="2014" sheetId="1" r:id="rId1"/>
  </sheets>
  <definedNames>
    <definedName name="_xlnm.Print_Titles" localSheetId="0">'2014'!$6:$7</definedName>
    <definedName name="_xlnm.Print_Area" localSheetId="0">'2014'!$A$1:$S$539</definedName>
    <definedName name="Z_39FD50E0_9911_4D32_8842_5A58F13D310F_.wvu.Cols" localSheetId="0" hidden="1">'2014'!$D:$K,'2014'!$N:$N,'2014'!#REF!</definedName>
    <definedName name="Z_39FD50E0_9911_4D32_8842_5A58F13D310F_.wvu.PrintTitles" localSheetId="0" hidden="1">'2014'!$6:$7</definedName>
    <definedName name="Z_39FD50E0_9911_4D32_8842_5A58F13D310F_.wvu.Rows" localSheetId="0" hidden="1">'2014'!#REF!</definedName>
  </definedNames>
  <calcPr fullCalcOnLoad="1"/>
</workbook>
</file>

<file path=xl/sharedStrings.xml><?xml version="1.0" encoding="utf-8"?>
<sst xmlns="http://schemas.openxmlformats.org/spreadsheetml/2006/main" count="598" uniqueCount="381">
  <si>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</si>
  <si>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</si>
  <si>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</si>
  <si>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</si>
  <si>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</si>
  <si>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</si>
  <si>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</si>
  <si>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</si>
  <si>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</si>
  <si>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</si>
  <si>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</si>
  <si>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</si>
  <si>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</si>
  <si>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</si>
  <si>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</si>
  <si>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</si>
  <si>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</si>
  <si>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</si>
  <si>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</si>
  <si>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</si>
  <si>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</si>
  <si>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</si>
  <si>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</si>
  <si>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</si>
  <si>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</si>
  <si>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</si>
  <si>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</si>
  <si>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odvody PO</t>
  </si>
  <si>
    <t xml:space="preserve">    v tom odvětví: školství</t>
  </si>
  <si>
    <t xml:space="preserve">                        zdravotnictví</t>
  </si>
  <si>
    <t>kapitálové příjmy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</si>
  <si>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</si>
  <si>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</si>
  <si>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</si>
  <si>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</si>
  <si>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</si>
  <si>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</si>
  <si>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</si>
  <si>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</si>
  <si>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</si>
  <si>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</si>
  <si>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MV</t>
  </si>
  <si>
    <t xml:space="preserve">  z Národního fondu</t>
  </si>
  <si>
    <t xml:space="preserve">  z Úřadu vlády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</si>
  <si>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</si>
  <si>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</si>
  <si>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</si>
  <si>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</si>
  <si>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</si>
  <si>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</si>
  <si>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</si>
  <si>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</si>
  <si>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</si>
  <si>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</si>
  <si>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</si>
  <si>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</si>
  <si>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</si>
  <si>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</si>
  <si>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</si>
  <si>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</si>
  <si>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</si>
  <si>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</si>
  <si>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</si>
  <si>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</si>
  <si>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</si>
  <si>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</si>
  <si>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</si>
  <si>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</si>
  <si>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</si>
  <si>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</si>
  <si>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</si>
  <si>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</si>
  <si>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</si>
  <si>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</si>
  <si>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</si>
  <si>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</si>
  <si>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</si>
  <si>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</si>
  <si>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</si>
  <si>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</si>
  <si>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</si>
  <si>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</si>
  <si>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</si>
  <si>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</si>
  <si>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</si>
  <si>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</si>
  <si>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</si>
  <si>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</si>
  <si>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</si>
  <si>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</si>
  <si>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</si>
  <si>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</si>
  <si>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</si>
  <si>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</si>
  <si>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</si>
  <si>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</si>
  <si>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</si>
  <si>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</si>
  <si>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</si>
  <si>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</si>
  <si>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</si>
  <si>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</si>
  <si>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</si>
  <si>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</si>
  <si>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</si>
  <si>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</si>
  <si>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podp.výuky méně vyuč.cizích jazyků - SR</t>
  </si>
  <si>
    <t>kompenzační pomůcky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</si>
  <si>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</si>
  <si>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</si>
  <si>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</si>
  <si>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</si>
  <si>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</si>
  <si>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</si>
  <si>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</si>
  <si>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</si>
  <si>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</si>
  <si>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</si>
  <si>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</si>
  <si>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</si>
  <si>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</si>
  <si>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>vyhledávání budov se zvýš.výskytem radonu - SR</t>
  </si>
  <si>
    <t>protiradonová opatření - SR</t>
  </si>
  <si>
    <t>výdaje jednotek sborů dobrovolných hasičů obcí-SR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</si>
  <si>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</si>
  <si>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</si>
  <si>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</si>
  <si>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</si>
  <si>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</si>
  <si>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</si>
  <si>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</si>
  <si>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</si>
  <si>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</si>
  <si>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</si>
  <si>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</si>
  <si>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</si>
  <si>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</si>
  <si>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</si>
  <si>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</si>
  <si>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</si>
  <si>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</si>
  <si>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</si>
  <si>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</si>
  <si>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</si>
  <si>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</si>
  <si>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</si>
  <si>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</si>
  <si>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</si>
  <si>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</si>
  <si>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</si>
  <si>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</si>
  <si>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</si>
  <si>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</si>
  <si>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</si>
  <si>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</si>
  <si>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</si>
  <si>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</si>
  <si>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</si>
  <si>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</si>
  <si>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</si>
  <si>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</si>
  <si>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</si>
  <si>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</si>
  <si>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</si>
  <si>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</si>
  <si>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</si>
  <si>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</si>
  <si>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odměny vč. refundací a náhrad mezd v době nemoci</t>
  </si>
  <si>
    <t>platy zam.a ost.pl.za prov.práci vč.náhr.mezd v době nem.</t>
  </si>
  <si>
    <t>splátky úvěru</t>
  </si>
  <si>
    <t>GG VK 3.2 - Podpora nabídky dalšího vzdělávání - SR</t>
  </si>
  <si>
    <t>Projekt technické pomoci OPPS ČR-PR 2007-2013 - SR</t>
  </si>
  <si>
    <t>podpora výuky cizích jazyků - SR</t>
  </si>
  <si>
    <t xml:space="preserve">  z MDO</t>
  </si>
  <si>
    <t>úhrada ztráty ve veřejné železniční os.dopravě - SR</t>
  </si>
  <si>
    <t>příjmy z pronájmu majetku - odv.zdravotnictví</t>
  </si>
  <si>
    <t>kap. 49 - Regionální inovační fond KHK</t>
  </si>
  <si>
    <t>OPVK 1.4 - zlepšení podm.pro vzděl.na ZŠ - SR</t>
  </si>
  <si>
    <t xml:space="preserve">GG1.3.OPVK-Další vzděl.prac.škol a zař. - SR </t>
  </si>
  <si>
    <t xml:space="preserve">GG 1.1.OPVK-Zvyšování kvality ve vzděl.- SR </t>
  </si>
  <si>
    <t>OP LZZ - vzdělávání v eGON centrech krajů - SR</t>
  </si>
  <si>
    <t>OPVK - cizí jazyky v podm.Společ.evrop.refer.rámce-SR</t>
  </si>
  <si>
    <t>nedaňové příjmy odvětví zdravotnictví</t>
  </si>
  <si>
    <t>OPVK-spolupr.VOŠ,VŠ a zaměst.při modern.vzděl.progr.-SR</t>
  </si>
  <si>
    <t xml:space="preserve">GG 1.2.OPVK-Rovné příl.dětí a ž.se sp.potř. - SR </t>
  </si>
  <si>
    <t>školní vybavení pro žáky 1.ročníku zákl.vzděl. - SR</t>
  </si>
  <si>
    <t>krajský program prevence kriminality - SR</t>
  </si>
  <si>
    <t xml:space="preserve">OP VK 5. 2. - Publicita a informovanost - SR </t>
  </si>
  <si>
    <t xml:space="preserve">OP VK 5.3. - Podpora tvorby a přípravy projektů - SR 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</si>
  <si>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</si>
  <si>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</si>
  <si>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</si>
  <si>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doprava</t>
  </si>
  <si>
    <t>nedaňové příjmy odvětví životní prostředí</t>
  </si>
  <si>
    <t>nedaňové příjmy odvětví soc.věci</t>
  </si>
  <si>
    <t xml:space="preserve">                        doprava</t>
  </si>
  <si>
    <t xml:space="preserve">                        kultura</t>
  </si>
  <si>
    <t xml:space="preserve">                        soc.věci</t>
  </si>
  <si>
    <t xml:space="preserve">  odvětví doprava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</si>
  <si>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</si>
  <si>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</si>
  <si>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</si>
  <si>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</si>
  <si>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</si>
  <si>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LABEL - transfery ze zahraničí</t>
  </si>
  <si>
    <t>OP LZZ - zvýš.kvality řízení v úřadech úz.veř.spr.-SR</t>
  </si>
  <si>
    <t xml:space="preserve">ROP silnice a mosty - vratka dotace RRRS SV </t>
  </si>
  <si>
    <t>neinvestiční dotace Krajskému ředitelství policie KHK</t>
  </si>
  <si>
    <t>neinvestiční dar Krajskému ředitelství policie KHK</t>
  </si>
  <si>
    <t>investiční dotace Krajskému ředitelství policie KHK</t>
  </si>
  <si>
    <t>nedaňové příjmy FRR - odvětví školství</t>
  </si>
  <si>
    <t>inkluz.vzděl.a vzděl.žáků se sociokult.znevýhodněním - SR</t>
  </si>
  <si>
    <t>ukončování střed.vzděl.mat.zk.v podzimním zkuš.obd. - SR</t>
  </si>
  <si>
    <t>pokusné ověř. inter.a inkluz.modelu škol pro spec.ped.a psych.-SR</t>
  </si>
  <si>
    <t xml:space="preserve">  od krajů</t>
  </si>
  <si>
    <t>5. změna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</si>
  <si>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</si>
  <si>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</si>
  <si>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</si>
  <si>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</si>
  <si>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</si>
  <si>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OPVK 1.5 - zlepšení podm.pro vzděl.na SŠ - SR</t>
  </si>
  <si>
    <t>excelence středních škol - SR</t>
  </si>
  <si>
    <t>kap. 21 - investice a evropské projekty</t>
  </si>
  <si>
    <t>kap. 48 - Dotační fond KHK</t>
  </si>
  <si>
    <t xml:space="preserve">neinvestiční transfery a.s. ZOO Dvůr Králové n. L. </t>
  </si>
  <si>
    <t>kap. 13 - evropská integrace a globální granty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</si>
  <si>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</si>
  <si>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</si>
  <si>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</si>
  <si>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</si>
  <si>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</si>
  <si>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</si>
  <si>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</si>
  <si>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 xml:space="preserve">rezerva - a. s. </t>
  </si>
  <si>
    <t>energetika</t>
  </si>
  <si>
    <t>EPC</t>
  </si>
  <si>
    <t>kapitál.výd. - energetika</t>
  </si>
  <si>
    <t xml:space="preserve">                 činnost KÚ</t>
  </si>
  <si>
    <t xml:space="preserve">                 kultura</t>
  </si>
  <si>
    <t xml:space="preserve">                 org. 9999, org. 7777</t>
  </si>
  <si>
    <t xml:space="preserve">             org. 7777</t>
  </si>
  <si>
    <t>SU AU</t>
  </si>
  <si>
    <t>ÚZ</t>
  </si>
  <si>
    <t>ÚZ 70</t>
  </si>
  <si>
    <t>org. 21</t>
  </si>
  <si>
    <t>org. 60</t>
  </si>
  <si>
    <t>OP VK 5.1. - Technická pomoc - administrace 2 - SR 2013</t>
  </si>
  <si>
    <t xml:space="preserve">OP VK 5.1. - Technická pomoc - administrace 2 - SR </t>
  </si>
  <si>
    <t>asistenti ped.v soukromých a círk.spec.školách - SR</t>
  </si>
  <si>
    <t>asistenti ped.pro děti,žáky a stud.se sociál.znevýh. - SR</t>
  </si>
  <si>
    <t>podpora soc.znevýh.romských žáků SŠ a stud.VOŠ - SR</t>
  </si>
  <si>
    <t>OP LZZ - rozvoj lektorského týmu - SR 2013</t>
  </si>
  <si>
    <t xml:space="preserve">OP LZZ - rozvoj lektorského týmu - SR </t>
  </si>
  <si>
    <t xml:space="preserve">             školství</t>
  </si>
  <si>
    <t xml:space="preserve">             evropská integrace - ostatní</t>
  </si>
  <si>
    <t xml:space="preserve">  z toho: CIRI, PO</t>
  </si>
  <si>
    <t>průmyslová zóna Kvasiny</t>
  </si>
  <si>
    <t>Digitální planetárium - SR 2013</t>
  </si>
  <si>
    <t>OJ 62</t>
  </si>
  <si>
    <t>OJ 61</t>
  </si>
  <si>
    <t>OP LZZ Rozvoj dostup.a kvality soc.sl.v KHK III - SR 2013</t>
  </si>
  <si>
    <t>OP LZZ Rozvoj dostup.a kvality soc.sl.v KHK IV - SR 2013</t>
  </si>
  <si>
    <t>OP LZZ Služby soc.prevence v KHK II - SR 2013</t>
  </si>
  <si>
    <t>OP LZZ Podpora soc.integr.obyv.vylouč.lok.v KHK III - SR r.2013</t>
  </si>
  <si>
    <t>Česko-slovenská výměna zkuš.v obl.práce a soc.věcí-SR 2013</t>
  </si>
  <si>
    <t>1400+0100</t>
  </si>
  <si>
    <t>příspěvek PO na provoz - CIRI</t>
  </si>
  <si>
    <t xml:space="preserve">                                   - CIRI - centrum sdíl.služeb</t>
  </si>
  <si>
    <t xml:space="preserve">             kultura</t>
  </si>
  <si>
    <t>GG VK 3.2 - Podpora nabídky dalšího vzdělávání - SR 2013</t>
  </si>
  <si>
    <t>Projekt technické pomoci OPPS ČR-PR 2007-2013 - SR 2013</t>
  </si>
  <si>
    <t>OP VK 5.3. - Podpora tvorby a přípravy projektů - SR 2013</t>
  </si>
  <si>
    <t>2GG 1.1.OPVK-Zvyšování kvality ve vzděl.II. - SR 2013</t>
  </si>
  <si>
    <t>2GG 1.2.OPVK-Rovné příl.dětí a ž.se sp.potř. II. - SR 2013</t>
  </si>
  <si>
    <t>2GG1.3.OPVK-Další vzděl.prac.škol a zař.  II. - SR 2013</t>
  </si>
  <si>
    <t>GG 1.2.OPVK-Rovné přílež.dětí a ž.se sp.potř.- SR r.2013</t>
  </si>
  <si>
    <t>Strategie integr.spolupr.česko-polského příhr.- SR  2013</t>
  </si>
  <si>
    <t>OP VK - Podpora přírod.a techn. vzdělávání v KHK - SR 2013</t>
  </si>
  <si>
    <t>org.57</t>
  </si>
  <si>
    <t>kap. 39 - regionální rozvoj a cestovní ruch</t>
  </si>
  <si>
    <t xml:space="preserve">OP LZZ Rozvoj dostup.a kvality soc.sl.v KHK IV - SR </t>
  </si>
  <si>
    <t>OP LZZ Podpora činnosti orgánu soc.právní ochrany dětí - SR</t>
  </si>
  <si>
    <t>půjčené prostředky obcím na předfinancování</t>
  </si>
  <si>
    <t>Požární stanice a ZZS Vrchlabí</t>
  </si>
  <si>
    <t xml:space="preserve">             sociální věci</t>
  </si>
  <si>
    <t xml:space="preserve">                 zdravotnictví</t>
  </si>
  <si>
    <t xml:space="preserve">             zdravotnictví</t>
  </si>
  <si>
    <t>OP LZZ Příprava transf. Domova na Stříbrném vrchu - SR</t>
  </si>
  <si>
    <t>OP LZZ Příprava transformace ÚSP Kvasiny - SR</t>
  </si>
  <si>
    <t xml:space="preserve">OP LZZ Rozvoj dostup.a kvality soc.sl.v KHK III - SR </t>
  </si>
  <si>
    <t xml:space="preserve">                 CIRI, PO</t>
  </si>
  <si>
    <t xml:space="preserve">                 org. 8888</t>
  </si>
  <si>
    <t xml:space="preserve">  v tom: životní prostředí a zemědělství</t>
  </si>
  <si>
    <t xml:space="preserve">            vrcholový sport</t>
  </si>
  <si>
    <t xml:space="preserve">            sport a tělovýchova</t>
  </si>
  <si>
    <t xml:space="preserve">            volnočasové aktivity</t>
  </si>
  <si>
    <t xml:space="preserve">            cestovní ruch</t>
  </si>
  <si>
    <t xml:space="preserve">            školství</t>
  </si>
  <si>
    <t xml:space="preserve">            kultura</t>
  </si>
  <si>
    <t xml:space="preserve">            regionální rozvoj</t>
  </si>
  <si>
    <t xml:space="preserve">            program obnovy venkova</t>
  </si>
  <si>
    <t>HZS KHK - Rekonstr.stadionu pro výcvik a pož.sport v HK</t>
  </si>
  <si>
    <t xml:space="preserve">ostatní kapitálové výdaje </t>
  </si>
  <si>
    <t xml:space="preserve">           program obnovy venkova</t>
  </si>
  <si>
    <t xml:space="preserve">  v tom: volnočasové aktivity</t>
  </si>
  <si>
    <t xml:space="preserve">OP LZZ Služby soc.prevence v KHK II - SR </t>
  </si>
  <si>
    <t xml:space="preserve">OP LZZ Podpora soc.integr.obyv.vylouč.lok.v KHK III - SR </t>
  </si>
  <si>
    <t xml:space="preserve">Digitální planetárium - SR </t>
  </si>
  <si>
    <t>Centrum krajky - RRRS SV</t>
  </si>
  <si>
    <t>odstraňování škod po povodních v červnu 2013 - SFDI - SR</t>
  </si>
  <si>
    <t>OPVK - E-learning a kreditní systém do VOŠ - SR</t>
  </si>
  <si>
    <t>podpora implem.etické výchovy do vzděl.v ZŠ a G - SR</t>
  </si>
  <si>
    <t>podpora logopedické prevence v předš.vzděl. - SR</t>
  </si>
  <si>
    <t xml:space="preserve">2GG 1.2.OPVK-Rovné příl.dětí a ž.se sp.potř. II. - SR </t>
  </si>
  <si>
    <t xml:space="preserve">2GG1.3.OPVK-Další vzděl.prac.škol a zař.  II. - SR </t>
  </si>
  <si>
    <t xml:space="preserve">2GG 1.1.OPVK-Zvyšování kvality ve vzděl.II. - SR </t>
  </si>
  <si>
    <t xml:space="preserve">OP VK - Podpora přírod.a techn. vzdělávání v KHK - SR </t>
  </si>
  <si>
    <t>neinvestiční půjčené prostředky</t>
  </si>
  <si>
    <t xml:space="preserve">Česko-slovenská výměna zkuš.v obl.práce a soc.věcí-SR </t>
  </si>
  <si>
    <t>podpora odborného vzdělávání v roce 2014 - SR</t>
  </si>
  <si>
    <t>bezpl.výuka přizpůs.potřebám žáků - cizinců třetích zemí - SR</t>
  </si>
  <si>
    <t>nedaňové příjmy odvětví zastupitelstvo kraje</t>
  </si>
  <si>
    <t>projekt Operační středisko ZZS KHK - SR</t>
  </si>
  <si>
    <t>OP LZZ Komplex.vzděl.prac. DD Albrechtice n.O. - SR</t>
  </si>
  <si>
    <t xml:space="preserve">  z MZV</t>
  </si>
  <si>
    <t>přenos zkušeností s čerpáním prostředků EU-Banát - SR</t>
  </si>
  <si>
    <t>nedaňové příjmy odvětví regionální rozvoj a cest.ruch</t>
  </si>
  <si>
    <t xml:space="preserve">                        investice</t>
  </si>
  <si>
    <t xml:space="preserve">                 správa majetku kraje</t>
  </si>
  <si>
    <t>volby do Evropského parlamentu - SR</t>
  </si>
  <si>
    <t xml:space="preserve">            životní prostředí a zemědělství</t>
  </si>
  <si>
    <t xml:space="preserve">             poplatky</t>
  </si>
  <si>
    <t xml:space="preserve">   v tom: rezerva investiční</t>
  </si>
  <si>
    <t xml:space="preserve">  z MZdr.</t>
  </si>
  <si>
    <t>připravenost poskyt. ZZS na mimoř.a krizové situace - SR</t>
  </si>
  <si>
    <t>další cizí jazyk Rámcového vzděl.programu pro zákl.vzděl.-SR</t>
  </si>
  <si>
    <t>podpora školních psychologů a sp.pedagogů - SR</t>
  </si>
  <si>
    <t xml:space="preserve">  z Úřadu práce</t>
  </si>
  <si>
    <t>poskytovatelé sociálních služeb dle Z.108/2006 Sb. - SR</t>
  </si>
  <si>
    <t>nedaňové příjmy odvětví investic</t>
  </si>
  <si>
    <t xml:space="preserve">  od DSO</t>
  </si>
  <si>
    <t>odstraňování škod po povodních v červnu 2013 - SR</t>
  </si>
  <si>
    <t xml:space="preserve">Strategie integr.spolupr.česko-polského příhr.- SR  </t>
  </si>
  <si>
    <t>preventivní ochrana před nepříznivými vlivy prostředí - SR</t>
  </si>
  <si>
    <t xml:space="preserve">investiční transfery a.s. ZOO Dvůr Králové n. L. </t>
  </si>
  <si>
    <t>průmyslová zóna Kvasiny III.</t>
  </si>
  <si>
    <t>nedaňové příjmy odvětví dotační fond</t>
  </si>
  <si>
    <t>nedaňové příjmy odv.evropské integrace a GG</t>
  </si>
  <si>
    <t>volby do Senátu PČR a zastupitelstev obcí</t>
  </si>
  <si>
    <t>zvýšení platů pedagog. pracovníků region.školství - SR</t>
  </si>
  <si>
    <t xml:space="preserve">OP LZZ Služby soc.prevence v KHK III - SR </t>
  </si>
  <si>
    <t>podpora enviromentálního vzdělávání, výchovy a osvěty-SR</t>
  </si>
  <si>
    <t>zvýšení platů pracovníků region.školství - SR</t>
  </si>
  <si>
    <t>LABEL - evropská jazyková cena</t>
  </si>
  <si>
    <t>Transformace Barevných domků Hajnice - SR</t>
  </si>
  <si>
    <t>Transformace ÚSP pro těl.postiž. Hořice v Podkrk. - SR</t>
  </si>
  <si>
    <t>průmyslová zóna Vrchlabí - SR</t>
  </si>
  <si>
    <t>OPVK - Škola na dotek - SR</t>
  </si>
  <si>
    <t>Skutečnost</t>
  </si>
  <si>
    <t>%</t>
  </si>
  <si>
    <t>Tabulka č. 1</t>
  </si>
  <si>
    <t>ČERPÁNÍ ROZPOČTU KRÁLOVÉHRADECKÉHO KRAJE</t>
  </si>
  <si>
    <t>k 31. 12.  2014</t>
  </si>
  <si>
    <t>Upravený</t>
  </si>
  <si>
    <t>k 31.12.2014</t>
  </si>
  <si>
    <t>správní poplatky</t>
  </si>
  <si>
    <t>sdílené daně</t>
  </si>
  <si>
    <t>x</t>
  </si>
  <si>
    <t>nedaňové příjmy odvětví kultura</t>
  </si>
  <si>
    <t>nedaňové příjmy ostatní</t>
  </si>
  <si>
    <t>4800+org.120</t>
  </si>
  <si>
    <t xml:space="preserve">  z MDO obce</t>
  </si>
  <si>
    <t xml:space="preserve">OP LZZ - zvýš.kvality řízení v úřadech úz.veř.spr.-SR </t>
  </si>
  <si>
    <t>odborná praxe pro mladé do 30 let v KHK - SR</t>
  </si>
  <si>
    <t xml:space="preserve">GG 1.2.OPVK-Rovné příl.dětí a ž.se sp.potř.-SR </t>
  </si>
  <si>
    <t xml:space="preserve">GG 1.1.OPVK-Zvyšování kvality ve vzdělávání - SR </t>
  </si>
  <si>
    <t>2GG 1.1.OPVK-Zvyšování kvality ve vzděl.II. - SR</t>
  </si>
  <si>
    <t>Modernizace a dostavba ON Náchod ( UR úvěr 50 mil.)</t>
  </si>
  <si>
    <t xml:space="preserve">rezerva </t>
  </si>
  <si>
    <t>společný program na výměnu kotlů v KHK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</si>
</sst>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#,##0.00_ ;\-#,##0.00\ "/>
    <numFmt numFmtId="169" formatCode="#,##0.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b/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5">
    <xf numFmtId="3" fontId="0" fillId="0" borderId="0" xfId="0" applyAlignment="1">
      <alignment/>
    </xf>
    <xf numFmtId="3" fontId="0" fillId="0" borderId="0" xfId="0" applyAlignment="1">
      <alignment horizontal="right"/>
    </xf>
    <xf numFmtId="3" fontId="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4" fillId="0" borderId="10" xfId="0" applyFont="1" applyBorder="1" applyAlignment="1">
      <alignment/>
    </xf>
    <xf numFmtId="3" fontId="5" fillId="0" borderId="10" xfId="0" applyFont="1" applyBorder="1" applyAlignment="1">
      <alignment/>
    </xf>
    <xf numFmtId="3" fontId="0" fillId="0" borderId="10" xfId="0" applyFont="1" applyBorder="1" applyAlignment="1">
      <alignment/>
    </xf>
    <xf numFmtId="3" fontId="0" fillId="0" borderId="10" xfId="0" applyBorder="1" applyAlignment="1">
      <alignment/>
    </xf>
    <xf numFmtId="3" fontId="4" fillId="0" borderId="10" xfId="0" applyFont="1" applyBorder="1" applyAlignment="1">
      <alignment/>
    </xf>
    <xf numFmtId="3" fontId="5" fillId="0" borderId="10" xfId="0" applyFont="1" applyBorder="1" applyAlignment="1">
      <alignment/>
    </xf>
    <xf numFmtId="3" fontId="0" fillId="0" borderId="11" xfId="0" applyBorder="1" applyAlignment="1">
      <alignment/>
    </xf>
    <xf numFmtId="3" fontId="0" fillId="0" borderId="10" xfId="0" applyFont="1" applyBorder="1" applyAlignment="1">
      <alignment/>
    </xf>
    <xf numFmtId="3" fontId="3" fillId="0" borderId="12" xfId="0" applyFont="1" applyBorder="1" applyAlignment="1">
      <alignment vertical="center"/>
    </xf>
    <xf numFmtId="3" fontId="6" fillId="0" borderId="10" xfId="0" applyFont="1" applyBorder="1" applyAlignment="1">
      <alignment/>
    </xf>
    <xf numFmtId="3" fontId="6" fillId="0" borderId="10" xfId="0" applyFont="1" applyBorder="1" applyAlignment="1">
      <alignment/>
    </xf>
    <xf numFmtId="3" fontId="7" fillId="0" borderId="10" xfId="0" applyFont="1" applyBorder="1" applyAlignment="1">
      <alignment/>
    </xf>
    <xf numFmtId="3" fontId="0" fillId="0" borderId="11" xfId="0" applyFont="1" applyBorder="1" applyAlignment="1">
      <alignment/>
    </xf>
    <xf numFmtId="3" fontId="4" fillId="0" borderId="10" xfId="0" applyFont="1" applyFill="1" applyBorder="1" applyAlignment="1">
      <alignment/>
    </xf>
    <xf numFmtId="3" fontId="0" fillId="0" borderId="10" xfId="0" applyFill="1" applyBorder="1" applyAlignment="1">
      <alignment/>
    </xf>
    <xf numFmtId="3" fontId="4" fillId="0" borderId="12" xfId="0" applyFont="1" applyBorder="1" applyAlignment="1">
      <alignment/>
    </xf>
    <xf numFmtId="3" fontId="2" fillId="0" borderId="13" xfId="0" applyFont="1" applyBorder="1" applyAlignment="1">
      <alignment vertical="center"/>
    </xf>
    <xf numFmtId="3" fontId="4" fillId="0" borderId="13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0" xfId="0" applyFont="1" applyBorder="1" applyAlignment="1">
      <alignment vertical="center"/>
    </xf>
    <xf numFmtId="3" fontId="0" fillId="0" borderId="10" xfId="0" applyFont="1" applyBorder="1" applyAlignment="1">
      <alignment vertical="center"/>
    </xf>
    <xf numFmtId="3" fontId="0" fillId="0" borderId="10" xfId="0" applyBorder="1" applyAlignment="1">
      <alignment vertical="center"/>
    </xf>
    <xf numFmtId="3" fontId="7" fillId="0" borderId="10" xfId="0" applyFont="1" applyBorder="1" applyAlignment="1">
      <alignment/>
    </xf>
    <xf numFmtId="3" fontId="4" fillId="0" borderId="10" xfId="0" applyFont="1" applyBorder="1" applyAlignment="1">
      <alignment horizontal="left" vertical="center"/>
    </xf>
    <xf numFmtId="3" fontId="46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12" xfId="0" applyBorder="1" applyAlignment="1">
      <alignment vertical="center"/>
    </xf>
    <xf numFmtId="3" fontId="47" fillId="0" borderId="0" xfId="0" applyFont="1" applyAlignment="1">
      <alignment/>
    </xf>
    <xf numFmtId="3" fontId="0" fillId="0" borderId="10" xfId="0" applyFont="1" applyBorder="1" applyAlignment="1">
      <alignment/>
    </xf>
    <xf numFmtId="3" fontId="9" fillId="0" borderId="13" xfId="0" applyFont="1" applyBorder="1" applyAlignment="1">
      <alignment horizontal="center" vertical="center"/>
    </xf>
    <xf numFmtId="3" fontId="9" fillId="0" borderId="14" xfId="0" applyFont="1" applyBorder="1" applyAlignment="1">
      <alignment horizontal="center" vertical="center"/>
    </xf>
    <xf numFmtId="3" fontId="9" fillId="0" borderId="10" xfId="0" applyFont="1" applyBorder="1" applyAlignment="1">
      <alignment horizontal="center" vertical="center"/>
    </xf>
    <xf numFmtId="3" fontId="9" fillId="0" borderId="12" xfId="0" applyFont="1" applyBorder="1" applyAlignment="1">
      <alignment horizontal="center" vertical="center"/>
    </xf>
    <xf numFmtId="3" fontId="7" fillId="0" borderId="10" xfId="0" applyFont="1" applyBorder="1" applyAlignment="1">
      <alignment horizontal="center" vertical="center"/>
    </xf>
    <xf numFmtId="3" fontId="7" fillId="0" borderId="0" xfId="0" applyFont="1" applyAlignment="1">
      <alignment/>
    </xf>
    <xf numFmtId="168" fontId="0" fillId="0" borderId="0" xfId="0" applyNumberFormat="1" applyAlignment="1">
      <alignment/>
    </xf>
    <xf numFmtId="3" fontId="0" fillId="0" borderId="0" xfId="0" applyFill="1" applyAlignment="1">
      <alignment/>
    </xf>
    <xf numFmtId="167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3" fontId="0" fillId="0" borderId="11" xfId="0" applyFont="1" applyBorder="1" applyAlignment="1">
      <alignment/>
    </xf>
    <xf numFmtId="168" fontId="0" fillId="0" borderId="0" xfId="0" applyNumberFormat="1" applyFill="1" applyAlignment="1">
      <alignment/>
    </xf>
    <xf numFmtId="3" fontId="0" fillId="0" borderId="11" xfId="0" applyFont="1" applyBorder="1" applyAlignment="1">
      <alignment/>
    </xf>
    <xf numFmtId="3" fontId="0" fillId="0" borderId="0" xfId="0" applyAlignment="1">
      <alignment/>
    </xf>
    <xf numFmtId="3" fontId="0" fillId="0" borderId="0" xfId="0" applyFill="1" applyAlignment="1">
      <alignment/>
    </xf>
    <xf numFmtId="165" fontId="0" fillId="0" borderId="0" xfId="38" applyNumberFormat="1" applyAlignment="1">
      <alignment/>
    </xf>
    <xf numFmtId="166" fontId="0" fillId="0" borderId="10" xfId="0" applyNumberFormat="1" applyFont="1" applyBorder="1" applyAlignment="1">
      <alignment/>
    </xf>
    <xf numFmtId="3" fontId="0" fillId="0" borderId="0" xfId="0" applyFont="1" applyAlignment="1">
      <alignment/>
    </xf>
    <xf numFmtId="166" fontId="0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3" fontId="4" fillId="0" borderId="14" xfId="0" applyFont="1" applyBorder="1" applyAlignment="1">
      <alignment horizontal="center" vertical="center"/>
    </xf>
    <xf numFmtId="3" fontId="0" fillId="0" borderId="12" xfId="0" applyBorder="1" applyAlignment="1">
      <alignment horizontal="center" vertical="center"/>
    </xf>
    <xf numFmtId="4" fontId="0" fillId="0" borderId="14" xfId="0" applyNumberFormat="1" applyBorder="1" applyAlignment="1">
      <alignment/>
    </xf>
    <xf numFmtId="4" fontId="2" fillId="0" borderId="10" xfId="38" applyNumberFormat="1" applyFont="1" applyBorder="1" applyAlignment="1">
      <alignment vertical="center"/>
    </xf>
    <xf numFmtId="4" fontId="2" fillId="0" borderId="12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166" fontId="0" fillId="0" borderId="14" xfId="0" applyNumberFormat="1" applyFont="1" applyBorder="1" applyAlignment="1">
      <alignment/>
    </xf>
    <xf numFmtId="165" fontId="4" fillId="0" borderId="14" xfId="38" applyNumberFormat="1" applyFont="1" applyBorder="1" applyAlignment="1">
      <alignment horizontal="center"/>
    </xf>
    <xf numFmtId="165" fontId="4" fillId="0" borderId="14" xfId="38" applyNumberFormat="1" applyFont="1" applyFill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12" xfId="38" applyNumberFormat="1" applyFont="1" applyFill="1" applyBorder="1" applyAlignment="1">
      <alignment horizontal="center"/>
    </xf>
    <xf numFmtId="165" fontId="4" fillId="0" borderId="10" xfId="38" applyNumberFormat="1" applyFont="1" applyBorder="1" applyAlignment="1">
      <alignment horizontal="center"/>
    </xf>
    <xf numFmtId="168" fontId="4" fillId="0" borderId="10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7" fontId="0" fillId="0" borderId="10" xfId="0" applyNumberFormat="1" applyFill="1" applyBorder="1" applyAlignment="1">
      <alignment/>
    </xf>
    <xf numFmtId="168" fontId="0" fillId="0" borderId="10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68" fontId="4" fillId="0" borderId="10" xfId="38" applyNumberFormat="1" applyFont="1" applyFill="1" applyBorder="1" applyAlignment="1">
      <alignment/>
    </xf>
    <xf numFmtId="168" fontId="0" fillId="0" borderId="10" xfId="0" applyNumberFormat="1" applyFill="1" applyBorder="1" applyAlignment="1">
      <alignment/>
    </xf>
    <xf numFmtId="4" fontId="0" fillId="0" borderId="10" xfId="38" applyNumberFormat="1" applyFont="1" applyBorder="1" applyAlignment="1">
      <alignment/>
    </xf>
    <xf numFmtId="168" fontId="0" fillId="0" borderId="10" xfId="38" applyNumberFormat="1" applyFont="1" applyFill="1" applyBorder="1" applyAlignment="1">
      <alignment/>
    </xf>
    <xf numFmtId="168" fontId="4" fillId="0" borderId="10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168" fontId="4" fillId="0" borderId="10" xfId="38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168" fontId="0" fillId="0" borderId="10" xfId="38" applyNumberFormat="1" applyFont="1" applyBorder="1" applyAlignment="1">
      <alignment/>
    </xf>
    <xf numFmtId="168" fontId="3" fillId="0" borderId="12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168" fontId="3" fillId="0" borderId="12" xfId="38" applyNumberFormat="1" applyFont="1" applyFill="1" applyBorder="1" applyAlignment="1">
      <alignment vertical="center"/>
    </xf>
    <xf numFmtId="3" fontId="9" fillId="0" borderId="10" xfId="0" applyFont="1" applyBorder="1" applyAlignment="1">
      <alignment/>
    </xf>
    <xf numFmtId="168" fontId="6" fillId="0" borderId="10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3" fontId="7" fillId="0" borderId="10" xfId="0" applyFont="1" applyBorder="1" applyAlignment="1">
      <alignment horizontal="center"/>
    </xf>
    <xf numFmtId="3" fontId="9" fillId="0" borderId="10" xfId="0" applyFont="1" applyBorder="1" applyAlignment="1">
      <alignment horizontal="center"/>
    </xf>
    <xf numFmtId="168" fontId="6" fillId="0" borderId="10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3" fontId="7" fillId="0" borderId="11" xfId="0" applyFont="1" applyBorder="1" applyAlignment="1">
      <alignment horizontal="center"/>
    </xf>
    <xf numFmtId="168" fontId="0" fillId="0" borderId="1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168" fontId="0" fillId="0" borderId="11" xfId="0" applyNumberFormat="1" applyFill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7" fillId="0" borderId="10" xfId="38" applyNumberFormat="1" applyFont="1" applyBorder="1" applyAlignment="1">
      <alignment/>
    </xf>
    <xf numFmtId="168" fontId="7" fillId="0" borderId="10" xfId="38" applyNumberFormat="1" applyFont="1" applyBorder="1" applyAlignment="1">
      <alignment/>
    </xf>
    <xf numFmtId="168" fontId="0" fillId="0" borderId="12" xfId="38" applyNumberFormat="1" applyFont="1" applyBorder="1" applyAlignment="1">
      <alignment/>
    </xf>
    <xf numFmtId="4" fontId="0" fillId="0" borderId="12" xfId="38" applyNumberFormat="1" applyFont="1" applyBorder="1" applyAlignment="1">
      <alignment/>
    </xf>
    <xf numFmtId="168" fontId="0" fillId="0" borderId="11" xfId="38" applyNumberFormat="1" applyFont="1" applyBorder="1" applyAlignment="1">
      <alignment/>
    </xf>
    <xf numFmtId="168" fontId="0" fillId="0" borderId="11" xfId="38" applyNumberFormat="1" applyFont="1" applyFill="1" applyBorder="1" applyAlignment="1">
      <alignment/>
    </xf>
    <xf numFmtId="3" fontId="9" fillId="0" borderId="10" xfId="0" applyFont="1" applyFill="1" applyBorder="1" applyAlignment="1">
      <alignment horizontal="center"/>
    </xf>
    <xf numFmtId="3" fontId="7" fillId="0" borderId="11" xfId="0" applyFont="1" applyBorder="1" applyAlignment="1">
      <alignment/>
    </xf>
    <xf numFmtId="168" fontId="6" fillId="0" borderId="10" xfId="38" applyNumberFormat="1" applyFont="1" applyFill="1" applyBorder="1" applyAlignment="1">
      <alignment/>
    </xf>
    <xf numFmtId="168" fontId="0" fillId="0" borderId="10" xfId="38" applyNumberFormat="1" applyFont="1" applyFill="1" applyBorder="1" applyAlignment="1">
      <alignment/>
    </xf>
    <xf numFmtId="3" fontId="7" fillId="0" borderId="10" xfId="0" applyFont="1" applyFill="1" applyBorder="1" applyAlignment="1">
      <alignment horizontal="center"/>
    </xf>
    <xf numFmtId="168" fontId="4" fillId="0" borderId="15" xfId="38" applyNumberFormat="1" applyFont="1" applyBorder="1" applyAlignment="1">
      <alignment/>
    </xf>
    <xf numFmtId="4" fontId="4" fillId="0" borderId="15" xfId="38" applyNumberFormat="1" applyFont="1" applyBorder="1" applyAlignment="1">
      <alignment/>
    </xf>
    <xf numFmtId="168" fontId="4" fillId="0" borderId="15" xfId="38" applyNumberFormat="1" applyFont="1" applyBorder="1" applyAlignment="1">
      <alignment/>
    </xf>
    <xf numFmtId="168" fontId="2" fillId="0" borderId="13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168" fontId="4" fillId="0" borderId="13" xfId="38" applyNumberFormat="1" applyFont="1" applyBorder="1" applyAlignment="1">
      <alignment vertical="center"/>
    </xf>
    <xf numFmtId="4" fontId="4" fillId="0" borderId="13" xfId="38" applyNumberFormat="1" applyFont="1" applyBorder="1" applyAlignment="1">
      <alignment vertical="center"/>
    </xf>
    <xf numFmtId="168" fontId="3" fillId="0" borderId="13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168" fontId="2" fillId="0" borderId="14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168" fontId="2" fillId="0" borderId="10" xfId="38" applyNumberFormat="1" applyFont="1" applyBorder="1" applyAlignment="1">
      <alignment vertical="center"/>
    </xf>
    <xf numFmtId="168" fontId="2" fillId="0" borderId="12" xfId="38" applyNumberFormat="1" applyFont="1" applyBorder="1" applyAlignment="1">
      <alignment vertical="center"/>
    </xf>
    <xf numFmtId="168" fontId="3" fillId="0" borderId="14" xfId="38" applyNumberFormat="1" applyFont="1" applyBorder="1" applyAlignment="1">
      <alignment vertical="center"/>
    </xf>
    <xf numFmtId="168" fontId="3" fillId="0" borderId="10" xfId="38" applyNumberFormat="1" applyFont="1" applyBorder="1" applyAlignment="1">
      <alignment vertical="center"/>
    </xf>
    <xf numFmtId="168" fontId="8" fillId="0" borderId="10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168" fontId="8" fillId="0" borderId="10" xfId="38" applyNumberFormat="1" applyFont="1" applyFill="1" applyBorder="1" applyAlignment="1">
      <alignment vertical="center"/>
    </xf>
    <xf numFmtId="3" fontId="7" fillId="0" borderId="12" xfId="0" applyFont="1" applyBorder="1" applyAlignment="1">
      <alignment horizontal="center" vertical="center"/>
    </xf>
    <xf numFmtId="168" fontId="8" fillId="0" borderId="12" xfId="38" applyNumberFormat="1" applyFont="1" applyBorder="1" applyAlignment="1">
      <alignment vertical="center"/>
    </xf>
    <xf numFmtId="4" fontId="8" fillId="0" borderId="12" xfId="38" applyNumberFormat="1" applyFont="1" applyBorder="1" applyAlignment="1">
      <alignment vertical="center"/>
    </xf>
    <xf numFmtId="168" fontId="0" fillId="0" borderId="12" xfId="0" applyNumberFormat="1" applyFill="1" applyBorder="1" applyAlignment="1">
      <alignment/>
    </xf>
    <xf numFmtId="166" fontId="0" fillId="0" borderId="10" xfId="0" applyNumberFormat="1" applyBorder="1" applyAlignment="1">
      <alignment horizontal="center"/>
    </xf>
    <xf numFmtId="3" fontId="5" fillId="0" borderId="10" xfId="0" applyFont="1" applyBorder="1" applyAlignment="1">
      <alignment horizontal="center"/>
    </xf>
    <xf numFmtId="3" fontId="4" fillId="0" borderId="14" xfId="0" applyFont="1" applyFill="1" applyBorder="1" applyAlignment="1">
      <alignment horizontal="center"/>
    </xf>
    <xf numFmtId="3" fontId="4" fillId="0" borderId="12" xfId="0" applyFont="1" applyFill="1" applyBorder="1" applyAlignment="1">
      <alignment horizontal="center"/>
    </xf>
    <xf numFmtId="3" fontId="4" fillId="0" borderId="15" xfId="0" applyFont="1" applyBorder="1" applyAlignment="1" applyProtection="1">
      <alignment/>
      <protection locked="0"/>
    </xf>
    <xf numFmtId="3" fontId="9" fillId="0" borderId="15" xfId="0" applyFont="1" applyBorder="1" applyAlignment="1" applyProtection="1">
      <alignment horizontal="center"/>
      <protection locked="0"/>
    </xf>
    <xf numFmtId="168" fontId="4" fillId="0" borderId="15" xfId="38" applyNumberFormat="1" applyFont="1" applyBorder="1" applyAlignment="1" applyProtection="1">
      <alignment/>
      <protection locked="0"/>
    </xf>
    <xf numFmtId="4" fontId="4" fillId="0" borderId="15" xfId="38" applyNumberFormat="1" applyFont="1" applyBorder="1" applyAlignment="1" applyProtection="1">
      <alignment/>
      <protection locked="0"/>
    </xf>
    <xf numFmtId="3" fontId="0" fillId="0" borderId="0" xfId="0" applyBorder="1" applyAlignment="1" applyProtection="1">
      <alignment/>
      <protection locked="0"/>
    </xf>
    <xf numFmtId="4" fontId="8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166" fontId="8" fillId="0" borderId="10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/>
    </xf>
    <xf numFmtId="166" fontId="4" fillId="0" borderId="15" xfId="0" applyNumberFormat="1" applyFont="1" applyBorder="1" applyAlignment="1" applyProtection="1">
      <alignment/>
      <protection locked="0"/>
    </xf>
    <xf numFmtId="4" fontId="3" fillId="0" borderId="14" xfId="38" applyNumberFormat="1" applyFont="1" applyBorder="1" applyAlignment="1">
      <alignment horizontal="center" vertical="center"/>
    </xf>
    <xf numFmtId="3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166" fontId="0" fillId="0" borderId="12" xfId="0" applyNumberFormat="1" applyBorder="1" applyAlignment="1">
      <alignment horizontal="center"/>
    </xf>
    <xf numFmtId="3" fontId="7" fillId="0" borderId="12" xfId="0" applyFont="1" applyBorder="1" applyAlignment="1">
      <alignment horizontal="center"/>
    </xf>
    <xf numFmtId="166" fontId="0" fillId="0" borderId="12" xfId="0" applyNumberFormat="1" applyFont="1" applyBorder="1" applyAlignment="1">
      <alignment/>
    </xf>
    <xf numFmtId="3" fontId="0" fillId="0" borderId="12" xfId="0" applyFont="1" applyBorder="1" applyAlignment="1">
      <alignment/>
    </xf>
    <xf numFmtId="3" fontId="7" fillId="0" borderId="12" xfId="0" applyFont="1" applyBorder="1" applyAlignment="1">
      <alignment/>
    </xf>
    <xf numFmtId="168" fontId="0" fillId="0" borderId="12" xfId="38" applyNumberFormat="1" applyFont="1" applyBorder="1" applyAlignment="1">
      <alignment/>
    </xf>
    <xf numFmtId="3" fontId="0" fillId="0" borderId="12" xfId="0" applyFont="1" applyBorder="1" applyAlignment="1">
      <alignment/>
    </xf>
    <xf numFmtId="168" fontId="0" fillId="0" borderId="12" xfId="38" applyNumberFormat="1" applyFont="1" applyFill="1" applyBorder="1" applyAlignment="1">
      <alignment/>
    </xf>
    <xf numFmtId="3" fontId="0" fillId="0" borderId="12" xfId="0" applyFont="1" applyBorder="1" applyAlignment="1">
      <alignment/>
    </xf>
    <xf numFmtId="3" fontId="4" fillId="0" borderId="14" xfId="0" applyFont="1" applyBorder="1" applyAlignment="1">
      <alignment horizontal="center" vertical="center"/>
    </xf>
    <xf numFmtId="3" fontId="0" fillId="0" borderId="12" xfId="0" applyBorder="1" applyAlignment="1">
      <alignment horizontal="center" vertical="center"/>
    </xf>
    <xf numFmtId="3" fontId="4" fillId="0" borderId="14" xfId="0" applyFont="1" applyFill="1" applyBorder="1" applyAlignment="1">
      <alignment horizontal="center" vertical="center"/>
    </xf>
    <xf numFmtId="3" fontId="4" fillId="0" borderId="12" xfId="0" applyFont="1" applyFill="1" applyBorder="1" applyAlignment="1">
      <alignment horizontal="center" vertical="center"/>
    </xf>
    <xf numFmtId="3" fontId="10" fillId="11" borderId="0" xfId="0" applyFont="1" applyFill="1" applyAlignment="1">
      <alignment horizontal="center"/>
    </xf>
    <xf numFmtId="3" fontId="0" fillId="11" borderId="0" xfId="0" applyFill="1" applyAlignment="1">
      <alignment horizontal="center"/>
    </xf>
    <xf numFmtId="164" fontId="10" fillId="11" borderId="0" xfId="38" applyFont="1" applyFill="1" applyAlignment="1">
      <alignment horizontal="center"/>
    </xf>
    <xf numFmtId="3" fontId="0" fillId="11" borderId="0" xfId="0" applyFill="1" applyAlignment="1">
      <alignment/>
    </xf>
    <xf numFmtId="165" fontId="0" fillId="0" borderId="0" xfId="0" applyNumberFormat="1" applyAlignment="1">
      <alignment horizontal="center" vertical="center"/>
    </xf>
    <xf numFmtId="3" fontId="0" fillId="0" borderId="0" xfId="0" applyAlignment="1">
      <alignment/>
    </xf>
    <xf numFmtId="3" fontId="0" fillId="0" borderId="0" xfId="0" applyAlignment="1">
      <alignment horizontal="righ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2"/>
  <sheetViews>
    <sheetView tabSelected="1" zoomScaleSheetLayoutView="69" zoomScalePageLayoutView="0" workbookViewId="0" topLeftCell="A281">
      <selection activeCell="X305" sqref="X305"/>
    </sheetView>
  </sheetViews>
  <sheetFormatPr defaultColWidth="9.00390625" defaultRowHeight="12.75"/>
  <cols>
    <col min="1" max="1" width="49.00390625" style="0" customWidth="1"/>
    <col min="2" max="2" width="10.00390625" style="0" hidden="1" customWidth="1"/>
    <col min="3" max="3" width="15.00390625" style="0" customWidth="1"/>
    <col min="4" max="4" width="15.125" style="0" hidden="1" customWidth="1"/>
    <col min="5" max="5" width="12.875" style="0" hidden="1" customWidth="1"/>
    <col min="6" max="6" width="14.875" style="0" hidden="1" customWidth="1"/>
    <col min="7" max="8" width="12.625" style="0" hidden="1" customWidth="1"/>
    <col min="9" max="9" width="15.00390625" style="0" hidden="1" customWidth="1"/>
    <col min="10" max="10" width="13.125" style="0" hidden="1" customWidth="1"/>
    <col min="11" max="11" width="13.375" style="0" hidden="1" customWidth="1"/>
    <col min="12" max="12" width="15.875" style="0" hidden="1" customWidth="1"/>
    <col min="13" max="13" width="14.125" style="0" hidden="1" customWidth="1"/>
    <col min="14" max="14" width="13.50390625" style="0" hidden="1" customWidth="1"/>
    <col min="15" max="15" width="16.375" style="0" hidden="1" customWidth="1"/>
    <col min="16" max="16" width="15.375" style="41" hidden="1" customWidth="1"/>
    <col min="17" max="17" width="15.125" style="0" customWidth="1"/>
    <col min="18" max="18" width="15.50390625" style="0" customWidth="1"/>
    <col min="19" max="19" width="8.50390625" style="0" customWidth="1"/>
  </cols>
  <sheetData>
    <row r="1" spans="1:19" ht="33.75" customHeight="1">
      <c r="A1" s="41"/>
      <c r="B1" s="41"/>
      <c r="C1" s="49"/>
      <c r="F1" s="1" t="s">
        <v>361</v>
      </c>
      <c r="G1" s="47"/>
      <c r="H1" s="47"/>
      <c r="I1" s="1"/>
      <c r="J1" s="47"/>
      <c r="K1" s="47"/>
      <c r="L1" s="1"/>
      <c r="M1" s="47"/>
      <c r="N1" s="47"/>
      <c r="O1" s="1"/>
      <c r="P1" s="48"/>
      <c r="Q1" s="1"/>
      <c r="R1" s="174" t="s">
        <v>361</v>
      </c>
      <c r="S1" s="174"/>
    </row>
    <row r="2" spans="1:19" ht="27" customHeight="1">
      <c r="A2" s="168" t="s">
        <v>362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17.25">
      <c r="A3" s="170" t="s">
        <v>363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6.5" customHeight="1">
      <c r="A4" s="172" t="s">
        <v>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</row>
    <row r="5" spans="1:13" ht="15.75" customHeight="1" thickBot="1">
      <c r="A5" s="2"/>
      <c r="B5" s="2"/>
      <c r="C5" s="3"/>
      <c r="D5" s="3"/>
      <c r="E5" s="3"/>
      <c r="F5" s="3"/>
      <c r="G5" s="29"/>
      <c r="J5" s="32"/>
      <c r="M5" s="29"/>
    </row>
    <row r="6" spans="1:19" ht="12.75">
      <c r="A6" s="164" t="s">
        <v>1</v>
      </c>
      <c r="B6" s="54" t="s">
        <v>242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6</v>
      </c>
      <c r="H6" s="62" t="s">
        <v>4</v>
      </c>
      <c r="I6" s="62" t="s">
        <v>5</v>
      </c>
      <c r="J6" s="62" t="s">
        <v>7</v>
      </c>
      <c r="K6" s="62" t="s">
        <v>4</v>
      </c>
      <c r="L6" s="62" t="s">
        <v>5</v>
      </c>
      <c r="M6" s="62" t="s">
        <v>8</v>
      </c>
      <c r="N6" s="62" t="s">
        <v>4</v>
      </c>
      <c r="O6" s="62" t="s">
        <v>5</v>
      </c>
      <c r="P6" s="63" t="s">
        <v>215</v>
      </c>
      <c r="Q6" s="62" t="s">
        <v>364</v>
      </c>
      <c r="R6" s="135" t="s">
        <v>359</v>
      </c>
      <c r="S6" s="166" t="s">
        <v>360</v>
      </c>
    </row>
    <row r="7" spans="1:19" ht="13.5" thickBot="1">
      <c r="A7" s="165"/>
      <c r="B7" s="55" t="s">
        <v>243</v>
      </c>
      <c r="C7" s="64" t="s">
        <v>9</v>
      </c>
      <c r="D7" s="64" t="s">
        <v>10</v>
      </c>
      <c r="E7" s="64" t="s">
        <v>11</v>
      </c>
      <c r="F7" s="64" t="s">
        <v>12</v>
      </c>
      <c r="G7" s="64" t="s">
        <v>10</v>
      </c>
      <c r="H7" s="64" t="s">
        <v>11</v>
      </c>
      <c r="I7" s="64" t="s">
        <v>13</v>
      </c>
      <c r="J7" s="64" t="s">
        <v>10</v>
      </c>
      <c r="K7" s="64" t="s">
        <v>11</v>
      </c>
      <c r="L7" s="64" t="s">
        <v>14</v>
      </c>
      <c r="M7" s="64" t="s">
        <v>10</v>
      </c>
      <c r="N7" s="64" t="s">
        <v>11</v>
      </c>
      <c r="O7" s="64" t="s">
        <v>15</v>
      </c>
      <c r="P7" s="65" t="s">
        <v>10</v>
      </c>
      <c r="Q7" s="64" t="s">
        <v>9</v>
      </c>
      <c r="R7" s="136" t="s">
        <v>365</v>
      </c>
      <c r="S7" s="167"/>
    </row>
    <row r="8" spans="1:19" ht="15.75" customHeight="1">
      <c r="A8" s="28" t="s">
        <v>16</v>
      </c>
      <c r="B8" s="28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18"/>
      <c r="Q8" s="7"/>
      <c r="R8" s="7"/>
      <c r="S8" s="7"/>
    </row>
    <row r="9" spans="1:19" ht="12.75">
      <c r="A9" s="4" t="s">
        <v>17</v>
      </c>
      <c r="B9" s="4"/>
      <c r="C9" s="67">
        <f>C11+C12</f>
        <v>3019900</v>
      </c>
      <c r="D9" s="67">
        <f aca="true" t="shared" si="0" ref="D9:R9">D11+D12</f>
        <v>24721.7</v>
      </c>
      <c r="E9" s="67">
        <f t="shared" si="0"/>
        <v>0</v>
      </c>
      <c r="F9" s="67">
        <f t="shared" si="0"/>
        <v>24721.7</v>
      </c>
      <c r="G9" s="67">
        <f t="shared" si="0"/>
        <v>0</v>
      </c>
      <c r="H9" s="67">
        <f t="shared" si="0"/>
        <v>0</v>
      </c>
      <c r="I9" s="67">
        <f t="shared" si="0"/>
        <v>24721.7</v>
      </c>
      <c r="J9" s="67">
        <f t="shared" si="0"/>
        <v>0</v>
      </c>
      <c r="K9" s="67">
        <f t="shared" si="0"/>
        <v>0</v>
      </c>
      <c r="L9" s="67">
        <f t="shared" si="0"/>
        <v>24721.7</v>
      </c>
      <c r="M9" s="67">
        <f t="shared" si="0"/>
        <v>0</v>
      </c>
      <c r="N9" s="67">
        <f t="shared" si="0"/>
        <v>0</v>
      </c>
      <c r="O9" s="67">
        <f t="shared" si="0"/>
        <v>3085858.9000000004</v>
      </c>
      <c r="P9" s="67">
        <f t="shared" si="0"/>
        <v>0</v>
      </c>
      <c r="Q9" s="67">
        <f t="shared" si="0"/>
        <v>3085858.9000000004</v>
      </c>
      <c r="R9" s="67">
        <f t="shared" si="0"/>
        <v>3291942.19</v>
      </c>
      <c r="S9" s="148">
        <f>R9/Q9*100</f>
        <v>106.67831215484284</v>
      </c>
    </row>
    <row r="10" spans="1:19" ht="12.75">
      <c r="A10" s="5" t="s">
        <v>34</v>
      </c>
      <c r="B10" s="5"/>
      <c r="C10" s="67"/>
      <c r="D10" s="67"/>
      <c r="E10" s="67"/>
      <c r="F10" s="67"/>
      <c r="G10" s="68"/>
      <c r="H10" s="68"/>
      <c r="I10" s="68"/>
      <c r="J10" s="69"/>
      <c r="K10" s="69"/>
      <c r="L10" s="67"/>
      <c r="M10" s="69"/>
      <c r="N10" s="69"/>
      <c r="O10" s="67"/>
      <c r="P10" s="70"/>
      <c r="Q10" s="60"/>
      <c r="R10" s="60"/>
      <c r="S10" s="50"/>
    </row>
    <row r="11" spans="1:19" ht="12.75">
      <c r="A11" s="33" t="s">
        <v>367</v>
      </c>
      <c r="B11" s="5"/>
      <c r="C11" s="71">
        <v>3019900</v>
      </c>
      <c r="D11" s="67"/>
      <c r="E11" s="67"/>
      <c r="F11" s="67"/>
      <c r="G11" s="68"/>
      <c r="H11" s="68"/>
      <c r="I11" s="68"/>
      <c r="J11" s="69"/>
      <c r="K11" s="69"/>
      <c r="L11" s="67"/>
      <c r="M11" s="69"/>
      <c r="N11" s="69"/>
      <c r="O11" s="71">
        <v>3061137.2</v>
      </c>
      <c r="P11" s="70"/>
      <c r="Q11" s="60">
        <v>3061137.2</v>
      </c>
      <c r="R11" s="60">
        <v>3267220.54</v>
      </c>
      <c r="S11" s="50">
        <f aca="true" t="shared" si="1" ref="S11:S78">R11/Q11*100</f>
        <v>106.73224774113359</v>
      </c>
    </row>
    <row r="12" spans="1:19" ht="12.75">
      <c r="A12" s="6" t="s">
        <v>18</v>
      </c>
      <c r="B12" s="6"/>
      <c r="C12" s="67"/>
      <c r="D12" s="71">
        <v>24721.7</v>
      </c>
      <c r="E12" s="71"/>
      <c r="F12" s="71">
        <f>C12+D12+E12</f>
        <v>24721.7</v>
      </c>
      <c r="G12" s="72"/>
      <c r="H12" s="68"/>
      <c r="I12" s="72">
        <f>F12+G12+H12</f>
        <v>24721.7</v>
      </c>
      <c r="J12" s="73"/>
      <c r="K12" s="69"/>
      <c r="L12" s="71">
        <f>I12+J12+K12</f>
        <v>24721.7</v>
      </c>
      <c r="M12" s="73"/>
      <c r="N12" s="69"/>
      <c r="O12" s="71">
        <f>L12+M12+N12</f>
        <v>24721.7</v>
      </c>
      <c r="P12" s="70"/>
      <c r="Q12" s="60">
        <v>24721.7</v>
      </c>
      <c r="R12" s="60">
        <v>24721.65</v>
      </c>
      <c r="S12" s="50">
        <f t="shared" si="1"/>
        <v>99.99979774853671</v>
      </c>
    </row>
    <row r="13" spans="1:19" ht="12.75">
      <c r="A13" s="8" t="s">
        <v>366</v>
      </c>
      <c r="B13" s="6"/>
      <c r="C13" s="67"/>
      <c r="D13" s="71"/>
      <c r="E13" s="71"/>
      <c r="F13" s="71"/>
      <c r="G13" s="72"/>
      <c r="H13" s="68"/>
      <c r="I13" s="72"/>
      <c r="J13" s="73"/>
      <c r="K13" s="69"/>
      <c r="L13" s="71"/>
      <c r="M13" s="73"/>
      <c r="N13" s="69"/>
      <c r="O13" s="71"/>
      <c r="P13" s="70"/>
      <c r="Q13" s="60"/>
      <c r="R13" s="74">
        <v>1670.47</v>
      </c>
      <c r="S13" s="149" t="s">
        <v>368</v>
      </c>
    </row>
    <row r="14" spans="1:19" ht="12.75">
      <c r="A14" s="4" t="s">
        <v>19</v>
      </c>
      <c r="B14" s="4"/>
      <c r="C14" s="67">
        <f>SUM(C16:C39)</f>
        <v>242944.40000000002</v>
      </c>
      <c r="D14" s="67">
        <f aca="true" t="shared" si="2" ref="D14:P14">SUM(D17:D39)</f>
        <v>18.990000000000002</v>
      </c>
      <c r="E14" s="67">
        <f t="shared" si="2"/>
        <v>727.7</v>
      </c>
      <c r="F14" s="67">
        <f t="shared" si="2"/>
        <v>243691.09</v>
      </c>
      <c r="G14" s="68">
        <f t="shared" si="2"/>
        <v>37994.439999999995</v>
      </c>
      <c r="H14" s="68">
        <f t="shared" si="2"/>
        <v>0</v>
      </c>
      <c r="I14" s="68">
        <f t="shared" si="2"/>
        <v>281685.53</v>
      </c>
      <c r="J14" s="67">
        <f t="shared" si="2"/>
        <v>6745.21</v>
      </c>
      <c r="K14" s="67">
        <f t="shared" si="2"/>
        <v>571.93</v>
      </c>
      <c r="L14" s="67">
        <f t="shared" si="2"/>
        <v>289002.67</v>
      </c>
      <c r="M14" s="67">
        <f t="shared" si="2"/>
        <v>17803.170000000002</v>
      </c>
      <c r="N14" s="67">
        <f t="shared" si="2"/>
        <v>0</v>
      </c>
      <c r="O14" s="67">
        <f t="shared" si="2"/>
        <v>306805.83999999997</v>
      </c>
      <c r="P14" s="75">
        <f t="shared" si="2"/>
        <v>6091.58</v>
      </c>
      <c r="Q14" s="75">
        <f>SUM(Q16:Q39)</f>
        <v>330194.46</v>
      </c>
      <c r="R14" s="68">
        <f>SUM(R16:R39)</f>
        <v>350998.35</v>
      </c>
      <c r="S14" s="148">
        <f t="shared" si="1"/>
        <v>106.30049638022395</v>
      </c>
    </row>
    <row r="15" spans="1:19" ht="10.5" customHeight="1">
      <c r="A15" s="5" t="s">
        <v>20</v>
      </c>
      <c r="B15" s="5"/>
      <c r="C15" s="67"/>
      <c r="D15" s="67"/>
      <c r="E15" s="67"/>
      <c r="F15" s="67"/>
      <c r="G15" s="68"/>
      <c r="H15" s="68"/>
      <c r="I15" s="68"/>
      <c r="J15" s="67"/>
      <c r="K15" s="67"/>
      <c r="L15" s="67"/>
      <c r="M15" s="67"/>
      <c r="N15" s="67"/>
      <c r="O15" s="67"/>
      <c r="P15" s="76"/>
      <c r="Q15" s="60"/>
      <c r="R15" s="60"/>
      <c r="S15" s="50"/>
    </row>
    <row r="16" spans="1:19" ht="12.75" customHeight="1">
      <c r="A16" s="7" t="s">
        <v>59</v>
      </c>
      <c r="B16" s="5"/>
      <c r="C16" s="67"/>
      <c r="D16" s="67"/>
      <c r="E16" s="67"/>
      <c r="F16" s="67"/>
      <c r="G16" s="68"/>
      <c r="H16" s="68"/>
      <c r="I16" s="68"/>
      <c r="J16" s="67"/>
      <c r="K16" s="67"/>
      <c r="L16" s="67"/>
      <c r="M16" s="67"/>
      <c r="N16" s="67"/>
      <c r="O16" s="67"/>
      <c r="P16" s="76"/>
      <c r="Q16" s="60">
        <v>17140.57</v>
      </c>
      <c r="R16" s="60">
        <v>18787.02</v>
      </c>
      <c r="S16" s="50">
        <f t="shared" si="1"/>
        <v>109.6055732102258</v>
      </c>
    </row>
    <row r="17" spans="1:19" ht="12.75">
      <c r="A17" s="6" t="s">
        <v>21</v>
      </c>
      <c r="B17" s="6"/>
      <c r="C17" s="71">
        <v>4000</v>
      </c>
      <c r="D17" s="71"/>
      <c r="E17" s="71"/>
      <c r="F17" s="71">
        <f>C17+D17+E17</f>
        <v>4000</v>
      </c>
      <c r="G17" s="72">
        <v>10</v>
      </c>
      <c r="H17" s="72"/>
      <c r="I17" s="72">
        <f>F17+G17+H17</f>
        <v>4010</v>
      </c>
      <c r="J17" s="71"/>
      <c r="K17" s="71"/>
      <c r="L17" s="71">
        <f>I17+J17+K17</f>
        <v>4010</v>
      </c>
      <c r="M17" s="71"/>
      <c r="N17" s="71"/>
      <c r="O17" s="71">
        <f>L17+M17+N17</f>
        <v>4010</v>
      </c>
      <c r="P17" s="76"/>
      <c r="Q17" s="60">
        <v>4010</v>
      </c>
      <c r="R17" s="60">
        <v>4214.81</v>
      </c>
      <c r="S17" s="50">
        <f t="shared" si="1"/>
        <v>105.10748129675811</v>
      </c>
    </row>
    <row r="18" spans="1:19" ht="12.75">
      <c r="A18" s="6" t="s">
        <v>22</v>
      </c>
      <c r="B18" s="6"/>
      <c r="C18" s="71"/>
      <c r="D18" s="71"/>
      <c r="E18" s="71"/>
      <c r="F18" s="71">
        <f aca="true" t="shared" si="3" ref="F18:F37">C18+D18+E18</f>
        <v>0</v>
      </c>
      <c r="G18" s="72">
        <v>35000</v>
      </c>
      <c r="H18" s="72"/>
      <c r="I18" s="72">
        <f aca="true" t="shared" si="4" ref="I18:I37">F18+G18+H18</f>
        <v>35000</v>
      </c>
      <c r="J18" s="71"/>
      <c r="K18" s="71"/>
      <c r="L18" s="71">
        <f aca="true" t="shared" si="5" ref="L18:L37">I18+J18+K18</f>
        <v>35000</v>
      </c>
      <c r="M18" s="71"/>
      <c r="N18" s="71"/>
      <c r="O18" s="71">
        <f aca="true" t="shared" si="6" ref="O18:O37">L18+M18+N18</f>
        <v>35000</v>
      </c>
      <c r="P18" s="76"/>
      <c r="Q18" s="60">
        <v>35000</v>
      </c>
      <c r="R18" s="60">
        <v>51912.84</v>
      </c>
      <c r="S18" s="50">
        <f t="shared" si="1"/>
        <v>148.3224</v>
      </c>
    </row>
    <row r="19" spans="1:19" ht="12.75" hidden="1">
      <c r="A19" s="6" t="s">
        <v>23</v>
      </c>
      <c r="B19" s="6"/>
      <c r="C19" s="71"/>
      <c r="D19" s="71"/>
      <c r="E19" s="71"/>
      <c r="F19" s="71">
        <f t="shared" si="3"/>
        <v>0</v>
      </c>
      <c r="G19" s="72"/>
      <c r="H19" s="72"/>
      <c r="I19" s="72">
        <f t="shared" si="4"/>
        <v>0</v>
      </c>
      <c r="J19" s="71"/>
      <c r="K19" s="71"/>
      <c r="L19" s="71">
        <f t="shared" si="5"/>
        <v>0</v>
      </c>
      <c r="M19" s="71"/>
      <c r="N19" s="71"/>
      <c r="O19" s="71">
        <f t="shared" si="6"/>
        <v>0</v>
      </c>
      <c r="P19" s="76"/>
      <c r="Q19" s="60">
        <v>0</v>
      </c>
      <c r="R19" s="60"/>
      <c r="S19" s="50" t="e">
        <f t="shared" si="1"/>
        <v>#DIV/0!</v>
      </c>
    </row>
    <row r="20" spans="1:19" ht="12.75" hidden="1">
      <c r="A20" s="6" t="s">
        <v>24</v>
      </c>
      <c r="B20" s="6"/>
      <c r="C20" s="71"/>
      <c r="D20" s="71"/>
      <c r="E20" s="71"/>
      <c r="F20" s="71">
        <f t="shared" si="3"/>
        <v>0</v>
      </c>
      <c r="G20" s="72"/>
      <c r="H20" s="72"/>
      <c r="I20" s="72">
        <f t="shared" si="4"/>
        <v>0</v>
      </c>
      <c r="J20" s="71"/>
      <c r="K20" s="71"/>
      <c r="L20" s="71">
        <f t="shared" si="5"/>
        <v>0</v>
      </c>
      <c r="M20" s="71"/>
      <c r="N20" s="71"/>
      <c r="O20" s="71">
        <f t="shared" si="6"/>
        <v>0</v>
      </c>
      <c r="P20" s="76"/>
      <c r="Q20" s="60">
        <v>0</v>
      </c>
      <c r="R20" s="60"/>
      <c r="S20" s="50" t="e">
        <f t="shared" si="1"/>
        <v>#DIV/0!</v>
      </c>
    </row>
    <row r="21" spans="1:19" ht="12.75">
      <c r="A21" s="6" t="s">
        <v>25</v>
      </c>
      <c r="B21" s="6"/>
      <c r="C21" s="71">
        <v>45000</v>
      </c>
      <c r="D21" s="71"/>
      <c r="E21" s="71"/>
      <c r="F21" s="71">
        <f t="shared" si="3"/>
        <v>45000</v>
      </c>
      <c r="G21" s="72"/>
      <c r="H21" s="72"/>
      <c r="I21" s="72">
        <f t="shared" si="4"/>
        <v>45000</v>
      </c>
      <c r="J21" s="71"/>
      <c r="K21" s="71"/>
      <c r="L21" s="71">
        <f t="shared" si="5"/>
        <v>45000</v>
      </c>
      <c r="M21" s="71"/>
      <c r="N21" s="71"/>
      <c r="O21" s="71">
        <f t="shared" si="6"/>
        <v>45000</v>
      </c>
      <c r="P21" s="76"/>
      <c r="Q21" s="60">
        <v>45000</v>
      </c>
      <c r="R21" s="60">
        <v>32765.79</v>
      </c>
      <c r="S21" s="50">
        <f t="shared" si="1"/>
        <v>72.81286666666666</v>
      </c>
    </row>
    <row r="22" spans="1:19" ht="12.75">
      <c r="A22" s="7" t="s">
        <v>348</v>
      </c>
      <c r="B22" s="6"/>
      <c r="C22" s="71"/>
      <c r="D22" s="71">
        <v>11.99</v>
      </c>
      <c r="E22" s="71"/>
      <c r="F22" s="71">
        <f t="shared" si="3"/>
        <v>11.99</v>
      </c>
      <c r="G22" s="72">
        <f>11.09+246.3+312.92+151.52+154.86+11.67+8.73</f>
        <v>897.0899999999999</v>
      </c>
      <c r="H22" s="72"/>
      <c r="I22" s="72">
        <f t="shared" si="4"/>
        <v>909.0799999999999</v>
      </c>
      <c r="J22" s="71">
        <f>142.09+226.69+377.59+100.06+205.76</f>
        <v>1052.1899999999998</v>
      </c>
      <c r="K22" s="71">
        <v>569.93</v>
      </c>
      <c r="L22" s="71">
        <f t="shared" si="5"/>
        <v>2531.2</v>
      </c>
      <c r="M22" s="71">
        <f>123.47+257.19+205.76+10.09+1.22+109.86+2454.69+0.02+12.29+10.3+765+400+400+1200</f>
        <v>5949.89</v>
      </c>
      <c r="N22" s="71"/>
      <c r="O22" s="71">
        <f t="shared" si="6"/>
        <v>8481.09</v>
      </c>
      <c r="P22" s="76">
        <f>46.58+745+1000+4300</f>
        <v>6091.58</v>
      </c>
      <c r="Q22" s="60">
        <v>14572.67</v>
      </c>
      <c r="R22" s="60">
        <v>17597.29</v>
      </c>
      <c r="S22" s="50">
        <f t="shared" si="1"/>
        <v>120.75542779737687</v>
      </c>
    </row>
    <row r="23" spans="1:19" ht="12.75">
      <c r="A23" s="7" t="s">
        <v>175</v>
      </c>
      <c r="B23" s="7"/>
      <c r="C23" s="71">
        <v>20975.3</v>
      </c>
      <c r="D23" s="71"/>
      <c r="E23" s="71"/>
      <c r="F23" s="71">
        <f t="shared" si="3"/>
        <v>20975.3</v>
      </c>
      <c r="G23" s="72"/>
      <c r="H23" s="72"/>
      <c r="I23" s="72">
        <f t="shared" si="4"/>
        <v>20975.3</v>
      </c>
      <c r="J23" s="77"/>
      <c r="K23" s="71"/>
      <c r="L23" s="71">
        <f>I23+J23+K23</f>
        <v>20975.3</v>
      </c>
      <c r="M23" s="71"/>
      <c r="N23" s="71"/>
      <c r="O23" s="71">
        <f t="shared" si="6"/>
        <v>20975.3</v>
      </c>
      <c r="P23" s="76"/>
      <c r="Q23" s="60">
        <v>20975.3</v>
      </c>
      <c r="R23" s="60">
        <v>21390.54</v>
      </c>
      <c r="S23" s="50">
        <f t="shared" si="1"/>
        <v>101.97966179267996</v>
      </c>
    </row>
    <row r="24" spans="1:19" ht="12.75">
      <c r="A24" s="7" t="s">
        <v>189</v>
      </c>
      <c r="B24" s="7"/>
      <c r="C24" s="71">
        <v>57525.8</v>
      </c>
      <c r="D24" s="71"/>
      <c r="E24" s="71"/>
      <c r="F24" s="71">
        <f t="shared" si="3"/>
        <v>57525.8</v>
      </c>
      <c r="G24" s="72"/>
      <c r="H24" s="72"/>
      <c r="I24" s="72">
        <f t="shared" si="4"/>
        <v>57525.8</v>
      </c>
      <c r="J24" s="71"/>
      <c r="K24" s="71"/>
      <c r="L24" s="71">
        <f t="shared" si="5"/>
        <v>57525.8</v>
      </c>
      <c r="M24" s="71">
        <f>12103.5</f>
        <v>12103.5</v>
      </c>
      <c r="N24" s="71"/>
      <c r="O24" s="71">
        <f t="shared" si="6"/>
        <v>69629.3</v>
      </c>
      <c r="P24" s="76"/>
      <c r="Q24" s="60">
        <v>69629.3</v>
      </c>
      <c r="R24" s="60">
        <v>69629.36</v>
      </c>
      <c r="S24" s="50">
        <f t="shared" si="1"/>
        <v>100.0000861706207</v>
      </c>
    </row>
    <row r="25" spans="1:19" ht="12.75">
      <c r="A25" s="7" t="s">
        <v>26</v>
      </c>
      <c r="B25" s="7"/>
      <c r="C25" s="71"/>
      <c r="D25" s="71"/>
      <c r="E25" s="71"/>
      <c r="F25" s="71">
        <f t="shared" si="3"/>
        <v>0</v>
      </c>
      <c r="G25" s="72"/>
      <c r="H25" s="72"/>
      <c r="I25" s="72">
        <f t="shared" si="4"/>
        <v>0</v>
      </c>
      <c r="J25" s="71"/>
      <c r="K25" s="71"/>
      <c r="L25" s="71">
        <f t="shared" si="5"/>
        <v>0</v>
      </c>
      <c r="M25" s="78"/>
      <c r="N25" s="71"/>
      <c r="O25" s="71">
        <f t="shared" si="6"/>
        <v>0</v>
      </c>
      <c r="P25" s="76"/>
      <c r="Q25" s="60">
        <v>0</v>
      </c>
      <c r="R25" s="60">
        <v>460.52</v>
      </c>
      <c r="S25" s="133" t="s">
        <v>368</v>
      </c>
    </row>
    <row r="26" spans="1:19" ht="12.75" hidden="1">
      <c r="A26" s="7" t="s">
        <v>210</v>
      </c>
      <c r="B26" s="7"/>
      <c r="C26" s="71"/>
      <c r="D26" s="71"/>
      <c r="E26" s="71"/>
      <c r="F26" s="71">
        <f t="shared" si="3"/>
        <v>0</v>
      </c>
      <c r="G26" s="72"/>
      <c r="H26" s="72"/>
      <c r="I26" s="72">
        <f t="shared" si="4"/>
        <v>0</v>
      </c>
      <c r="J26" s="71"/>
      <c r="K26" s="71"/>
      <c r="L26" s="71">
        <f t="shared" si="5"/>
        <v>0</v>
      </c>
      <c r="M26" s="71"/>
      <c r="N26" s="71"/>
      <c r="O26" s="71">
        <f t="shared" si="6"/>
        <v>0</v>
      </c>
      <c r="P26" s="76"/>
      <c r="Q26" s="60">
        <v>0</v>
      </c>
      <c r="R26" s="60"/>
      <c r="S26" s="50" t="e">
        <f t="shared" si="1"/>
        <v>#DIV/0!</v>
      </c>
    </row>
    <row r="27" spans="1:19" ht="12.75">
      <c r="A27" s="7" t="s">
        <v>190</v>
      </c>
      <c r="B27" s="7"/>
      <c r="C27" s="71"/>
      <c r="D27" s="71"/>
      <c r="E27" s="71"/>
      <c r="F27" s="71">
        <f t="shared" si="3"/>
        <v>0</v>
      </c>
      <c r="G27" s="72">
        <f>236+200</f>
        <v>436</v>
      </c>
      <c r="H27" s="72"/>
      <c r="I27" s="72">
        <f t="shared" si="4"/>
        <v>436</v>
      </c>
      <c r="J27" s="71">
        <v>-116.51</v>
      </c>
      <c r="K27" s="71"/>
      <c r="L27" s="71">
        <f t="shared" si="5"/>
        <v>319.49</v>
      </c>
      <c r="M27" s="71"/>
      <c r="N27" s="71"/>
      <c r="O27" s="71">
        <f t="shared" si="6"/>
        <v>319.49</v>
      </c>
      <c r="P27" s="76"/>
      <c r="Q27" s="60">
        <v>319.49</v>
      </c>
      <c r="R27" s="60">
        <v>894.46</v>
      </c>
      <c r="S27" s="50">
        <f t="shared" si="1"/>
        <v>279.96494412970674</v>
      </c>
    </row>
    <row r="28" spans="1:19" ht="12.75">
      <c r="A28" s="7" t="s">
        <v>322</v>
      </c>
      <c r="B28" s="7"/>
      <c r="C28" s="71"/>
      <c r="D28" s="71"/>
      <c r="E28" s="71"/>
      <c r="F28" s="71">
        <f t="shared" si="3"/>
        <v>0</v>
      </c>
      <c r="G28" s="72">
        <f>107.35+5.37</f>
        <v>112.72</v>
      </c>
      <c r="H28" s="72"/>
      <c r="I28" s="72">
        <f t="shared" si="4"/>
        <v>112.72</v>
      </c>
      <c r="J28" s="71"/>
      <c r="K28" s="71"/>
      <c r="L28" s="71">
        <f t="shared" si="5"/>
        <v>112.72</v>
      </c>
      <c r="M28" s="71"/>
      <c r="N28" s="71"/>
      <c r="O28" s="71">
        <f t="shared" si="6"/>
        <v>112.72</v>
      </c>
      <c r="P28" s="76"/>
      <c r="Q28" s="60">
        <v>269.19</v>
      </c>
      <c r="R28" s="60">
        <v>492.03</v>
      </c>
      <c r="S28" s="50">
        <f t="shared" si="1"/>
        <v>182.78167836843863</v>
      </c>
    </row>
    <row r="29" spans="1:19" ht="12.75">
      <c r="A29" s="7" t="s">
        <v>191</v>
      </c>
      <c r="B29" s="7"/>
      <c r="C29" s="71"/>
      <c r="D29" s="71"/>
      <c r="E29" s="71"/>
      <c r="F29" s="71">
        <f t="shared" si="3"/>
        <v>0</v>
      </c>
      <c r="G29" s="72"/>
      <c r="H29" s="72"/>
      <c r="I29" s="72">
        <f t="shared" si="4"/>
        <v>0</v>
      </c>
      <c r="J29" s="71">
        <v>1911.53</v>
      </c>
      <c r="K29" s="71"/>
      <c r="L29" s="71">
        <f t="shared" si="5"/>
        <v>1911.53</v>
      </c>
      <c r="M29" s="71"/>
      <c r="N29" s="71"/>
      <c r="O29" s="71">
        <f t="shared" si="6"/>
        <v>1911.53</v>
      </c>
      <c r="P29" s="76"/>
      <c r="Q29" s="60">
        <v>1911.53</v>
      </c>
      <c r="R29" s="60">
        <v>6340.77</v>
      </c>
      <c r="S29" s="50">
        <f t="shared" si="1"/>
        <v>331.71177015270496</v>
      </c>
    </row>
    <row r="30" spans="1:19" ht="12.75">
      <c r="A30" s="7" t="s">
        <v>327</v>
      </c>
      <c r="B30" s="7"/>
      <c r="C30" s="71"/>
      <c r="D30" s="71"/>
      <c r="E30" s="71"/>
      <c r="F30" s="71">
        <f t="shared" si="3"/>
        <v>0</v>
      </c>
      <c r="G30" s="72">
        <v>77.48</v>
      </c>
      <c r="H30" s="72"/>
      <c r="I30" s="72">
        <f t="shared" si="4"/>
        <v>77.48</v>
      </c>
      <c r="J30" s="71"/>
      <c r="K30" s="71"/>
      <c r="L30" s="71">
        <f t="shared" si="5"/>
        <v>77.48</v>
      </c>
      <c r="M30" s="71"/>
      <c r="N30" s="71"/>
      <c r="O30" s="71">
        <f t="shared" si="6"/>
        <v>77.48</v>
      </c>
      <c r="P30" s="76"/>
      <c r="Q30" s="60">
        <v>77.48</v>
      </c>
      <c r="R30" s="60">
        <v>141.5</v>
      </c>
      <c r="S30" s="50">
        <f t="shared" si="1"/>
        <v>182.6277749096541</v>
      </c>
    </row>
    <row r="31" spans="1:19" ht="12.75">
      <c r="A31" s="7" t="s">
        <v>192</v>
      </c>
      <c r="B31" s="7"/>
      <c r="C31" s="71"/>
      <c r="D31" s="71">
        <v>7</v>
      </c>
      <c r="E31" s="71"/>
      <c r="F31" s="71">
        <f t="shared" si="3"/>
        <v>7</v>
      </c>
      <c r="G31" s="72">
        <f>24.2+796.25</f>
        <v>820.45</v>
      </c>
      <c r="H31" s="72"/>
      <c r="I31" s="72">
        <f t="shared" si="4"/>
        <v>827.45</v>
      </c>
      <c r="J31" s="71">
        <f>-796.25+900.78+191.5</f>
        <v>296.03</v>
      </c>
      <c r="K31" s="71"/>
      <c r="L31" s="71">
        <f t="shared" si="5"/>
        <v>1123.48</v>
      </c>
      <c r="M31" s="71">
        <f>100+55.65</f>
        <v>155.65</v>
      </c>
      <c r="N31" s="71"/>
      <c r="O31" s="71">
        <f t="shared" si="6"/>
        <v>1279.13</v>
      </c>
      <c r="P31" s="76"/>
      <c r="Q31" s="60">
        <v>1279.13</v>
      </c>
      <c r="R31" s="60">
        <v>3270.02</v>
      </c>
      <c r="S31" s="50">
        <f t="shared" si="1"/>
        <v>255.6440705792218</v>
      </c>
    </row>
    <row r="32" spans="1:19" ht="12.75">
      <c r="A32" s="7" t="s">
        <v>347</v>
      </c>
      <c r="B32" s="7"/>
      <c r="C32" s="71"/>
      <c r="D32" s="71"/>
      <c r="E32" s="71"/>
      <c r="F32" s="71"/>
      <c r="G32" s="72"/>
      <c r="H32" s="72"/>
      <c r="I32" s="72">
        <f t="shared" si="4"/>
        <v>0</v>
      </c>
      <c r="J32" s="71"/>
      <c r="K32" s="71">
        <v>2</v>
      </c>
      <c r="L32" s="71">
        <f t="shared" si="5"/>
        <v>2</v>
      </c>
      <c r="M32" s="71"/>
      <c r="N32" s="71"/>
      <c r="O32" s="71">
        <f t="shared" si="6"/>
        <v>2</v>
      </c>
      <c r="P32" s="76"/>
      <c r="Q32" s="60">
        <v>2</v>
      </c>
      <c r="R32" s="60">
        <v>2.11</v>
      </c>
      <c r="S32" s="50">
        <f t="shared" si="1"/>
        <v>105.5</v>
      </c>
    </row>
    <row r="33" spans="1:19" ht="12.75">
      <c r="A33" s="7" t="s">
        <v>340</v>
      </c>
      <c r="B33" s="7"/>
      <c r="C33" s="71"/>
      <c r="D33" s="71"/>
      <c r="E33" s="71"/>
      <c r="F33" s="71"/>
      <c r="G33" s="72"/>
      <c r="H33" s="72"/>
      <c r="I33" s="72">
        <f t="shared" si="4"/>
        <v>0</v>
      </c>
      <c r="J33" s="71">
        <v>33.27</v>
      </c>
      <c r="K33" s="71"/>
      <c r="L33" s="71">
        <f t="shared" si="5"/>
        <v>33.27</v>
      </c>
      <c r="M33" s="71">
        <f>22.73</f>
        <v>22.73</v>
      </c>
      <c r="N33" s="71"/>
      <c r="O33" s="71">
        <f t="shared" si="6"/>
        <v>56</v>
      </c>
      <c r="P33" s="76"/>
      <c r="Q33" s="60">
        <v>56</v>
      </c>
      <c r="R33" s="82">
        <v>35</v>
      </c>
      <c r="S33" s="50">
        <f t="shared" si="1"/>
        <v>62.5</v>
      </c>
    </row>
    <row r="34" spans="1:19" ht="12.75">
      <c r="A34" s="7" t="s">
        <v>182</v>
      </c>
      <c r="B34" s="7"/>
      <c r="C34" s="71"/>
      <c r="D34" s="71"/>
      <c r="E34" s="71"/>
      <c r="F34" s="71">
        <f t="shared" si="3"/>
        <v>0</v>
      </c>
      <c r="G34" s="72"/>
      <c r="H34" s="72"/>
      <c r="I34" s="72">
        <f t="shared" si="4"/>
        <v>0</v>
      </c>
      <c r="J34" s="71"/>
      <c r="K34" s="71"/>
      <c r="L34" s="71">
        <f t="shared" si="5"/>
        <v>0</v>
      </c>
      <c r="M34" s="71"/>
      <c r="N34" s="71"/>
      <c r="O34" s="71">
        <f t="shared" si="6"/>
        <v>0</v>
      </c>
      <c r="P34" s="76"/>
      <c r="Q34" s="60">
        <v>0</v>
      </c>
      <c r="R34" s="60">
        <v>371.26</v>
      </c>
      <c r="S34" s="133" t="s">
        <v>368</v>
      </c>
    </row>
    <row r="35" spans="1:19" ht="12.75">
      <c r="A35" s="7" t="s">
        <v>369</v>
      </c>
      <c r="B35" s="7"/>
      <c r="C35" s="71"/>
      <c r="D35" s="71"/>
      <c r="E35" s="71"/>
      <c r="F35" s="71"/>
      <c r="G35" s="72"/>
      <c r="H35" s="72"/>
      <c r="I35" s="72"/>
      <c r="J35" s="71"/>
      <c r="K35" s="71"/>
      <c r="L35" s="71"/>
      <c r="M35" s="71"/>
      <c r="N35" s="71"/>
      <c r="O35" s="71"/>
      <c r="P35" s="76"/>
      <c r="Q35" s="60">
        <v>0</v>
      </c>
      <c r="R35" s="60">
        <v>64</v>
      </c>
      <c r="S35" s="133" t="s">
        <v>368</v>
      </c>
    </row>
    <row r="36" spans="1:19" ht="12.75">
      <c r="A36" s="7" t="s">
        <v>193</v>
      </c>
      <c r="B36" s="7"/>
      <c r="C36" s="71"/>
      <c r="D36" s="71"/>
      <c r="E36" s="71"/>
      <c r="F36" s="71">
        <f t="shared" si="3"/>
        <v>0</v>
      </c>
      <c r="G36" s="72"/>
      <c r="H36" s="72"/>
      <c r="I36" s="72">
        <f t="shared" si="4"/>
        <v>0</v>
      </c>
      <c r="J36" s="71"/>
      <c r="K36" s="71"/>
      <c r="L36" s="71">
        <f t="shared" si="5"/>
        <v>0</v>
      </c>
      <c r="M36" s="71"/>
      <c r="N36" s="71"/>
      <c r="O36" s="71">
        <f t="shared" si="6"/>
        <v>0</v>
      </c>
      <c r="P36" s="76"/>
      <c r="Q36" s="60">
        <v>0</v>
      </c>
      <c r="R36" s="60">
        <v>195.89</v>
      </c>
      <c r="S36" s="133" t="s">
        <v>368</v>
      </c>
    </row>
    <row r="37" spans="1:19" ht="12.75">
      <c r="A37" s="7" t="s">
        <v>194</v>
      </c>
      <c r="B37" s="7"/>
      <c r="C37" s="71"/>
      <c r="D37" s="71"/>
      <c r="E37" s="71"/>
      <c r="F37" s="71">
        <f t="shared" si="3"/>
        <v>0</v>
      </c>
      <c r="G37" s="72"/>
      <c r="H37" s="72"/>
      <c r="I37" s="72">
        <f t="shared" si="4"/>
        <v>0</v>
      </c>
      <c r="J37" s="71"/>
      <c r="K37" s="71"/>
      <c r="L37" s="71">
        <f t="shared" si="5"/>
        <v>0</v>
      </c>
      <c r="M37" s="71"/>
      <c r="N37" s="71"/>
      <c r="O37" s="71">
        <f t="shared" si="6"/>
        <v>0</v>
      </c>
      <c r="P37" s="76"/>
      <c r="Q37" s="60">
        <v>0</v>
      </c>
      <c r="R37" s="60">
        <v>130.98</v>
      </c>
      <c r="S37" s="133" t="s">
        <v>368</v>
      </c>
    </row>
    <row r="38" spans="1:19" ht="12.75">
      <c r="A38" s="7" t="s">
        <v>370</v>
      </c>
      <c r="B38" s="7"/>
      <c r="C38" s="71"/>
      <c r="D38" s="71"/>
      <c r="E38" s="71"/>
      <c r="F38" s="71"/>
      <c r="G38" s="72"/>
      <c r="H38" s="72"/>
      <c r="I38" s="72"/>
      <c r="J38" s="71"/>
      <c r="K38" s="71"/>
      <c r="L38" s="71"/>
      <c r="M38" s="71"/>
      <c r="N38" s="71"/>
      <c r="O38" s="71"/>
      <c r="P38" s="76"/>
      <c r="Q38" s="60">
        <v>0</v>
      </c>
      <c r="R38" s="60">
        <v>710.56</v>
      </c>
      <c r="S38" s="133" t="s">
        <v>368</v>
      </c>
    </row>
    <row r="39" spans="1:19" ht="12.75">
      <c r="A39" s="6" t="s">
        <v>27</v>
      </c>
      <c r="B39" s="6"/>
      <c r="C39" s="71">
        <f>SUM(C40:C45)</f>
        <v>115443.3</v>
      </c>
      <c r="D39" s="71">
        <f>SUM(D40:D44)</f>
        <v>0</v>
      </c>
      <c r="E39" s="71">
        <f>SUM(E40:E44)</f>
        <v>727.7</v>
      </c>
      <c r="F39" s="71">
        <f aca="true" t="shared" si="7" ref="F39:O39">SUM(F40:F45)</f>
        <v>116171</v>
      </c>
      <c r="G39" s="72">
        <f t="shared" si="7"/>
        <v>640.7</v>
      </c>
      <c r="H39" s="72">
        <f t="shared" si="7"/>
        <v>0</v>
      </c>
      <c r="I39" s="72">
        <f t="shared" si="7"/>
        <v>116811.7</v>
      </c>
      <c r="J39" s="71">
        <f t="shared" si="7"/>
        <v>3568.7000000000003</v>
      </c>
      <c r="K39" s="71">
        <f t="shared" si="7"/>
        <v>0</v>
      </c>
      <c r="L39" s="71">
        <f t="shared" si="7"/>
        <v>120380.4</v>
      </c>
      <c r="M39" s="71">
        <f t="shared" si="7"/>
        <v>-428.5999999999999</v>
      </c>
      <c r="N39" s="71">
        <f t="shared" si="7"/>
        <v>0</v>
      </c>
      <c r="O39" s="71">
        <f t="shared" si="7"/>
        <v>119951.79999999999</v>
      </c>
      <c r="P39" s="78">
        <f>SUM(P40:P45)</f>
        <v>0</v>
      </c>
      <c r="Q39" s="78">
        <f>SUM(Q40:Q45)</f>
        <v>119951.79999999999</v>
      </c>
      <c r="R39" s="72">
        <f>SUM(R40:R45)</f>
        <v>121591.59999999999</v>
      </c>
      <c r="S39" s="50">
        <f t="shared" si="1"/>
        <v>101.36704909805438</v>
      </c>
    </row>
    <row r="40" spans="1:19" ht="12.75">
      <c r="A40" s="6" t="s">
        <v>28</v>
      </c>
      <c r="B40" s="6"/>
      <c r="C40" s="71">
        <v>40481</v>
      </c>
      <c r="D40" s="71"/>
      <c r="E40" s="71">
        <v>727.7</v>
      </c>
      <c r="F40" s="71">
        <f aca="true" t="shared" si="8" ref="F40:F45">C40+D40+E40</f>
        <v>41208.7</v>
      </c>
      <c r="G40" s="72"/>
      <c r="H40" s="72"/>
      <c r="I40" s="72">
        <f aca="true" t="shared" si="9" ref="I40:I45">F40+G40+H40</f>
        <v>41208.7</v>
      </c>
      <c r="J40" s="71">
        <f>257.3+200</f>
        <v>457.3</v>
      </c>
      <c r="K40" s="71"/>
      <c r="L40" s="71">
        <f aca="true" t="shared" si="10" ref="L40:L45">I40+J40+K40</f>
        <v>41666</v>
      </c>
      <c r="M40" s="71">
        <f>383.7+322.7</f>
        <v>706.4</v>
      </c>
      <c r="N40" s="71"/>
      <c r="O40" s="71">
        <f aca="true" t="shared" si="11" ref="O40:O45">L40+M40+N40</f>
        <v>42372.4</v>
      </c>
      <c r="P40" s="76"/>
      <c r="Q40" s="60">
        <v>42372.4</v>
      </c>
      <c r="R40" s="60">
        <v>42372.4</v>
      </c>
      <c r="S40" s="50">
        <f t="shared" si="1"/>
        <v>100</v>
      </c>
    </row>
    <row r="41" spans="1:19" ht="12.75">
      <c r="A41" s="7" t="s">
        <v>195</v>
      </c>
      <c r="B41" s="7"/>
      <c r="C41" s="71">
        <v>9278</v>
      </c>
      <c r="D41" s="71"/>
      <c r="E41" s="71"/>
      <c r="F41" s="71">
        <f t="shared" si="8"/>
        <v>9278</v>
      </c>
      <c r="G41" s="72"/>
      <c r="H41" s="72"/>
      <c r="I41" s="72">
        <f t="shared" si="9"/>
        <v>9278</v>
      </c>
      <c r="J41" s="71"/>
      <c r="K41" s="71"/>
      <c r="L41" s="71">
        <f t="shared" si="10"/>
        <v>9278</v>
      </c>
      <c r="M41" s="71">
        <v>2000</v>
      </c>
      <c r="N41" s="71"/>
      <c r="O41" s="71">
        <f t="shared" si="11"/>
        <v>11278</v>
      </c>
      <c r="P41" s="76"/>
      <c r="Q41" s="60">
        <v>11278</v>
      </c>
      <c r="R41" s="60">
        <v>12918</v>
      </c>
      <c r="S41" s="50">
        <f t="shared" si="1"/>
        <v>114.54158538748005</v>
      </c>
    </row>
    <row r="42" spans="1:19" ht="12.75">
      <c r="A42" s="6" t="s">
        <v>29</v>
      </c>
      <c r="B42" s="6"/>
      <c r="C42" s="71">
        <v>21188</v>
      </c>
      <c r="D42" s="71"/>
      <c r="E42" s="71"/>
      <c r="F42" s="71">
        <f t="shared" si="8"/>
        <v>21188</v>
      </c>
      <c r="G42" s="72"/>
      <c r="H42" s="72"/>
      <c r="I42" s="72">
        <f t="shared" si="9"/>
        <v>21188</v>
      </c>
      <c r="J42" s="71"/>
      <c r="K42" s="71"/>
      <c r="L42" s="71">
        <f t="shared" si="10"/>
        <v>21188</v>
      </c>
      <c r="M42" s="71">
        <f>-3135</f>
        <v>-3135</v>
      </c>
      <c r="N42" s="71"/>
      <c r="O42" s="71">
        <f t="shared" si="11"/>
        <v>18053</v>
      </c>
      <c r="P42" s="76"/>
      <c r="Q42" s="60">
        <v>18053</v>
      </c>
      <c r="R42" s="60">
        <v>18053</v>
      </c>
      <c r="S42" s="50">
        <f t="shared" si="1"/>
        <v>100</v>
      </c>
    </row>
    <row r="43" spans="1:19" ht="12.75">
      <c r="A43" s="7" t="s">
        <v>196</v>
      </c>
      <c r="B43" s="7"/>
      <c r="C43" s="71">
        <v>10477.3</v>
      </c>
      <c r="D43" s="71"/>
      <c r="E43" s="71"/>
      <c r="F43" s="71">
        <f t="shared" si="8"/>
        <v>10477.3</v>
      </c>
      <c r="G43" s="72">
        <v>291.5</v>
      </c>
      <c r="H43" s="72"/>
      <c r="I43" s="72">
        <f t="shared" si="9"/>
        <v>10768.8</v>
      </c>
      <c r="J43" s="71">
        <f>3111.4</f>
        <v>3111.4</v>
      </c>
      <c r="K43" s="71"/>
      <c r="L43" s="71">
        <f t="shared" si="10"/>
        <v>13880.199999999999</v>
      </c>
      <c r="M43" s="71"/>
      <c r="N43" s="71"/>
      <c r="O43" s="71">
        <f t="shared" si="11"/>
        <v>13880.199999999999</v>
      </c>
      <c r="P43" s="76"/>
      <c r="Q43" s="60">
        <v>13880.199999999999</v>
      </c>
      <c r="R43" s="60">
        <v>13880.2</v>
      </c>
      <c r="S43" s="50">
        <f t="shared" si="1"/>
        <v>100.00000000000003</v>
      </c>
    </row>
    <row r="44" spans="1:19" ht="12.75">
      <c r="A44" s="7" t="s">
        <v>197</v>
      </c>
      <c r="B44" s="7"/>
      <c r="C44" s="71">
        <v>34019</v>
      </c>
      <c r="D44" s="71"/>
      <c r="E44" s="71"/>
      <c r="F44" s="71">
        <f t="shared" si="8"/>
        <v>34019</v>
      </c>
      <c r="G44" s="72"/>
      <c r="H44" s="72"/>
      <c r="I44" s="72">
        <f t="shared" si="9"/>
        <v>34019</v>
      </c>
      <c r="J44" s="71"/>
      <c r="K44" s="71"/>
      <c r="L44" s="71">
        <f t="shared" si="10"/>
        <v>34019</v>
      </c>
      <c r="M44" s="71"/>
      <c r="N44" s="71"/>
      <c r="O44" s="71">
        <f t="shared" si="11"/>
        <v>34019</v>
      </c>
      <c r="P44" s="76"/>
      <c r="Q44" s="60">
        <v>34019</v>
      </c>
      <c r="R44" s="60">
        <v>34019</v>
      </c>
      <c r="S44" s="50">
        <f t="shared" si="1"/>
        <v>100</v>
      </c>
    </row>
    <row r="45" spans="1:19" ht="12.75">
      <c r="A45" s="7" t="s">
        <v>328</v>
      </c>
      <c r="B45" s="7"/>
      <c r="C45" s="71"/>
      <c r="D45" s="71"/>
      <c r="E45" s="71"/>
      <c r="F45" s="71">
        <f t="shared" si="8"/>
        <v>0</v>
      </c>
      <c r="G45" s="72">
        <v>349.2</v>
      </c>
      <c r="H45" s="72"/>
      <c r="I45" s="72">
        <f t="shared" si="9"/>
        <v>349.2</v>
      </c>
      <c r="J45" s="71"/>
      <c r="K45" s="71"/>
      <c r="L45" s="71">
        <f t="shared" si="10"/>
        <v>349.2</v>
      </c>
      <c r="M45" s="71"/>
      <c r="N45" s="71"/>
      <c r="O45" s="71">
        <f t="shared" si="11"/>
        <v>349.2</v>
      </c>
      <c r="P45" s="76"/>
      <c r="Q45" s="60">
        <v>349.2</v>
      </c>
      <c r="R45" s="60">
        <v>349</v>
      </c>
      <c r="S45" s="50">
        <f t="shared" si="1"/>
        <v>99.94272623138602</v>
      </c>
    </row>
    <row r="46" spans="1:19" ht="12.75">
      <c r="A46" s="8" t="s">
        <v>30</v>
      </c>
      <c r="B46" s="8"/>
      <c r="C46" s="79">
        <f>SUM(C48:C51)</f>
        <v>0</v>
      </c>
      <c r="D46" s="79">
        <f>SUM(D48:D51)</f>
        <v>0</v>
      </c>
      <c r="E46" s="79"/>
      <c r="F46" s="79">
        <f>SUM(F48:F51)</f>
        <v>0</v>
      </c>
      <c r="G46" s="80">
        <f aca="true" t="shared" si="12" ref="G46:R46">SUM(G48:G51)</f>
        <v>1053</v>
      </c>
      <c r="H46" s="80">
        <f t="shared" si="12"/>
        <v>0</v>
      </c>
      <c r="I46" s="80">
        <f t="shared" si="12"/>
        <v>1053</v>
      </c>
      <c r="J46" s="79">
        <f t="shared" si="12"/>
        <v>0</v>
      </c>
      <c r="K46" s="79">
        <f t="shared" si="12"/>
        <v>0</v>
      </c>
      <c r="L46" s="79">
        <f t="shared" si="12"/>
        <v>1053</v>
      </c>
      <c r="M46" s="79">
        <f t="shared" si="12"/>
        <v>2150</v>
      </c>
      <c r="N46" s="79">
        <f t="shared" si="12"/>
        <v>0</v>
      </c>
      <c r="O46" s="79">
        <f t="shared" si="12"/>
        <v>3203</v>
      </c>
      <c r="P46" s="81">
        <f t="shared" si="12"/>
        <v>0</v>
      </c>
      <c r="Q46" s="81">
        <f t="shared" si="12"/>
        <v>4000.85</v>
      </c>
      <c r="R46" s="80">
        <f t="shared" si="12"/>
        <v>10742.82</v>
      </c>
      <c r="S46" s="148">
        <f t="shared" si="1"/>
        <v>268.51344089381007</v>
      </c>
    </row>
    <row r="47" spans="1:19" ht="11.25" customHeight="1">
      <c r="A47" s="5" t="s">
        <v>20</v>
      </c>
      <c r="B47" s="5"/>
      <c r="C47" s="71"/>
      <c r="D47" s="71"/>
      <c r="E47" s="71"/>
      <c r="F47" s="71"/>
      <c r="G47" s="72"/>
      <c r="H47" s="72"/>
      <c r="I47" s="72"/>
      <c r="J47" s="71"/>
      <c r="K47" s="71"/>
      <c r="L47" s="71"/>
      <c r="M47" s="71"/>
      <c r="N47" s="71"/>
      <c r="O47" s="71"/>
      <c r="P47" s="76"/>
      <c r="Q47" s="60"/>
      <c r="R47" s="60"/>
      <c r="S47" s="50"/>
    </row>
    <row r="48" spans="1:19" ht="12.75">
      <c r="A48" s="6" t="s">
        <v>31</v>
      </c>
      <c r="B48" s="6"/>
      <c r="C48" s="71"/>
      <c r="D48" s="71"/>
      <c r="E48" s="71"/>
      <c r="F48" s="71">
        <f>C48+D48+E48</f>
        <v>0</v>
      </c>
      <c r="G48" s="72">
        <v>1053</v>
      </c>
      <c r="H48" s="72"/>
      <c r="I48" s="72">
        <f>F48+G48+H48</f>
        <v>1053</v>
      </c>
      <c r="J48" s="71"/>
      <c r="K48" s="71"/>
      <c r="L48" s="71">
        <f>I48+J48+K48</f>
        <v>1053</v>
      </c>
      <c r="M48" s="71">
        <v>2150</v>
      </c>
      <c r="N48" s="71"/>
      <c r="O48" s="71">
        <f>L48+M48+N48</f>
        <v>3203</v>
      </c>
      <c r="P48" s="76"/>
      <c r="Q48" s="60">
        <v>3203</v>
      </c>
      <c r="R48" s="60">
        <v>5173.77</v>
      </c>
      <c r="S48" s="50">
        <f t="shared" si="1"/>
        <v>161.52887917577272</v>
      </c>
    </row>
    <row r="49" spans="1:19" ht="12.75">
      <c r="A49" s="7" t="s">
        <v>198</v>
      </c>
      <c r="B49" s="7"/>
      <c r="C49" s="71"/>
      <c r="D49" s="71"/>
      <c r="E49" s="71"/>
      <c r="F49" s="71">
        <f>C49+D49+E49</f>
        <v>0</v>
      </c>
      <c r="G49" s="72"/>
      <c r="H49" s="72"/>
      <c r="I49" s="72">
        <f>F49+G49+H49</f>
        <v>0</v>
      </c>
      <c r="J49" s="78"/>
      <c r="K49" s="71"/>
      <c r="L49" s="71">
        <f>I49+J49+K49</f>
        <v>0</v>
      </c>
      <c r="M49" s="78"/>
      <c r="N49" s="71"/>
      <c r="O49" s="71">
        <f>L49+M49+N49</f>
        <v>0</v>
      </c>
      <c r="P49" s="76"/>
      <c r="Q49" s="60">
        <v>797.85</v>
      </c>
      <c r="R49" s="60">
        <v>1479.9</v>
      </c>
      <c r="S49" s="50">
        <f t="shared" si="1"/>
        <v>185.48599360782103</v>
      </c>
    </row>
    <row r="50" spans="1:19" ht="12.75">
      <c r="A50" s="7" t="s">
        <v>50</v>
      </c>
      <c r="B50" s="7"/>
      <c r="C50" s="71"/>
      <c r="D50" s="71"/>
      <c r="E50" s="71"/>
      <c r="F50" s="71">
        <f>C50+D50+E50</f>
        <v>0</v>
      </c>
      <c r="G50" s="72"/>
      <c r="H50" s="72"/>
      <c r="I50" s="72">
        <f>F50+G50+H50</f>
        <v>0</v>
      </c>
      <c r="J50" s="78"/>
      <c r="K50" s="71"/>
      <c r="L50" s="71">
        <f>I50+J50+K50</f>
        <v>0</v>
      </c>
      <c r="M50" s="78"/>
      <c r="N50" s="71"/>
      <c r="O50" s="71">
        <f>L50+M50+N50</f>
        <v>0</v>
      </c>
      <c r="P50" s="76"/>
      <c r="Q50" s="60">
        <v>0</v>
      </c>
      <c r="R50" s="60">
        <v>3996.15</v>
      </c>
      <c r="S50" s="133" t="s">
        <v>368</v>
      </c>
    </row>
    <row r="51" spans="1:19" ht="12.75">
      <c r="A51" s="6" t="s">
        <v>32</v>
      </c>
      <c r="B51" s="6"/>
      <c r="C51" s="71"/>
      <c r="D51" s="71"/>
      <c r="E51" s="71"/>
      <c r="F51" s="71">
        <f>C51+D51+E51</f>
        <v>0</v>
      </c>
      <c r="G51" s="72"/>
      <c r="H51" s="72"/>
      <c r="I51" s="72">
        <f>F51+G51+H51</f>
        <v>0</v>
      </c>
      <c r="J51" s="71"/>
      <c r="K51" s="71"/>
      <c r="L51" s="71">
        <f>I51+J51+K51</f>
        <v>0</v>
      </c>
      <c r="M51" s="71"/>
      <c r="N51" s="71"/>
      <c r="O51" s="71">
        <f>L51+M51+N51</f>
        <v>0</v>
      </c>
      <c r="P51" s="76"/>
      <c r="Q51" s="60">
        <v>0</v>
      </c>
      <c r="R51" s="60">
        <v>93</v>
      </c>
      <c r="S51" s="133" t="s">
        <v>368</v>
      </c>
    </row>
    <row r="52" spans="1:19" ht="12.75">
      <c r="A52" s="4" t="s">
        <v>33</v>
      </c>
      <c r="B52" s="4"/>
      <c r="C52" s="67">
        <f>SUM(C54:C75)</f>
        <v>72738</v>
      </c>
      <c r="D52" s="67">
        <f>SUM(D54:D75)</f>
        <v>4398622.68</v>
      </c>
      <c r="E52" s="67">
        <f>SUM(E54:E75)</f>
        <v>0</v>
      </c>
      <c r="F52" s="67">
        <f>SUM(F54:F75)</f>
        <v>4471360.68</v>
      </c>
      <c r="G52" s="68">
        <f aca="true" t="shared" si="13" ref="G52:R52">SUM(G54:G75)</f>
        <v>480671.06</v>
      </c>
      <c r="H52" s="68">
        <f t="shared" si="13"/>
        <v>0</v>
      </c>
      <c r="I52" s="68">
        <f t="shared" si="13"/>
        <v>4952031.739999999</v>
      </c>
      <c r="J52" s="67">
        <f t="shared" si="13"/>
        <v>282026.18</v>
      </c>
      <c r="K52" s="67">
        <f t="shared" si="13"/>
        <v>-150</v>
      </c>
      <c r="L52" s="67">
        <f t="shared" si="13"/>
        <v>5233907.919999997</v>
      </c>
      <c r="M52" s="67">
        <f t="shared" si="13"/>
        <v>150435.80000000002</v>
      </c>
      <c r="N52" s="67">
        <f t="shared" si="13"/>
        <v>23141.11</v>
      </c>
      <c r="O52" s="67">
        <f t="shared" si="13"/>
        <v>5407484.83</v>
      </c>
      <c r="P52" s="75">
        <f t="shared" si="13"/>
        <v>-66578.62000000001</v>
      </c>
      <c r="Q52" s="75">
        <f t="shared" si="13"/>
        <v>5340749.76</v>
      </c>
      <c r="R52" s="68">
        <f t="shared" si="13"/>
        <v>5340460.76</v>
      </c>
      <c r="S52" s="148">
        <f t="shared" si="1"/>
        <v>99.99458877474162</v>
      </c>
    </row>
    <row r="53" spans="1:19" ht="10.5" customHeight="1">
      <c r="A53" s="9" t="s">
        <v>34</v>
      </c>
      <c r="B53" s="9"/>
      <c r="C53" s="71"/>
      <c r="D53" s="71"/>
      <c r="E53" s="71"/>
      <c r="F53" s="71"/>
      <c r="G53" s="72"/>
      <c r="H53" s="72"/>
      <c r="I53" s="72"/>
      <c r="J53" s="71"/>
      <c r="K53" s="71"/>
      <c r="L53" s="71"/>
      <c r="M53" s="71"/>
      <c r="N53" s="71"/>
      <c r="O53" s="71"/>
      <c r="P53" s="76"/>
      <c r="Q53" s="60"/>
      <c r="R53" s="60"/>
      <c r="S53" s="50"/>
    </row>
    <row r="54" spans="1:19" ht="12.75">
      <c r="A54" s="7" t="s">
        <v>35</v>
      </c>
      <c r="B54" s="7"/>
      <c r="C54" s="71">
        <v>72488</v>
      </c>
      <c r="D54" s="71"/>
      <c r="E54" s="71"/>
      <c r="F54" s="71">
        <f>C54+D54+E54</f>
        <v>72488</v>
      </c>
      <c r="G54" s="72"/>
      <c r="H54" s="72"/>
      <c r="I54" s="72">
        <f>F54+G54+H54</f>
        <v>72488</v>
      </c>
      <c r="J54" s="71"/>
      <c r="K54" s="71"/>
      <c r="L54" s="71">
        <f>I54+J54+K54</f>
        <v>72488</v>
      </c>
      <c r="M54" s="71"/>
      <c r="N54" s="71"/>
      <c r="O54" s="71">
        <f>L54+M54+N54</f>
        <v>72488</v>
      </c>
      <c r="P54" s="76"/>
      <c r="Q54" s="60">
        <v>72488</v>
      </c>
      <c r="R54" s="60">
        <v>72488</v>
      </c>
      <c r="S54" s="50">
        <f t="shared" si="1"/>
        <v>100</v>
      </c>
    </row>
    <row r="55" spans="1:19" ht="12.75">
      <c r="A55" s="7" t="s">
        <v>36</v>
      </c>
      <c r="B55" s="7"/>
      <c r="C55" s="71"/>
      <c r="D55" s="71">
        <f>21.57</f>
        <v>21.57</v>
      </c>
      <c r="E55" s="71"/>
      <c r="F55" s="71">
        <f aca="true" t="shared" si="14" ref="F55:F75">C55+D55+E55</f>
        <v>21.57</v>
      </c>
      <c r="G55" s="71">
        <f>15+142.17+163.79+100+94.02</f>
        <v>514.98</v>
      </c>
      <c r="H55" s="72"/>
      <c r="I55" s="72">
        <f aca="true" t="shared" si="15" ref="I55:I75">F55+G55+H55</f>
        <v>536.5500000000001</v>
      </c>
      <c r="J55" s="71">
        <f>165.45+110.81+20.36</f>
        <v>296.62</v>
      </c>
      <c r="K55" s="71"/>
      <c r="L55" s="71">
        <f aca="true" t="shared" si="16" ref="L55:L75">I55+J55+K55</f>
        <v>833.1700000000001</v>
      </c>
      <c r="M55" s="71">
        <f>168.48+100+101.43</f>
        <v>369.91</v>
      </c>
      <c r="N55" s="71"/>
      <c r="O55" s="71">
        <f aca="true" t="shared" si="17" ref="O55:O75">L55+M55+N55</f>
        <v>1203.0800000000002</v>
      </c>
      <c r="P55" s="76">
        <f>167.21+7.41</f>
        <v>174.62</v>
      </c>
      <c r="Q55" s="60">
        <v>1377.7000000000003</v>
      </c>
      <c r="R55" s="60">
        <v>1377.7</v>
      </c>
      <c r="S55" s="50">
        <f t="shared" si="1"/>
        <v>99.99999999999999</v>
      </c>
    </row>
    <row r="56" spans="1:19" ht="12.75">
      <c r="A56" s="7" t="s">
        <v>37</v>
      </c>
      <c r="B56" s="7"/>
      <c r="C56" s="71"/>
      <c r="D56" s="71">
        <f>1373+150+47490+770.09+952.82+434.52+5743.51+9017.38+190.2+4323211+135.8+20.7</f>
        <v>4389489.02</v>
      </c>
      <c r="E56" s="71"/>
      <c r="F56" s="71">
        <f t="shared" si="14"/>
        <v>4389489.02</v>
      </c>
      <c r="G56" s="71">
        <f>386.84+1172.43+2451.69+3956.06+5316.37+12155.86+114.83+2298.02+47220+650+716.26+40.84+13685+74.74+392+130</f>
        <v>90760.94</v>
      </c>
      <c r="H56" s="72"/>
      <c r="I56" s="72">
        <f t="shared" si="15"/>
        <v>4480249.96</v>
      </c>
      <c r="J56" s="71">
        <f>1169.7+2617.92+8.1+47350+1685.85+13957.74+1006.78+15522.42+2156.21</f>
        <v>85474.72</v>
      </c>
      <c r="K56" s="71"/>
      <c r="L56" s="71">
        <f t="shared" si="16"/>
        <v>4565724.68</v>
      </c>
      <c r="M56" s="71">
        <f>3.31+118.3+54.32+948.7+152.49+8540.48+605.83+277.5-112.16-4-2156.21+24134.51+46463+26919.88</f>
        <v>105945.95000000001</v>
      </c>
      <c r="N56" s="71">
        <f>-16.5-18.23-91.74-0.89-12.7-0.14-189.56-1.59+23472.46</f>
        <v>23141.11</v>
      </c>
      <c r="O56" s="71">
        <f t="shared" si="17"/>
        <v>4694811.74</v>
      </c>
      <c r="P56" s="76">
        <f>-32.88-40+2124.72</f>
        <v>2051.8399999999997</v>
      </c>
      <c r="Q56" s="82">
        <v>4696863.6</v>
      </c>
      <c r="R56" s="82">
        <v>4696863.6</v>
      </c>
      <c r="S56" s="50">
        <f t="shared" si="1"/>
        <v>100</v>
      </c>
    </row>
    <row r="57" spans="1:19" ht="12.75">
      <c r="A57" s="7" t="s">
        <v>38</v>
      </c>
      <c r="B57" s="7"/>
      <c r="C57" s="71"/>
      <c r="D57" s="71">
        <f>2500+539.28+3357.89+657.56+656.71+900.65</f>
        <v>8612.09</v>
      </c>
      <c r="E57" s="71"/>
      <c r="F57" s="71">
        <f t="shared" si="14"/>
        <v>8612.09</v>
      </c>
      <c r="G57" s="71">
        <f>33000+7350+3961.18+11253.56+1222.59+280.11+303.25+785.48+2500+1270</f>
        <v>61926.17</v>
      </c>
      <c r="H57" s="72"/>
      <c r="I57" s="72">
        <f t="shared" si="15"/>
        <v>70538.26</v>
      </c>
      <c r="J57" s="71">
        <f>186567+267.54+283.28+2500+296.84</f>
        <v>189914.66</v>
      </c>
      <c r="K57" s="71"/>
      <c r="L57" s="71">
        <f t="shared" si="16"/>
        <v>260452.91999999998</v>
      </c>
      <c r="M57" s="71">
        <f>36.81+20073.89+1900</f>
        <v>22010.7</v>
      </c>
      <c r="N57" s="71"/>
      <c r="O57" s="71">
        <f t="shared" si="17"/>
        <v>282463.62</v>
      </c>
      <c r="P57" s="76">
        <f>9009.32+821.94-64719.8-214.62-12577.89-63.11-690.42+258.28</f>
        <v>-68176.3</v>
      </c>
      <c r="Q57" s="60">
        <v>214287.32</v>
      </c>
      <c r="R57" s="60">
        <v>214287.32</v>
      </c>
      <c r="S57" s="50">
        <f t="shared" si="1"/>
        <v>100</v>
      </c>
    </row>
    <row r="58" spans="1:19" ht="12.75">
      <c r="A58" s="7" t="s">
        <v>39</v>
      </c>
      <c r="B58" s="7"/>
      <c r="C58" s="71"/>
      <c r="D58" s="71"/>
      <c r="E58" s="71"/>
      <c r="F58" s="71">
        <f t="shared" si="14"/>
        <v>0</v>
      </c>
      <c r="G58" s="72">
        <f>9.35+432.65</f>
        <v>442</v>
      </c>
      <c r="H58" s="72"/>
      <c r="I58" s="72">
        <f t="shared" si="15"/>
        <v>442</v>
      </c>
      <c r="J58" s="71">
        <f>26.51</f>
        <v>26.51</v>
      </c>
      <c r="K58" s="71"/>
      <c r="L58" s="71">
        <f t="shared" si="16"/>
        <v>468.51</v>
      </c>
      <c r="M58" s="71">
        <f>176.03+9.54</f>
        <v>185.57</v>
      </c>
      <c r="N58" s="71"/>
      <c r="O58" s="71">
        <f t="shared" si="17"/>
        <v>654.0799999999999</v>
      </c>
      <c r="P58" s="76">
        <v>428.2</v>
      </c>
      <c r="Q58" s="60">
        <v>1082.28</v>
      </c>
      <c r="R58" s="60">
        <v>1082.28</v>
      </c>
      <c r="S58" s="50">
        <f t="shared" si="1"/>
        <v>100</v>
      </c>
    </row>
    <row r="59" spans="1:19" ht="12.75">
      <c r="A59" s="7" t="s">
        <v>40</v>
      </c>
      <c r="B59" s="7"/>
      <c r="C59" s="71"/>
      <c r="D59" s="71"/>
      <c r="E59" s="71"/>
      <c r="F59" s="71">
        <f t="shared" si="14"/>
        <v>0</v>
      </c>
      <c r="G59" s="71">
        <f>92+64+277+32+100+280</f>
        <v>845</v>
      </c>
      <c r="H59" s="72"/>
      <c r="I59" s="72">
        <f t="shared" si="15"/>
        <v>845</v>
      </c>
      <c r="J59" s="71">
        <f>12+120+31+32+23</f>
        <v>218</v>
      </c>
      <c r="K59" s="71"/>
      <c r="L59" s="71">
        <f t="shared" si="16"/>
        <v>1063</v>
      </c>
      <c r="M59" s="71">
        <f>28+26+21</f>
        <v>75</v>
      </c>
      <c r="N59" s="71"/>
      <c r="O59" s="71">
        <f t="shared" si="17"/>
        <v>1138</v>
      </c>
      <c r="P59" s="76">
        <v>-3</v>
      </c>
      <c r="Q59" s="60">
        <v>1135</v>
      </c>
      <c r="R59" s="60">
        <v>1135</v>
      </c>
      <c r="S59" s="50">
        <f t="shared" si="1"/>
        <v>100</v>
      </c>
    </row>
    <row r="60" spans="1:19" ht="12.75">
      <c r="A60" s="7" t="s">
        <v>334</v>
      </c>
      <c r="B60" s="7"/>
      <c r="C60" s="71"/>
      <c r="D60" s="71"/>
      <c r="E60" s="71"/>
      <c r="F60" s="71">
        <f t="shared" si="14"/>
        <v>0</v>
      </c>
      <c r="G60" s="72"/>
      <c r="H60" s="72"/>
      <c r="I60" s="72">
        <f t="shared" si="15"/>
        <v>0</v>
      </c>
      <c r="J60" s="71">
        <v>1679.09</v>
      </c>
      <c r="K60" s="71"/>
      <c r="L60" s="71">
        <f t="shared" si="16"/>
        <v>1679.09</v>
      </c>
      <c r="M60" s="71"/>
      <c r="N60" s="71"/>
      <c r="O60" s="71">
        <f t="shared" si="17"/>
        <v>1679.09</v>
      </c>
      <c r="P60" s="76"/>
      <c r="Q60" s="60">
        <v>1679.09</v>
      </c>
      <c r="R60" s="60">
        <v>1679.09</v>
      </c>
      <c r="S60" s="50">
        <f t="shared" si="1"/>
        <v>100</v>
      </c>
    </row>
    <row r="61" spans="1:19" ht="12.75">
      <c r="A61" s="7" t="s">
        <v>41</v>
      </c>
      <c r="B61" s="7"/>
      <c r="C61" s="71"/>
      <c r="D61" s="71"/>
      <c r="E61" s="71"/>
      <c r="F61" s="71">
        <f t="shared" si="14"/>
        <v>0</v>
      </c>
      <c r="G61" s="72">
        <f>5477+188.85+490+280</f>
        <v>6435.85</v>
      </c>
      <c r="H61" s="72"/>
      <c r="I61" s="72">
        <f t="shared" si="15"/>
        <v>6435.85</v>
      </c>
      <c r="J61" s="71"/>
      <c r="K61" s="71">
        <v>-150</v>
      </c>
      <c r="L61" s="71">
        <f t="shared" si="16"/>
        <v>6285.85</v>
      </c>
      <c r="M61" s="71">
        <f>31.22+499</f>
        <v>530.22</v>
      </c>
      <c r="N61" s="71"/>
      <c r="O61" s="71">
        <f t="shared" si="17"/>
        <v>6816.070000000001</v>
      </c>
      <c r="P61" s="76">
        <f>-0.12-26.4</f>
        <v>-26.52</v>
      </c>
      <c r="Q61" s="60">
        <v>6789.55</v>
      </c>
      <c r="R61" s="60">
        <v>6789.55</v>
      </c>
      <c r="S61" s="50">
        <f t="shared" si="1"/>
        <v>100</v>
      </c>
    </row>
    <row r="62" spans="1:19" ht="12.75">
      <c r="A62" s="7" t="s">
        <v>173</v>
      </c>
      <c r="B62" s="7"/>
      <c r="C62" s="71"/>
      <c r="D62" s="71"/>
      <c r="E62" s="71"/>
      <c r="F62" s="71">
        <f t="shared" si="14"/>
        <v>0</v>
      </c>
      <c r="G62" s="72">
        <v>262962.71</v>
      </c>
      <c r="H62" s="72"/>
      <c r="I62" s="72">
        <f t="shared" si="15"/>
        <v>262962.71</v>
      </c>
      <c r="J62" s="71"/>
      <c r="K62" s="71"/>
      <c r="L62" s="71">
        <f t="shared" si="16"/>
        <v>262962.71</v>
      </c>
      <c r="M62" s="71"/>
      <c r="N62" s="71"/>
      <c r="O62" s="71">
        <f t="shared" si="17"/>
        <v>262962.71</v>
      </c>
      <c r="P62" s="76"/>
      <c r="Q62" s="60">
        <v>262962.71</v>
      </c>
      <c r="R62" s="60">
        <f>262962.71</f>
        <v>262962.71</v>
      </c>
      <c r="S62" s="50">
        <f t="shared" si="1"/>
        <v>100</v>
      </c>
    </row>
    <row r="63" spans="1:19" ht="13.5" thickBot="1">
      <c r="A63" s="153" t="s">
        <v>372</v>
      </c>
      <c r="B63" s="153"/>
      <c r="C63" s="101"/>
      <c r="D63" s="101"/>
      <c r="E63" s="101"/>
      <c r="F63" s="101"/>
      <c r="G63" s="102"/>
      <c r="H63" s="102"/>
      <c r="I63" s="102"/>
      <c r="J63" s="101"/>
      <c r="K63" s="101"/>
      <c r="L63" s="101"/>
      <c r="M63" s="101"/>
      <c r="N63" s="101"/>
      <c r="O63" s="101"/>
      <c r="P63" s="132"/>
      <c r="Q63" s="154"/>
      <c r="R63" s="154">
        <v>-289</v>
      </c>
      <c r="S63" s="155" t="s">
        <v>368</v>
      </c>
    </row>
    <row r="64" spans="1:19" ht="12.75">
      <c r="A64" s="7" t="s">
        <v>202</v>
      </c>
      <c r="B64" s="7"/>
      <c r="C64" s="71"/>
      <c r="D64" s="71"/>
      <c r="E64" s="71"/>
      <c r="F64" s="71">
        <f t="shared" si="14"/>
        <v>0</v>
      </c>
      <c r="G64" s="72"/>
      <c r="H64" s="72"/>
      <c r="I64" s="72">
        <f t="shared" si="15"/>
        <v>0</v>
      </c>
      <c r="J64" s="71">
        <f>404.85</f>
        <v>404.85</v>
      </c>
      <c r="K64" s="71"/>
      <c r="L64" s="71">
        <f t="shared" si="16"/>
        <v>404.85</v>
      </c>
      <c r="M64" s="71">
        <f>18810.69+143</f>
        <v>18953.69</v>
      </c>
      <c r="N64" s="71"/>
      <c r="O64" s="71">
        <f t="shared" si="17"/>
        <v>19358.539999999997</v>
      </c>
      <c r="P64" s="76">
        <f>170.47+378.1</f>
        <v>548.57</v>
      </c>
      <c r="Q64" s="60">
        <v>19907.109999999997</v>
      </c>
      <c r="R64" s="60">
        <v>19907.11</v>
      </c>
      <c r="S64" s="50">
        <f t="shared" si="1"/>
        <v>100.00000000000003</v>
      </c>
    </row>
    <row r="65" spans="1:19" ht="12.75">
      <c r="A65" s="7" t="s">
        <v>325</v>
      </c>
      <c r="B65" s="7"/>
      <c r="C65" s="71"/>
      <c r="D65" s="71"/>
      <c r="E65" s="71"/>
      <c r="F65" s="71">
        <f t="shared" si="14"/>
        <v>0</v>
      </c>
      <c r="G65" s="72">
        <v>250</v>
      </c>
      <c r="H65" s="72"/>
      <c r="I65" s="72">
        <f t="shared" si="15"/>
        <v>250</v>
      </c>
      <c r="J65" s="71"/>
      <c r="K65" s="71"/>
      <c r="L65" s="71">
        <f t="shared" si="16"/>
        <v>250</v>
      </c>
      <c r="M65" s="71"/>
      <c r="N65" s="71"/>
      <c r="O65" s="71">
        <f t="shared" si="17"/>
        <v>250</v>
      </c>
      <c r="P65" s="76"/>
      <c r="Q65" s="60">
        <v>250</v>
      </c>
      <c r="R65" s="60">
        <v>250</v>
      </c>
      <c r="S65" s="50">
        <f t="shared" si="1"/>
        <v>100</v>
      </c>
    </row>
    <row r="66" spans="1:19" ht="12.75">
      <c r="A66" s="7" t="s">
        <v>42</v>
      </c>
      <c r="B66" s="7"/>
      <c r="C66" s="71"/>
      <c r="D66" s="71"/>
      <c r="E66" s="71"/>
      <c r="F66" s="71">
        <f t="shared" si="14"/>
        <v>0</v>
      </c>
      <c r="G66" s="72">
        <f>158.05</f>
        <v>158.05</v>
      </c>
      <c r="H66" s="72"/>
      <c r="I66" s="72">
        <f t="shared" si="15"/>
        <v>158.05</v>
      </c>
      <c r="J66" s="71">
        <f>156.47+3465.91+1891.19+1659.88</f>
        <v>7173.45</v>
      </c>
      <c r="K66" s="71"/>
      <c r="L66" s="71">
        <f t="shared" si="16"/>
        <v>7331.5</v>
      </c>
      <c r="M66" s="71">
        <f>161.67</f>
        <v>161.67</v>
      </c>
      <c r="N66" s="71"/>
      <c r="O66" s="71">
        <f t="shared" si="17"/>
        <v>7493.17</v>
      </c>
      <c r="P66" s="76">
        <f>3097.4</f>
        <v>3097.4</v>
      </c>
      <c r="Q66" s="82">
        <v>10434.1</v>
      </c>
      <c r="R66" s="82">
        <v>10434.1</v>
      </c>
      <c r="S66" s="50">
        <f t="shared" si="1"/>
        <v>100</v>
      </c>
    </row>
    <row r="67" spans="1:19" ht="12.75">
      <c r="A67" s="7" t="s">
        <v>43</v>
      </c>
      <c r="B67" s="7"/>
      <c r="C67" s="71"/>
      <c r="D67" s="71"/>
      <c r="E67" s="71"/>
      <c r="F67" s="71">
        <f t="shared" si="14"/>
        <v>0</v>
      </c>
      <c r="G67" s="71">
        <v>61</v>
      </c>
      <c r="H67" s="72"/>
      <c r="I67" s="72">
        <f t="shared" si="15"/>
        <v>61</v>
      </c>
      <c r="J67" s="78">
        <v>250</v>
      </c>
      <c r="K67" s="71"/>
      <c r="L67" s="71">
        <f t="shared" si="16"/>
        <v>311</v>
      </c>
      <c r="M67" s="71"/>
      <c r="N67" s="71"/>
      <c r="O67" s="71">
        <f t="shared" si="17"/>
        <v>311</v>
      </c>
      <c r="P67" s="76"/>
      <c r="Q67" s="60">
        <v>311</v>
      </c>
      <c r="R67" s="60">
        <v>311</v>
      </c>
      <c r="S67" s="50">
        <f t="shared" si="1"/>
        <v>100</v>
      </c>
    </row>
    <row r="68" spans="1:19" ht="12.75">
      <c r="A68" s="7" t="s">
        <v>203</v>
      </c>
      <c r="B68" s="7"/>
      <c r="C68" s="71"/>
      <c r="D68" s="71"/>
      <c r="E68" s="71"/>
      <c r="F68" s="71">
        <f t="shared" si="14"/>
        <v>0</v>
      </c>
      <c r="G68" s="72"/>
      <c r="H68" s="72"/>
      <c r="I68" s="72">
        <f t="shared" si="15"/>
        <v>0</v>
      </c>
      <c r="J68" s="78">
        <f>21.31</f>
        <v>21.31</v>
      </c>
      <c r="K68" s="71"/>
      <c r="L68" s="71">
        <f t="shared" si="16"/>
        <v>21.31</v>
      </c>
      <c r="M68" s="71">
        <f>990.04</f>
        <v>990.04</v>
      </c>
      <c r="N68" s="71"/>
      <c r="O68" s="71">
        <f t="shared" si="17"/>
        <v>1011.3499999999999</v>
      </c>
      <c r="P68" s="76">
        <f>8.97+19.9</f>
        <v>28.869999999999997</v>
      </c>
      <c r="Q68" s="60">
        <v>1040.2199999999998</v>
      </c>
      <c r="R68" s="60">
        <v>1040.22</v>
      </c>
      <c r="S68" s="50">
        <f t="shared" si="1"/>
        <v>100.00000000000003</v>
      </c>
    </row>
    <row r="69" spans="1:19" ht="12.75">
      <c r="A69" s="7" t="s">
        <v>54</v>
      </c>
      <c r="B69" s="7"/>
      <c r="C69" s="71"/>
      <c r="D69" s="71"/>
      <c r="E69" s="71"/>
      <c r="F69" s="71">
        <f t="shared" si="14"/>
        <v>0</v>
      </c>
      <c r="G69" s="71">
        <f>1862.38+80.92+77.61+62.34+73.01+118.19+1650.41</f>
        <v>3924.8600000000006</v>
      </c>
      <c r="H69" s="72"/>
      <c r="I69" s="72">
        <f t="shared" si="15"/>
        <v>3924.8600000000006</v>
      </c>
      <c r="J69" s="83">
        <f>50.46+91.47+534.28+529.42+654.88+439.64</f>
        <v>2300.15</v>
      </c>
      <c r="K69" s="71"/>
      <c r="L69" s="71">
        <f t="shared" si="16"/>
        <v>6225.01</v>
      </c>
      <c r="M69" s="71">
        <f>90.26+503.54+70.36+72.92+79.54+381.06</f>
        <v>1197.68</v>
      </c>
      <c r="N69" s="71"/>
      <c r="O69" s="71">
        <f t="shared" si="17"/>
        <v>7422.6900000000005</v>
      </c>
      <c r="P69" s="76">
        <v>98.14</v>
      </c>
      <c r="Q69" s="60">
        <v>7520.830000000001</v>
      </c>
      <c r="R69" s="60">
        <v>7520.83</v>
      </c>
      <c r="S69" s="50">
        <f t="shared" si="1"/>
        <v>99.99999999999999</v>
      </c>
    </row>
    <row r="70" spans="1:19" ht="12.75">
      <c r="A70" s="7" t="s">
        <v>44</v>
      </c>
      <c r="B70" s="7"/>
      <c r="C70" s="71"/>
      <c r="D70" s="71"/>
      <c r="E70" s="71"/>
      <c r="F70" s="71">
        <f t="shared" si="14"/>
        <v>0</v>
      </c>
      <c r="G70" s="71">
        <f>42265+7297</f>
        <v>49562</v>
      </c>
      <c r="H70" s="72"/>
      <c r="I70" s="72">
        <f t="shared" si="15"/>
        <v>49562</v>
      </c>
      <c r="J70" s="71">
        <v>-6438.75</v>
      </c>
      <c r="K70" s="71"/>
      <c r="L70" s="71">
        <f t="shared" si="16"/>
        <v>43123.25</v>
      </c>
      <c r="M70" s="71"/>
      <c r="N70" s="71"/>
      <c r="O70" s="71">
        <f t="shared" si="17"/>
        <v>43123.25</v>
      </c>
      <c r="P70" s="76">
        <f>-4212.65-552.49</f>
        <v>-4765.139999999999</v>
      </c>
      <c r="Q70" s="60">
        <v>38358.11</v>
      </c>
      <c r="R70" s="60">
        <v>38358.11</v>
      </c>
      <c r="S70" s="50">
        <f t="shared" si="1"/>
        <v>100</v>
      </c>
    </row>
    <row r="71" spans="1:19" ht="12.75">
      <c r="A71" s="7" t="s">
        <v>45</v>
      </c>
      <c r="B71" s="7"/>
      <c r="C71" s="71"/>
      <c r="D71" s="71"/>
      <c r="E71" s="71"/>
      <c r="F71" s="71">
        <f t="shared" si="14"/>
        <v>0</v>
      </c>
      <c r="G71" s="71">
        <v>451.5</v>
      </c>
      <c r="H71" s="72"/>
      <c r="I71" s="72">
        <f t="shared" si="15"/>
        <v>451.5</v>
      </c>
      <c r="J71" s="71"/>
      <c r="K71" s="71"/>
      <c r="L71" s="71">
        <f t="shared" si="16"/>
        <v>451.5</v>
      </c>
      <c r="M71" s="71"/>
      <c r="N71" s="71"/>
      <c r="O71" s="71">
        <f t="shared" si="17"/>
        <v>451.5</v>
      </c>
      <c r="P71" s="76"/>
      <c r="Q71" s="60">
        <v>451.5</v>
      </c>
      <c r="R71" s="60">
        <v>451.5</v>
      </c>
      <c r="S71" s="50">
        <f t="shared" si="1"/>
        <v>100</v>
      </c>
    </row>
    <row r="72" spans="1:19" ht="12.75">
      <c r="A72" s="7" t="s">
        <v>338</v>
      </c>
      <c r="B72" s="7"/>
      <c r="C72" s="71"/>
      <c r="D72" s="71"/>
      <c r="E72" s="71"/>
      <c r="F72" s="71"/>
      <c r="G72" s="71"/>
      <c r="H72" s="72"/>
      <c r="I72" s="72">
        <f t="shared" si="15"/>
        <v>0</v>
      </c>
      <c r="J72" s="71">
        <v>221.1</v>
      </c>
      <c r="K72" s="71"/>
      <c r="L72" s="71">
        <f t="shared" si="16"/>
        <v>221.1</v>
      </c>
      <c r="M72" s="71"/>
      <c r="N72" s="71"/>
      <c r="O72" s="71">
        <f t="shared" si="17"/>
        <v>221.1</v>
      </c>
      <c r="P72" s="76">
        <v>-35.3</v>
      </c>
      <c r="Q72" s="60">
        <v>185.8</v>
      </c>
      <c r="R72" s="60">
        <v>185.8</v>
      </c>
      <c r="S72" s="50">
        <f t="shared" si="1"/>
        <v>100</v>
      </c>
    </row>
    <row r="73" spans="1:19" ht="12.75">
      <c r="A73" s="7" t="s">
        <v>46</v>
      </c>
      <c r="B73" s="7"/>
      <c r="C73" s="71">
        <v>250</v>
      </c>
      <c r="D73" s="71"/>
      <c r="E73" s="71"/>
      <c r="F73" s="71">
        <f t="shared" si="14"/>
        <v>250</v>
      </c>
      <c r="G73" s="72">
        <v>2376</v>
      </c>
      <c r="H73" s="72"/>
      <c r="I73" s="72">
        <f t="shared" si="15"/>
        <v>2626</v>
      </c>
      <c r="J73" s="71">
        <v>25.97</v>
      </c>
      <c r="K73" s="71"/>
      <c r="L73" s="71">
        <f t="shared" si="16"/>
        <v>2651.97</v>
      </c>
      <c r="M73" s="71">
        <v>15.37</v>
      </c>
      <c r="N73" s="71"/>
      <c r="O73" s="71">
        <f t="shared" si="17"/>
        <v>2667.3399999999997</v>
      </c>
      <c r="P73" s="76"/>
      <c r="Q73" s="60">
        <v>2667.3399999999997</v>
      </c>
      <c r="R73" s="60">
        <v>2667.34</v>
      </c>
      <c r="S73" s="50">
        <f t="shared" si="1"/>
        <v>100.00000000000003</v>
      </c>
    </row>
    <row r="74" spans="1:19" ht="12.75">
      <c r="A74" s="7" t="s">
        <v>341</v>
      </c>
      <c r="B74" s="7"/>
      <c r="C74" s="71"/>
      <c r="D74" s="71"/>
      <c r="E74" s="71"/>
      <c r="F74" s="71"/>
      <c r="G74" s="72"/>
      <c r="H74" s="72"/>
      <c r="I74" s="72">
        <f t="shared" si="15"/>
        <v>0</v>
      </c>
      <c r="J74" s="71">
        <v>108.5</v>
      </c>
      <c r="K74" s="71"/>
      <c r="L74" s="71">
        <f t="shared" si="16"/>
        <v>108.5</v>
      </c>
      <c r="M74" s="71"/>
      <c r="N74" s="71"/>
      <c r="O74" s="71">
        <f t="shared" si="17"/>
        <v>108.5</v>
      </c>
      <c r="P74" s="76"/>
      <c r="Q74" s="60">
        <v>108.5</v>
      </c>
      <c r="R74" s="60">
        <v>108.5</v>
      </c>
      <c r="S74" s="50">
        <f t="shared" si="1"/>
        <v>100</v>
      </c>
    </row>
    <row r="75" spans="1:19" ht="12.75">
      <c r="A75" s="7" t="s">
        <v>214</v>
      </c>
      <c r="B75" s="7"/>
      <c r="C75" s="71"/>
      <c r="D75" s="71">
        <v>500</v>
      </c>
      <c r="E75" s="71"/>
      <c r="F75" s="71">
        <f t="shared" si="14"/>
        <v>500</v>
      </c>
      <c r="G75" s="72"/>
      <c r="H75" s="72"/>
      <c r="I75" s="72">
        <f t="shared" si="15"/>
        <v>500</v>
      </c>
      <c r="J75" s="71">
        <v>350</v>
      </c>
      <c r="K75" s="71"/>
      <c r="L75" s="71">
        <f t="shared" si="16"/>
        <v>850</v>
      </c>
      <c r="M75" s="71"/>
      <c r="N75" s="71"/>
      <c r="O75" s="71">
        <f t="shared" si="17"/>
        <v>850</v>
      </c>
      <c r="P75" s="76"/>
      <c r="Q75" s="60">
        <v>850</v>
      </c>
      <c r="R75" s="60">
        <v>850</v>
      </c>
      <c r="S75" s="50">
        <f t="shared" si="1"/>
        <v>100</v>
      </c>
    </row>
    <row r="76" spans="1:19" ht="12.75" hidden="1">
      <c r="A76" s="8" t="s">
        <v>47</v>
      </c>
      <c r="B76" s="8"/>
      <c r="C76" s="79">
        <f>SUM(C78:C80)</f>
        <v>0</v>
      </c>
      <c r="D76" s="79">
        <f>SUM(D78:D80)</f>
        <v>0</v>
      </c>
      <c r="E76" s="79"/>
      <c r="F76" s="79">
        <f>SUM(F78:F80)</f>
        <v>0</v>
      </c>
      <c r="G76" s="80">
        <f aca="true" t="shared" si="18" ref="G76:R76">SUM(G78:G80)</f>
        <v>0</v>
      </c>
      <c r="H76" s="80">
        <f t="shared" si="18"/>
        <v>0</v>
      </c>
      <c r="I76" s="80">
        <f t="shared" si="18"/>
        <v>0</v>
      </c>
      <c r="J76" s="79">
        <f t="shared" si="18"/>
        <v>0</v>
      </c>
      <c r="K76" s="79">
        <f t="shared" si="18"/>
        <v>0</v>
      </c>
      <c r="L76" s="79">
        <f t="shared" si="18"/>
        <v>0</v>
      </c>
      <c r="M76" s="79">
        <f t="shared" si="18"/>
        <v>0</v>
      </c>
      <c r="N76" s="79">
        <f t="shared" si="18"/>
        <v>0</v>
      </c>
      <c r="O76" s="79">
        <f t="shared" si="18"/>
        <v>0</v>
      </c>
      <c r="P76" s="81">
        <f t="shared" si="18"/>
        <v>0</v>
      </c>
      <c r="Q76" s="80">
        <v>0</v>
      </c>
      <c r="R76" s="80">
        <f t="shared" si="18"/>
        <v>0</v>
      </c>
      <c r="S76" s="50" t="e">
        <f t="shared" si="1"/>
        <v>#DIV/0!</v>
      </c>
    </row>
    <row r="77" spans="1:19" ht="12.75" hidden="1">
      <c r="A77" s="5" t="s">
        <v>34</v>
      </c>
      <c r="B77" s="5"/>
      <c r="C77" s="71"/>
      <c r="D77" s="71"/>
      <c r="E77" s="71"/>
      <c r="F77" s="71"/>
      <c r="G77" s="72"/>
      <c r="H77" s="72"/>
      <c r="I77" s="72"/>
      <c r="J77" s="71"/>
      <c r="K77" s="71"/>
      <c r="L77" s="71"/>
      <c r="M77" s="71"/>
      <c r="N77" s="71"/>
      <c r="O77" s="71">
        <f>L77+M77+N77</f>
        <v>0</v>
      </c>
      <c r="P77" s="76"/>
      <c r="Q77" s="60"/>
      <c r="R77" s="60"/>
      <c r="S77" s="50" t="e">
        <f t="shared" si="1"/>
        <v>#DIV/0!</v>
      </c>
    </row>
    <row r="78" spans="1:19" ht="12.75" hidden="1">
      <c r="A78" s="7" t="s">
        <v>48</v>
      </c>
      <c r="B78" s="7"/>
      <c r="C78" s="71"/>
      <c r="D78" s="71"/>
      <c r="E78" s="71"/>
      <c r="F78" s="71">
        <f>C78+D78+E78</f>
        <v>0</v>
      </c>
      <c r="G78" s="72"/>
      <c r="H78" s="72"/>
      <c r="I78" s="72">
        <f>F78+G78+H78</f>
        <v>0</v>
      </c>
      <c r="J78" s="71"/>
      <c r="K78" s="71"/>
      <c r="L78" s="71">
        <f>I78+J78+K78</f>
        <v>0</v>
      </c>
      <c r="M78" s="71"/>
      <c r="N78" s="71"/>
      <c r="O78" s="71">
        <f>L78+M78+N78</f>
        <v>0</v>
      </c>
      <c r="P78" s="76"/>
      <c r="Q78" s="60">
        <v>0</v>
      </c>
      <c r="R78" s="60"/>
      <c r="S78" s="50" t="e">
        <f t="shared" si="1"/>
        <v>#DIV/0!</v>
      </c>
    </row>
    <row r="79" spans="1:19" ht="12.75" hidden="1">
      <c r="A79" s="7" t="s">
        <v>49</v>
      </c>
      <c r="B79" s="7"/>
      <c r="C79" s="71"/>
      <c r="D79" s="71"/>
      <c r="E79" s="71"/>
      <c r="F79" s="71">
        <f>C79+D79+E79</f>
        <v>0</v>
      </c>
      <c r="G79" s="72"/>
      <c r="H79" s="72"/>
      <c r="I79" s="72">
        <f>F79+G79+H79</f>
        <v>0</v>
      </c>
      <c r="J79" s="71"/>
      <c r="K79" s="71"/>
      <c r="L79" s="71">
        <f>I79+J79+K79</f>
        <v>0</v>
      </c>
      <c r="M79" s="71"/>
      <c r="N79" s="71"/>
      <c r="O79" s="71">
        <f>L79+M79+N79</f>
        <v>0</v>
      </c>
      <c r="P79" s="76"/>
      <c r="Q79" s="60">
        <v>0</v>
      </c>
      <c r="R79" s="60"/>
      <c r="S79" s="50" t="e">
        <f aca="true" t="shared" si="19" ref="S79:S139">R79/Q79*100</f>
        <v>#DIV/0!</v>
      </c>
    </row>
    <row r="80" spans="1:19" ht="12.75" hidden="1">
      <c r="A80" s="7" t="s">
        <v>50</v>
      </c>
      <c r="B80" s="7"/>
      <c r="C80" s="71"/>
      <c r="D80" s="71"/>
      <c r="E80" s="71"/>
      <c r="F80" s="71">
        <f>C80+D80+E80</f>
        <v>0</v>
      </c>
      <c r="G80" s="72"/>
      <c r="H80" s="72"/>
      <c r="I80" s="72">
        <f>F80+G80+H80</f>
        <v>0</v>
      </c>
      <c r="J80" s="71"/>
      <c r="K80" s="71"/>
      <c r="L80" s="71">
        <f>I80+J80+K80</f>
        <v>0</v>
      </c>
      <c r="M80" s="71"/>
      <c r="N80" s="71"/>
      <c r="O80" s="71">
        <f>L80+M80+N80</f>
        <v>0</v>
      </c>
      <c r="P80" s="76"/>
      <c r="Q80" s="60">
        <v>0</v>
      </c>
      <c r="R80" s="60"/>
      <c r="S80" s="50" t="e">
        <f t="shared" si="19"/>
        <v>#DIV/0!</v>
      </c>
    </row>
    <row r="81" spans="1:19" ht="12.75">
      <c r="A81" s="4" t="s">
        <v>51</v>
      </c>
      <c r="B81" s="4"/>
      <c r="C81" s="67">
        <f>SUM(C83:C96)</f>
        <v>0</v>
      </c>
      <c r="D81" s="67">
        <f>SUM(D83:D96)</f>
        <v>0</v>
      </c>
      <c r="E81" s="67"/>
      <c r="F81" s="67">
        <f>SUM(F83:F96)</f>
        <v>0</v>
      </c>
      <c r="G81" s="68">
        <f aca="true" t="shared" si="20" ref="G81:R81">SUM(G83:G96)</f>
        <v>95875.33000000002</v>
      </c>
      <c r="H81" s="68">
        <f t="shared" si="20"/>
        <v>0</v>
      </c>
      <c r="I81" s="68">
        <f t="shared" si="20"/>
        <v>95875.33000000002</v>
      </c>
      <c r="J81" s="67">
        <f t="shared" si="20"/>
        <v>109736.15</v>
      </c>
      <c r="K81" s="67">
        <f t="shared" si="20"/>
        <v>0</v>
      </c>
      <c r="L81" s="67">
        <f t="shared" si="20"/>
        <v>205611.48</v>
      </c>
      <c r="M81" s="67">
        <f t="shared" si="20"/>
        <v>278059.94</v>
      </c>
      <c r="N81" s="67">
        <f t="shared" si="20"/>
        <v>0</v>
      </c>
      <c r="O81" s="67">
        <f t="shared" si="20"/>
        <v>483671.42000000004</v>
      </c>
      <c r="P81" s="67">
        <f t="shared" si="20"/>
        <v>75369.45999999999</v>
      </c>
      <c r="Q81" s="67">
        <f t="shared" si="20"/>
        <v>558243.02</v>
      </c>
      <c r="R81" s="68">
        <f t="shared" si="20"/>
        <v>558243.02</v>
      </c>
      <c r="S81" s="148">
        <f t="shared" si="19"/>
        <v>100</v>
      </c>
    </row>
    <row r="82" spans="1:19" ht="12.75">
      <c r="A82" s="9" t="s">
        <v>34</v>
      </c>
      <c r="B82" s="9"/>
      <c r="C82" s="71"/>
      <c r="D82" s="71"/>
      <c r="E82" s="71"/>
      <c r="F82" s="71"/>
      <c r="G82" s="72"/>
      <c r="H82" s="72"/>
      <c r="I82" s="72"/>
      <c r="J82" s="71"/>
      <c r="K82" s="71"/>
      <c r="L82" s="71"/>
      <c r="M82" s="71"/>
      <c r="N82" s="71"/>
      <c r="O82" s="71"/>
      <c r="P82" s="76"/>
      <c r="Q82" s="60"/>
      <c r="R82" s="60"/>
      <c r="S82" s="50"/>
    </row>
    <row r="83" spans="1:19" ht="12.75">
      <c r="A83" s="7" t="s">
        <v>37</v>
      </c>
      <c r="B83" s="7"/>
      <c r="C83" s="71"/>
      <c r="D83" s="71"/>
      <c r="E83" s="71"/>
      <c r="F83" s="71">
        <f>C83+D83+E83</f>
        <v>0</v>
      </c>
      <c r="G83" s="71">
        <f>1072.94+7300</f>
        <v>8372.94</v>
      </c>
      <c r="H83" s="72"/>
      <c r="I83" s="72">
        <f>F83+G83+H83</f>
        <v>8372.94</v>
      </c>
      <c r="J83" s="71">
        <f>6531.18+916.3+15000+28024.13</f>
        <v>50471.61</v>
      </c>
      <c r="K83" s="71"/>
      <c r="L83" s="71">
        <f>I83+J83+K83</f>
        <v>58844.55</v>
      </c>
      <c r="M83" s="71">
        <f>-1917.89+2142.92</f>
        <v>225.02999999999997</v>
      </c>
      <c r="N83" s="71"/>
      <c r="O83" s="71">
        <f>L83+M83+N83</f>
        <v>59069.58</v>
      </c>
      <c r="P83" s="76">
        <f>-60</f>
        <v>-60</v>
      </c>
      <c r="Q83" s="60">
        <v>59009.58</v>
      </c>
      <c r="R83" s="60">
        <v>59009.58</v>
      </c>
      <c r="S83" s="50">
        <f t="shared" si="19"/>
        <v>100</v>
      </c>
    </row>
    <row r="84" spans="1:19" ht="12.75">
      <c r="A84" s="11" t="s">
        <v>38</v>
      </c>
      <c r="B84" s="11"/>
      <c r="C84" s="71"/>
      <c r="D84" s="71"/>
      <c r="E84" s="71"/>
      <c r="F84" s="71">
        <f aca="true" t="shared" si="21" ref="F84:F96">C84+D84+E84</f>
        <v>0</v>
      </c>
      <c r="G84" s="72"/>
      <c r="H84" s="72"/>
      <c r="I84" s="72">
        <f aca="true" t="shared" si="22" ref="I84:I96">F84+G84+H84</f>
        <v>0</v>
      </c>
      <c r="J84" s="71">
        <v>17.82</v>
      </c>
      <c r="K84" s="71"/>
      <c r="L84" s="71">
        <f aca="true" t="shared" si="23" ref="L84:L96">I84+J84+K84</f>
        <v>17.82</v>
      </c>
      <c r="M84" s="71">
        <f>93.42+16.94</f>
        <v>110.36</v>
      </c>
      <c r="N84" s="71"/>
      <c r="O84" s="71">
        <f aca="true" t="shared" si="24" ref="O84:O92">L84+M84+N84</f>
        <v>128.18</v>
      </c>
      <c r="P84" s="76">
        <f>12.1+204.49+304.31</f>
        <v>520.9</v>
      </c>
      <c r="Q84" s="60">
        <v>649.0799999999999</v>
      </c>
      <c r="R84" s="60">
        <v>649.08</v>
      </c>
      <c r="S84" s="50">
        <f t="shared" si="19"/>
        <v>100.00000000000003</v>
      </c>
    </row>
    <row r="85" spans="1:19" ht="12.75">
      <c r="A85" s="11" t="s">
        <v>36</v>
      </c>
      <c r="B85" s="11"/>
      <c r="C85" s="71"/>
      <c r="D85" s="71"/>
      <c r="E85" s="71"/>
      <c r="F85" s="71">
        <f t="shared" si="21"/>
        <v>0</v>
      </c>
      <c r="G85" s="72"/>
      <c r="H85" s="72"/>
      <c r="I85" s="72">
        <f t="shared" si="22"/>
        <v>0</v>
      </c>
      <c r="J85" s="71"/>
      <c r="K85" s="71"/>
      <c r="L85" s="71">
        <f t="shared" si="23"/>
        <v>0</v>
      </c>
      <c r="M85" s="71"/>
      <c r="N85" s="71"/>
      <c r="O85" s="71">
        <f t="shared" si="24"/>
        <v>0</v>
      </c>
      <c r="P85" s="76">
        <f>429.99</f>
        <v>429.99</v>
      </c>
      <c r="Q85" s="60">
        <v>429.99</v>
      </c>
      <c r="R85" s="60">
        <v>429.99</v>
      </c>
      <c r="S85" s="50">
        <f t="shared" si="19"/>
        <v>100</v>
      </c>
    </row>
    <row r="86" spans="1:19" ht="12.75">
      <c r="A86" s="11" t="s">
        <v>52</v>
      </c>
      <c r="B86" s="11"/>
      <c r="C86" s="71"/>
      <c r="D86" s="71"/>
      <c r="E86" s="71"/>
      <c r="F86" s="71">
        <f t="shared" si="21"/>
        <v>0</v>
      </c>
      <c r="G86" s="72"/>
      <c r="H86" s="72"/>
      <c r="I86" s="72">
        <f t="shared" si="22"/>
        <v>0</v>
      </c>
      <c r="J86" s="71"/>
      <c r="K86" s="71"/>
      <c r="L86" s="71">
        <f t="shared" si="23"/>
        <v>0</v>
      </c>
      <c r="M86" s="71">
        <f>5190.97+10599.45+4916.65+24605.9</f>
        <v>45312.97</v>
      </c>
      <c r="N86" s="71"/>
      <c r="O86" s="71">
        <f t="shared" si="24"/>
        <v>45312.97</v>
      </c>
      <c r="P86" s="76"/>
      <c r="Q86" s="60">
        <v>45312.97</v>
      </c>
      <c r="R86" s="60">
        <v>45312.97</v>
      </c>
      <c r="S86" s="50">
        <f t="shared" si="19"/>
        <v>100</v>
      </c>
    </row>
    <row r="87" spans="1:19" ht="12.75">
      <c r="A87" s="11" t="s">
        <v>40</v>
      </c>
      <c r="B87" s="11"/>
      <c r="C87" s="71"/>
      <c r="D87" s="71"/>
      <c r="E87" s="71"/>
      <c r="F87" s="71"/>
      <c r="G87" s="72"/>
      <c r="H87" s="72"/>
      <c r="I87" s="72">
        <f t="shared" si="22"/>
        <v>0</v>
      </c>
      <c r="J87" s="71">
        <v>43</v>
      </c>
      <c r="K87" s="71"/>
      <c r="L87" s="71">
        <f t="shared" si="23"/>
        <v>43</v>
      </c>
      <c r="M87" s="71"/>
      <c r="N87" s="71"/>
      <c r="O87" s="71">
        <f t="shared" si="24"/>
        <v>43</v>
      </c>
      <c r="P87" s="76"/>
      <c r="Q87" s="60">
        <v>43</v>
      </c>
      <c r="R87" s="60">
        <v>43</v>
      </c>
      <c r="S87" s="50">
        <f t="shared" si="19"/>
        <v>100</v>
      </c>
    </row>
    <row r="88" spans="1:19" ht="12.75">
      <c r="A88" s="7" t="s">
        <v>39</v>
      </c>
      <c r="B88" s="7"/>
      <c r="C88" s="71"/>
      <c r="D88" s="71"/>
      <c r="E88" s="71"/>
      <c r="F88" s="71">
        <f t="shared" si="21"/>
        <v>0</v>
      </c>
      <c r="G88" s="72">
        <f>333.75</f>
        <v>333.75</v>
      </c>
      <c r="H88" s="72"/>
      <c r="I88" s="72">
        <f t="shared" si="22"/>
        <v>333.75</v>
      </c>
      <c r="J88" s="71"/>
      <c r="K88" s="71"/>
      <c r="L88" s="71">
        <f t="shared" si="23"/>
        <v>333.75</v>
      </c>
      <c r="M88" s="71">
        <f>611.15</f>
        <v>611.15</v>
      </c>
      <c r="N88" s="71"/>
      <c r="O88" s="71">
        <f t="shared" si="24"/>
        <v>944.9</v>
      </c>
      <c r="P88" s="76">
        <v>1490.37</v>
      </c>
      <c r="Q88" s="82">
        <v>2435.26</v>
      </c>
      <c r="R88" s="82">
        <v>2435.26</v>
      </c>
      <c r="S88" s="50">
        <f t="shared" si="19"/>
        <v>100</v>
      </c>
    </row>
    <row r="89" spans="1:19" ht="12.75">
      <c r="A89" s="7" t="s">
        <v>202</v>
      </c>
      <c r="B89" s="7"/>
      <c r="C89" s="71"/>
      <c r="D89" s="71"/>
      <c r="E89" s="71"/>
      <c r="F89" s="71">
        <f t="shared" si="21"/>
        <v>0</v>
      </c>
      <c r="G89" s="72"/>
      <c r="H89" s="72"/>
      <c r="I89" s="72">
        <f t="shared" si="22"/>
        <v>0</v>
      </c>
      <c r="J89" s="71"/>
      <c r="K89" s="71"/>
      <c r="L89" s="71">
        <f t="shared" si="23"/>
        <v>0</v>
      </c>
      <c r="M89" s="71">
        <f>8800.9+3313.06</f>
        <v>12113.96</v>
      </c>
      <c r="N89" s="71"/>
      <c r="O89" s="71">
        <f t="shared" si="24"/>
        <v>12113.96</v>
      </c>
      <c r="P89" s="76">
        <f>5262.6+4454.22+9724.63+3955.97+2856.06+3632.51</f>
        <v>29885.989999999998</v>
      </c>
      <c r="Q89" s="82">
        <v>41999.95</v>
      </c>
      <c r="R89" s="82">
        <v>41999.95</v>
      </c>
      <c r="S89" s="50">
        <f t="shared" si="19"/>
        <v>100</v>
      </c>
    </row>
    <row r="90" spans="1:19" ht="12.75">
      <c r="A90" s="7" t="s">
        <v>203</v>
      </c>
      <c r="B90" s="7"/>
      <c r="C90" s="71"/>
      <c r="D90" s="71"/>
      <c r="E90" s="71"/>
      <c r="F90" s="71">
        <f t="shared" si="21"/>
        <v>0</v>
      </c>
      <c r="G90" s="72"/>
      <c r="H90" s="72"/>
      <c r="I90" s="72">
        <f t="shared" si="22"/>
        <v>0</v>
      </c>
      <c r="J90" s="71"/>
      <c r="K90" s="71"/>
      <c r="L90" s="71">
        <f t="shared" si="23"/>
        <v>0</v>
      </c>
      <c r="M90" s="71">
        <f>517.7+194.89</f>
        <v>712.59</v>
      </c>
      <c r="N90" s="71"/>
      <c r="O90" s="71">
        <f t="shared" si="24"/>
        <v>712.59</v>
      </c>
      <c r="P90" s="76">
        <f>309.56+232.7+168</f>
        <v>710.26</v>
      </c>
      <c r="Q90" s="82">
        <v>1422.85</v>
      </c>
      <c r="R90" s="82">
        <v>1422.85</v>
      </c>
      <c r="S90" s="50">
        <f t="shared" si="19"/>
        <v>100</v>
      </c>
    </row>
    <row r="91" spans="1:19" ht="12.75" hidden="1">
      <c r="A91" s="7" t="s">
        <v>53</v>
      </c>
      <c r="B91" s="7"/>
      <c r="C91" s="71"/>
      <c r="D91" s="71"/>
      <c r="E91" s="71"/>
      <c r="F91" s="71">
        <f t="shared" si="21"/>
        <v>0</v>
      </c>
      <c r="G91" s="72"/>
      <c r="H91" s="72"/>
      <c r="I91" s="72">
        <f t="shared" si="22"/>
        <v>0</v>
      </c>
      <c r="J91" s="71"/>
      <c r="K91" s="71"/>
      <c r="L91" s="71">
        <f t="shared" si="23"/>
        <v>0</v>
      </c>
      <c r="M91" s="71"/>
      <c r="N91" s="71"/>
      <c r="O91" s="71">
        <f t="shared" si="24"/>
        <v>0</v>
      </c>
      <c r="P91" s="76"/>
      <c r="Q91" s="82">
        <v>0</v>
      </c>
      <c r="R91" s="82"/>
      <c r="S91" s="50" t="e">
        <f t="shared" si="19"/>
        <v>#DIV/0!</v>
      </c>
    </row>
    <row r="92" spans="1:19" ht="12.75">
      <c r="A92" s="7" t="s">
        <v>54</v>
      </c>
      <c r="B92" s="7"/>
      <c r="C92" s="71"/>
      <c r="D92" s="71"/>
      <c r="E92" s="71"/>
      <c r="F92" s="71">
        <f t="shared" si="21"/>
        <v>0</v>
      </c>
      <c r="G92" s="71">
        <f>929.33+16236.7+6084.52+41938.4+2883.74+1478.99+3186.46+14430.5</f>
        <v>87168.64000000001</v>
      </c>
      <c r="H92" s="72"/>
      <c r="I92" s="72">
        <f t="shared" si="22"/>
        <v>87168.64000000001</v>
      </c>
      <c r="J92" s="71">
        <f>2852.61+20914.97+2389.83+31211.03</f>
        <v>57368.44</v>
      </c>
      <c r="K92" s="71"/>
      <c r="L92" s="71">
        <f t="shared" si="23"/>
        <v>144537.08000000002</v>
      </c>
      <c r="M92" s="71">
        <f>3091.37+8974.85+504.8+1254.14+2587.99+9900.99+12810.04+16132.62+1316.31+35297.4+16537.08+3923.22+25528.73+12540.21+24401.91+26172.22</f>
        <v>200973.88</v>
      </c>
      <c r="N92" s="71"/>
      <c r="O92" s="71">
        <f t="shared" si="24"/>
        <v>345510.96</v>
      </c>
      <c r="P92" s="76">
        <f>13177.75+16557.01+13322.68</f>
        <v>43057.44</v>
      </c>
      <c r="Q92" s="82">
        <v>388568.4</v>
      </c>
      <c r="R92" s="82">
        <v>388568.4</v>
      </c>
      <c r="S92" s="50">
        <f t="shared" si="19"/>
        <v>100</v>
      </c>
    </row>
    <row r="93" spans="1:19" ht="12.75" hidden="1">
      <c r="A93" s="7" t="s">
        <v>55</v>
      </c>
      <c r="B93" s="7"/>
      <c r="C93" s="71"/>
      <c r="D93" s="71"/>
      <c r="E93" s="71"/>
      <c r="F93" s="71">
        <f t="shared" si="21"/>
        <v>0</v>
      </c>
      <c r="G93" s="72"/>
      <c r="H93" s="72"/>
      <c r="I93" s="72">
        <f t="shared" si="22"/>
        <v>0</v>
      </c>
      <c r="J93" s="71"/>
      <c r="K93" s="71"/>
      <c r="L93" s="71">
        <f t="shared" si="23"/>
        <v>0</v>
      </c>
      <c r="M93" s="71"/>
      <c r="N93" s="71"/>
      <c r="O93" s="71">
        <f>L93+M93+N93</f>
        <v>0</v>
      </c>
      <c r="P93" s="76"/>
      <c r="Q93" s="82">
        <v>0</v>
      </c>
      <c r="R93" s="82"/>
      <c r="S93" s="50" t="e">
        <f t="shared" si="19"/>
        <v>#DIV/0!</v>
      </c>
    </row>
    <row r="94" spans="1:19" ht="12.75">
      <c r="A94" s="7" t="s">
        <v>42</v>
      </c>
      <c r="B94" s="7"/>
      <c r="C94" s="71"/>
      <c r="D94" s="71"/>
      <c r="E94" s="71"/>
      <c r="F94" s="71">
        <f t="shared" si="21"/>
        <v>0</v>
      </c>
      <c r="G94" s="72"/>
      <c r="H94" s="72"/>
      <c r="I94" s="72">
        <f t="shared" si="22"/>
        <v>0</v>
      </c>
      <c r="J94" s="71">
        <f>797.85+1037.43</f>
        <v>1835.2800000000002</v>
      </c>
      <c r="K94" s="71"/>
      <c r="L94" s="71">
        <f t="shared" si="23"/>
        <v>1835.2800000000002</v>
      </c>
      <c r="M94" s="71"/>
      <c r="N94" s="71"/>
      <c r="O94" s="71">
        <f>L94+M94+N94</f>
        <v>1835.2800000000002</v>
      </c>
      <c r="P94" s="76">
        <f>395.76</f>
        <v>395.76</v>
      </c>
      <c r="Q94" s="82">
        <v>1433.19</v>
      </c>
      <c r="R94" s="82">
        <v>1433.19</v>
      </c>
      <c r="S94" s="50">
        <f t="shared" si="19"/>
        <v>100</v>
      </c>
    </row>
    <row r="95" spans="1:19" ht="12.75">
      <c r="A95" s="7" t="s">
        <v>214</v>
      </c>
      <c r="B95" s="7"/>
      <c r="C95" s="71"/>
      <c r="D95" s="71"/>
      <c r="E95" s="71"/>
      <c r="F95" s="71"/>
      <c r="G95" s="72"/>
      <c r="H95" s="72"/>
      <c r="I95" s="72"/>
      <c r="J95" s="71"/>
      <c r="K95" s="71"/>
      <c r="L95" s="71">
        <f t="shared" si="23"/>
        <v>0</v>
      </c>
      <c r="M95" s="71">
        <v>18000</v>
      </c>
      <c r="N95" s="71"/>
      <c r="O95" s="71">
        <f>L95+M95+N95</f>
        <v>18000</v>
      </c>
      <c r="P95" s="76">
        <v>-1061.25</v>
      </c>
      <c r="Q95" s="60">
        <v>16938.75</v>
      </c>
      <c r="R95" s="60">
        <v>16938.75</v>
      </c>
      <c r="S95" s="50">
        <f t="shared" si="19"/>
        <v>100</v>
      </c>
    </row>
    <row r="96" spans="1:19" ht="12.75" hidden="1">
      <c r="A96" s="7" t="s">
        <v>56</v>
      </c>
      <c r="B96" s="7"/>
      <c r="C96" s="71"/>
      <c r="D96" s="71"/>
      <c r="E96" s="71"/>
      <c r="F96" s="71">
        <f t="shared" si="21"/>
        <v>0</v>
      </c>
      <c r="G96" s="72"/>
      <c r="H96" s="72"/>
      <c r="I96" s="72">
        <f t="shared" si="22"/>
        <v>0</v>
      </c>
      <c r="J96" s="71"/>
      <c r="K96" s="71"/>
      <c r="L96" s="71">
        <f t="shared" si="23"/>
        <v>0</v>
      </c>
      <c r="M96" s="71"/>
      <c r="N96" s="71"/>
      <c r="O96" s="71">
        <f>L96+M96+N96</f>
        <v>0</v>
      </c>
      <c r="P96" s="76"/>
      <c r="Q96" s="60">
        <v>0</v>
      </c>
      <c r="R96" s="60"/>
      <c r="S96" s="50" t="e">
        <f t="shared" si="19"/>
        <v>#DIV/0!</v>
      </c>
    </row>
    <row r="97" spans="1:19" ht="12.75" hidden="1">
      <c r="A97" s="8" t="s">
        <v>57</v>
      </c>
      <c r="B97" s="8"/>
      <c r="C97" s="79">
        <f>SUM(C99:C101)</f>
        <v>0</v>
      </c>
      <c r="D97" s="79"/>
      <c r="E97" s="79"/>
      <c r="F97" s="79">
        <f>SUM(F99:F101)</f>
        <v>0</v>
      </c>
      <c r="G97" s="80">
        <f aca="true" t="shared" si="25" ref="G97:R97">SUM(G99:G101)</f>
        <v>0</v>
      </c>
      <c r="H97" s="80">
        <f t="shared" si="25"/>
        <v>0</v>
      </c>
      <c r="I97" s="80">
        <f t="shared" si="25"/>
        <v>0</v>
      </c>
      <c r="J97" s="79">
        <f t="shared" si="25"/>
        <v>0</v>
      </c>
      <c r="K97" s="79">
        <f t="shared" si="25"/>
        <v>0</v>
      </c>
      <c r="L97" s="79">
        <f t="shared" si="25"/>
        <v>0</v>
      </c>
      <c r="M97" s="79">
        <f t="shared" si="25"/>
        <v>0</v>
      </c>
      <c r="N97" s="79">
        <f t="shared" si="25"/>
        <v>0</v>
      </c>
      <c r="O97" s="79">
        <f t="shared" si="25"/>
        <v>0</v>
      </c>
      <c r="P97" s="81">
        <f t="shared" si="25"/>
        <v>0</v>
      </c>
      <c r="Q97" s="80">
        <v>0</v>
      </c>
      <c r="R97" s="80">
        <f t="shared" si="25"/>
        <v>0</v>
      </c>
      <c r="S97" s="50" t="e">
        <f t="shared" si="19"/>
        <v>#DIV/0!</v>
      </c>
    </row>
    <row r="98" spans="1:19" ht="12.75" hidden="1">
      <c r="A98" s="5" t="s">
        <v>34</v>
      </c>
      <c r="B98" s="5"/>
      <c r="C98" s="71"/>
      <c r="D98" s="71"/>
      <c r="E98" s="71"/>
      <c r="F98" s="71"/>
      <c r="G98" s="72"/>
      <c r="H98" s="72"/>
      <c r="I98" s="72"/>
      <c r="J98" s="71"/>
      <c r="K98" s="71"/>
      <c r="L98" s="71"/>
      <c r="M98" s="71"/>
      <c r="N98" s="71"/>
      <c r="O98" s="71"/>
      <c r="P98" s="76"/>
      <c r="Q98" s="60"/>
      <c r="R98" s="60"/>
      <c r="S98" s="50" t="e">
        <f t="shared" si="19"/>
        <v>#DIV/0!</v>
      </c>
    </row>
    <row r="99" spans="1:19" ht="12.75" hidden="1">
      <c r="A99" s="7" t="s">
        <v>58</v>
      </c>
      <c r="B99" s="7"/>
      <c r="C99" s="71"/>
      <c r="D99" s="71"/>
      <c r="E99" s="71"/>
      <c r="F99" s="71">
        <f>C99+D99+E99</f>
        <v>0</v>
      </c>
      <c r="G99" s="72"/>
      <c r="H99" s="72"/>
      <c r="I99" s="72">
        <f>F99+G99+H99</f>
        <v>0</v>
      </c>
      <c r="J99" s="71"/>
      <c r="K99" s="71"/>
      <c r="L99" s="71">
        <f>I99+J99+K99</f>
        <v>0</v>
      </c>
      <c r="M99" s="71"/>
      <c r="N99" s="71"/>
      <c r="O99" s="71">
        <f>L99+M99+N99</f>
        <v>0</v>
      </c>
      <c r="P99" s="76"/>
      <c r="Q99" s="60">
        <v>0</v>
      </c>
      <c r="R99" s="60"/>
      <c r="S99" s="50" t="e">
        <f t="shared" si="19"/>
        <v>#DIV/0!</v>
      </c>
    </row>
    <row r="100" spans="1:19" ht="12.75" hidden="1">
      <c r="A100" s="7" t="s">
        <v>31</v>
      </c>
      <c r="B100" s="7"/>
      <c r="C100" s="71"/>
      <c r="D100" s="71"/>
      <c r="E100" s="71"/>
      <c r="F100" s="71">
        <f>C100+D100+E100</f>
        <v>0</v>
      </c>
      <c r="G100" s="72"/>
      <c r="H100" s="72"/>
      <c r="I100" s="72">
        <f>F100+G100+H100</f>
        <v>0</v>
      </c>
      <c r="J100" s="71"/>
      <c r="K100" s="71"/>
      <c r="L100" s="71">
        <f>I100+J100+K100</f>
        <v>0</v>
      </c>
      <c r="M100" s="71"/>
      <c r="N100" s="71"/>
      <c r="O100" s="71">
        <f>L100+M100+N100</f>
        <v>0</v>
      </c>
      <c r="P100" s="76"/>
      <c r="Q100" s="60">
        <v>0</v>
      </c>
      <c r="R100" s="60"/>
      <c r="S100" s="50" t="e">
        <f t="shared" si="19"/>
        <v>#DIV/0!</v>
      </c>
    </row>
    <row r="101" spans="1:19" ht="12.75" hidden="1">
      <c r="A101" s="7" t="s">
        <v>49</v>
      </c>
      <c r="B101" s="7"/>
      <c r="C101" s="71"/>
      <c r="D101" s="71"/>
      <c r="E101" s="71"/>
      <c r="F101" s="71">
        <f>C101+D101+E101</f>
        <v>0</v>
      </c>
      <c r="G101" s="72"/>
      <c r="H101" s="72"/>
      <c r="I101" s="72">
        <f>F101+G101+H101</f>
        <v>0</v>
      </c>
      <c r="J101" s="71"/>
      <c r="K101" s="71"/>
      <c r="L101" s="71">
        <f>I101+J101+K101</f>
        <v>0</v>
      </c>
      <c r="M101" s="71"/>
      <c r="N101" s="71"/>
      <c r="O101" s="71">
        <f>L101+M101+N101</f>
        <v>0</v>
      </c>
      <c r="P101" s="76"/>
      <c r="Q101" s="60">
        <v>0</v>
      </c>
      <c r="R101" s="60"/>
      <c r="S101" s="50" t="e">
        <f t="shared" si="19"/>
        <v>#DIV/0!</v>
      </c>
    </row>
    <row r="102" spans="1:19" ht="15.75" thickBot="1">
      <c r="A102" s="12" t="s">
        <v>60</v>
      </c>
      <c r="B102" s="12"/>
      <c r="C102" s="84">
        <f>C9+C14+C52+C81+C46+C97</f>
        <v>3335582.4</v>
      </c>
      <c r="D102" s="84" t="e">
        <f>D9+D14+D52+#REF!+D81+D46</f>
        <v>#REF!</v>
      </c>
      <c r="E102" s="84" t="e">
        <f>E9+E14+E52+#REF!+E81+E46</f>
        <v>#REF!</v>
      </c>
      <c r="F102" s="84" t="e">
        <f>F9+F14+F52+#REF!+F81+F46</f>
        <v>#REF!</v>
      </c>
      <c r="G102" s="85" t="e">
        <f>G9+G14+G52+#REF!+G81+G46</f>
        <v>#REF!</v>
      </c>
      <c r="H102" s="85" t="e">
        <f>H9+H14+H52+#REF!+H81+H46</f>
        <v>#REF!</v>
      </c>
      <c r="I102" s="85" t="e">
        <f>I9+I14+I52+#REF!+I81+I46</f>
        <v>#REF!</v>
      </c>
      <c r="J102" s="84" t="e">
        <f>J9+J14+J52+#REF!+J81+J46</f>
        <v>#REF!</v>
      </c>
      <c r="K102" s="84" t="e">
        <f>K9+K14+K52+#REF!+K81+K46</f>
        <v>#REF!</v>
      </c>
      <c r="L102" s="84" t="e">
        <f>L9+L14+L52+#REF!+L81+L46</f>
        <v>#REF!</v>
      </c>
      <c r="M102" s="84" t="e">
        <f>M9+M14+M52+#REF!+M81+M46</f>
        <v>#REF!</v>
      </c>
      <c r="N102" s="84" t="e">
        <f>N9+N14+N52+#REF!+N81+N46</f>
        <v>#REF!</v>
      </c>
      <c r="O102" s="84" t="e">
        <f>O9+O14+O52+#REF!+O81+O46</f>
        <v>#REF!</v>
      </c>
      <c r="P102" s="86" t="e">
        <f>P9+P14+P52+#REF!+P81+P46</f>
        <v>#REF!</v>
      </c>
      <c r="Q102" s="86">
        <f>Q9+Q14+Q52+Q81+Q46</f>
        <v>9319046.99</v>
      </c>
      <c r="R102" s="85">
        <f>R9+R13+R14+R52+R81+R46</f>
        <v>9554057.61</v>
      </c>
      <c r="S102" s="85">
        <f t="shared" si="19"/>
        <v>102.52183104401323</v>
      </c>
    </row>
    <row r="103" spans="1:19" ht="12.75">
      <c r="A103" s="4" t="s">
        <v>61</v>
      </c>
      <c r="B103" s="4"/>
      <c r="C103" s="67"/>
      <c r="D103" s="71"/>
      <c r="E103" s="71"/>
      <c r="F103" s="71"/>
      <c r="G103" s="72"/>
      <c r="H103" s="72"/>
      <c r="I103" s="72"/>
      <c r="J103" s="71"/>
      <c r="K103" s="71"/>
      <c r="L103" s="71"/>
      <c r="M103" s="71"/>
      <c r="N103" s="71"/>
      <c r="O103" s="71"/>
      <c r="P103" s="76"/>
      <c r="Q103" s="60"/>
      <c r="R103" s="60"/>
      <c r="S103" s="50"/>
    </row>
    <row r="104" spans="1:19" ht="12.75">
      <c r="A104" s="4" t="s">
        <v>62</v>
      </c>
      <c r="B104" s="87"/>
      <c r="C104" s="67">
        <f>C105+C117</f>
        <v>41879</v>
      </c>
      <c r="D104" s="67">
        <f>D105+D117</f>
        <v>3823.4900000000002</v>
      </c>
      <c r="E104" s="67">
        <f>E105+E117</f>
        <v>0</v>
      </c>
      <c r="F104" s="67">
        <f>F105+F117</f>
        <v>45702.49</v>
      </c>
      <c r="G104" s="67">
        <f>G105+G117</f>
        <v>562.72</v>
      </c>
      <c r="H104" s="68"/>
      <c r="I104" s="68">
        <f aca="true" t="shared" si="26" ref="I104:R104">I105+I117</f>
        <v>46265.21</v>
      </c>
      <c r="J104" s="67">
        <f t="shared" si="26"/>
        <v>5278.620000000001</v>
      </c>
      <c r="K104" s="67">
        <f t="shared" si="26"/>
        <v>0</v>
      </c>
      <c r="L104" s="67">
        <f t="shared" si="26"/>
        <v>51543.83</v>
      </c>
      <c r="M104" s="67">
        <f t="shared" si="26"/>
        <v>0</v>
      </c>
      <c r="N104" s="67">
        <f t="shared" si="26"/>
        <v>0</v>
      </c>
      <c r="O104" s="67">
        <f t="shared" si="26"/>
        <v>51543.83</v>
      </c>
      <c r="P104" s="67">
        <f t="shared" si="26"/>
        <v>3493.16</v>
      </c>
      <c r="Q104" s="67">
        <f t="shared" si="26"/>
        <v>55036.990000000005</v>
      </c>
      <c r="R104" s="68">
        <f t="shared" si="26"/>
        <v>46612.39</v>
      </c>
      <c r="S104" s="148">
        <f t="shared" si="19"/>
        <v>84.69284021528067</v>
      </c>
    </row>
    <row r="105" spans="1:19" ht="12.75">
      <c r="A105" s="13" t="s">
        <v>63</v>
      </c>
      <c r="B105" s="87"/>
      <c r="C105" s="88">
        <f>SUM(C107:C116)</f>
        <v>41879</v>
      </c>
      <c r="D105" s="88">
        <f>SUM(D107:D116)</f>
        <v>3623.4900000000002</v>
      </c>
      <c r="E105" s="88">
        <f>SUM(E107:E116)</f>
        <v>-500</v>
      </c>
      <c r="F105" s="88">
        <f>SUM(F107:F116)</f>
        <v>45002.49</v>
      </c>
      <c r="G105" s="88">
        <f>SUM(G107:G116)</f>
        <v>462.72</v>
      </c>
      <c r="H105" s="89"/>
      <c r="I105" s="89">
        <f>SUM(I107:I116)</f>
        <v>45465.21</v>
      </c>
      <c r="J105" s="88">
        <f aca="true" t="shared" si="27" ref="J105:P105">SUM(J107:J116)</f>
        <v>4241.1900000000005</v>
      </c>
      <c r="K105" s="88">
        <f t="shared" si="27"/>
        <v>0</v>
      </c>
      <c r="L105" s="88">
        <f t="shared" si="27"/>
        <v>49706.4</v>
      </c>
      <c r="M105" s="88">
        <f>SUM(M107:M116)</f>
        <v>-50</v>
      </c>
      <c r="N105" s="88">
        <f>SUM(N107:N116)</f>
        <v>0</v>
      </c>
      <c r="O105" s="88">
        <f>SUM(O107:O116)</f>
        <v>49656.4</v>
      </c>
      <c r="P105" s="88">
        <f t="shared" si="27"/>
        <v>3097.4</v>
      </c>
      <c r="Q105" s="88">
        <f>SUM(Q107:Q116)</f>
        <v>52753.8</v>
      </c>
      <c r="R105" s="89">
        <f>SUM(R107:R116)</f>
        <v>44329.21</v>
      </c>
      <c r="S105" s="150">
        <f t="shared" si="19"/>
        <v>84.03036368944038</v>
      </c>
    </row>
    <row r="106" spans="1:19" ht="10.5" customHeight="1">
      <c r="A106" s="9" t="s">
        <v>34</v>
      </c>
      <c r="B106" s="27"/>
      <c r="C106" s="71"/>
      <c r="D106" s="71"/>
      <c r="E106" s="71"/>
      <c r="F106" s="71"/>
      <c r="G106" s="72"/>
      <c r="H106" s="72"/>
      <c r="I106" s="72"/>
      <c r="J106" s="71"/>
      <c r="K106" s="71"/>
      <c r="L106" s="71"/>
      <c r="M106" s="71"/>
      <c r="N106" s="71"/>
      <c r="O106" s="71"/>
      <c r="P106" s="76"/>
      <c r="Q106" s="60"/>
      <c r="R106" s="60"/>
      <c r="S106" s="50"/>
    </row>
    <row r="107" spans="1:19" ht="12.75">
      <c r="A107" s="7" t="s">
        <v>167</v>
      </c>
      <c r="B107" s="90"/>
      <c r="C107" s="71">
        <v>15810</v>
      </c>
      <c r="D107" s="71">
        <v>400</v>
      </c>
      <c r="E107" s="71"/>
      <c r="F107" s="71">
        <f>C107+D107</f>
        <v>16210</v>
      </c>
      <c r="G107" s="72"/>
      <c r="H107" s="72"/>
      <c r="I107" s="72">
        <f aca="true" t="shared" si="28" ref="I107:I114">F107+G107+H107</f>
        <v>16210</v>
      </c>
      <c r="J107" s="71"/>
      <c r="K107" s="71"/>
      <c r="L107" s="71">
        <f aca="true" t="shared" si="29" ref="L107:L114">I107+J107+K107</f>
        <v>16210</v>
      </c>
      <c r="M107" s="71"/>
      <c r="N107" s="71"/>
      <c r="O107" s="71">
        <f aca="true" t="shared" si="30" ref="O107:O114">L107+M107+N107</f>
        <v>16210</v>
      </c>
      <c r="P107" s="76"/>
      <c r="Q107" s="60">
        <v>16210</v>
      </c>
      <c r="R107" s="60">
        <v>13471.83</v>
      </c>
      <c r="S107" s="50">
        <f aca="true" t="shared" si="31" ref="S107:S114">R107/Q107*100</f>
        <v>83.10814312152992</v>
      </c>
    </row>
    <row r="108" spans="1:19" ht="12.75">
      <c r="A108" s="7" t="s">
        <v>64</v>
      </c>
      <c r="B108" s="90"/>
      <c r="C108" s="71">
        <v>3543</v>
      </c>
      <c r="D108" s="71">
        <v>136</v>
      </c>
      <c r="E108" s="71"/>
      <c r="F108" s="71">
        <f>C108+D108</f>
        <v>3679</v>
      </c>
      <c r="G108" s="72"/>
      <c r="H108" s="72"/>
      <c r="I108" s="72">
        <f t="shared" si="28"/>
        <v>3679</v>
      </c>
      <c r="J108" s="71"/>
      <c r="K108" s="71"/>
      <c r="L108" s="71">
        <f t="shared" si="29"/>
        <v>3679</v>
      </c>
      <c r="M108" s="71"/>
      <c r="N108" s="71"/>
      <c r="O108" s="71">
        <f t="shared" si="30"/>
        <v>3679</v>
      </c>
      <c r="P108" s="76"/>
      <c r="Q108" s="60">
        <v>3679</v>
      </c>
      <c r="R108" s="60">
        <v>3267.85</v>
      </c>
      <c r="S108" s="50">
        <f t="shared" si="31"/>
        <v>88.82440880674096</v>
      </c>
    </row>
    <row r="109" spans="1:19" ht="12.75">
      <c r="A109" s="7" t="s">
        <v>326</v>
      </c>
      <c r="B109" s="90"/>
      <c r="C109" s="71"/>
      <c r="D109" s="71"/>
      <c r="E109" s="71"/>
      <c r="F109" s="71">
        <f>C109+D109</f>
        <v>0</v>
      </c>
      <c r="G109" s="72">
        <v>250</v>
      </c>
      <c r="H109" s="72"/>
      <c r="I109" s="72">
        <f t="shared" si="28"/>
        <v>250</v>
      </c>
      <c r="J109" s="71"/>
      <c r="K109" s="71"/>
      <c r="L109" s="71">
        <f t="shared" si="29"/>
        <v>250</v>
      </c>
      <c r="M109" s="71"/>
      <c r="N109" s="71"/>
      <c r="O109" s="71">
        <f t="shared" si="30"/>
        <v>250</v>
      </c>
      <c r="P109" s="76"/>
      <c r="Q109" s="60">
        <v>250</v>
      </c>
      <c r="R109" s="60">
        <v>237.51</v>
      </c>
      <c r="S109" s="50">
        <f t="shared" si="31"/>
        <v>95.004</v>
      </c>
    </row>
    <row r="110" spans="1:19" ht="12.75">
      <c r="A110" s="7" t="s">
        <v>342</v>
      </c>
      <c r="B110" s="90">
        <v>95029</v>
      </c>
      <c r="C110" s="71"/>
      <c r="D110" s="71"/>
      <c r="E110" s="71"/>
      <c r="F110" s="71"/>
      <c r="G110" s="72"/>
      <c r="H110" s="72"/>
      <c r="I110" s="72">
        <f t="shared" si="28"/>
        <v>0</v>
      </c>
      <c r="J110" s="71">
        <v>1891.19</v>
      </c>
      <c r="K110" s="71"/>
      <c r="L110" s="71">
        <f t="shared" si="29"/>
        <v>1891.19</v>
      </c>
      <c r="M110" s="71"/>
      <c r="N110" s="71"/>
      <c r="O110" s="71">
        <f t="shared" si="30"/>
        <v>1891.19</v>
      </c>
      <c r="P110" s="76">
        <f>3097.4</f>
        <v>3097.4</v>
      </c>
      <c r="Q110" s="60">
        <v>4988.59</v>
      </c>
      <c r="R110" s="60">
        <v>4988.59</v>
      </c>
      <c r="S110" s="50">
        <f t="shared" si="31"/>
        <v>100</v>
      </c>
    </row>
    <row r="111" spans="1:19" ht="12.75" hidden="1">
      <c r="A111" s="7" t="s">
        <v>207</v>
      </c>
      <c r="B111" s="90"/>
      <c r="C111" s="71"/>
      <c r="D111" s="71"/>
      <c r="E111" s="71"/>
      <c r="F111" s="71">
        <f>C111+D111+E111</f>
        <v>0</v>
      </c>
      <c r="G111" s="72"/>
      <c r="H111" s="72"/>
      <c r="I111" s="72">
        <f t="shared" si="28"/>
        <v>0</v>
      </c>
      <c r="J111" s="71"/>
      <c r="K111" s="71"/>
      <c r="L111" s="71">
        <f t="shared" si="29"/>
        <v>0</v>
      </c>
      <c r="M111" s="71"/>
      <c r="N111" s="71"/>
      <c r="O111" s="71">
        <f t="shared" si="30"/>
        <v>0</v>
      </c>
      <c r="P111" s="76"/>
      <c r="Q111" s="60">
        <v>0</v>
      </c>
      <c r="R111" s="60"/>
      <c r="S111" s="50" t="e">
        <f t="shared" si="31"/>
        <v>#DIV/0!</v>
      </c>
    </row>
    <row r="112" spans="1:19" ht="12.75" hidden="1">
      <c r="A112" s="7" t="s">
        <v>208</v>
      </c>
      <c r="B112" s="90"/>
      <c r="C112" s="71"/>
      <c r="D112" s="71"/>
      <c r="E112" s="71"/>
      <c r="F112" s="71">
        <f>C112+D112+E112</f>
        <v>0</v>
      </c>
      <c r="G112" s="72"/>
      <c r="H112" s="72"/>
      <c r="I112" s="72">
        <f t="shared" si="28"/>
        <v>0</v>
      </c>
      <c r="J112" s="71"/>
      <c r="K112" s="71"/>
      <c r="L112" s="71">
        <f t="shared" si="29"/>
        <v>0</v>
      </c>
      <c r="M112" s="71"/>
      <c r="N112" s="71"/>
      <c r="O112" s="71">
        <f t="shared" si="30"/>
        <v>0</v>
      </c>
      <c r="P112" s="76"/>
      <c r="Q112" s="60">
        <v>0</v>
      </c>
      <c r="R112" s="60"/>
      <c r="S112" s="50" t="e">
        <f t="shared" si="31"/>
        <v>#DIV/0!</v>
      </c>
    </row>
    <row r="113" spans="1:19" ht="12.75">
      <c r="A113" s="7" t="s">
        <v>65</v>
      </c>
      <c r="B113" s="90"/>
      <c r="C113" s="71">
        <v>12426</v>
      </c>
      <c r="D113" s="71">
        <f>500+12.2</f>
        <v>512.2</v>
      </c>
      <c r="E113" s="71">
        <v>-500</v>
      </c>
      <c r="F113" s="71">
        <f>C113+D113+E113</f>
        <v>12438.2</v>
      </c>
      <c r="G113" s="72">
        <f>112.72+200</f>
        <v>312.72</v>
      </c>
      <c r="H113" s="72"/>
      <c r="I113" s="72">
        <f t="shared" si="28"/>
        <v>12750.92</v>
      </c>
      <c r="J113" s="71">
        <f>350</f>
        <v>350</v>
      </c>
      <c r="K113" s="71"/>
      <c r="L113" s="71">
        <f t="shared" si="29"/>
        <v>13100.92</v>
      </c>
      <c r="M113" s="71"/>
      <c r="N113" s="71"/>
      <c r="O113" s="71">
        <f t="shared" si="30"/>
        <v>13100.92</v>
      </c>
      <c r="P113" s="76"/>
      <c r="Q113" s="60">
        <v>13100.92</v>
      </c>
      <c r="R113" s="82">
        <v>8407.43</v>
      </c>
      <c r="S113" s="50">
        <f t="shared" si="31"/>
        <v>64.1743480610522</v>
      </c>
    </row>
    <row r="114" spans="1:19" ht="12.75">
      <c r="A114" s="7" t="s">
        <v>96</v>
      </c>
      <c r="B114" s="90"/>
      <c r="C114" s="71"/>
      <c r="D114" s="71">
        <f>45.34+529.95</f>
        <v>575.2900000000001</v>
      </c>
      <c r="E114" s="71"/>
      <c r="F114" s="71">
        <f>C114+D114+E114</f>
        <v>575.2900000000001</v>
      </c>
      <c r="G114" s="72"/>
      <c r="H114" s="72"/>
      <c r="I114" s="72">
        <f t="shared" si="28"/>
        <v>575.2900000000001</v>
      </c>
      <c r="J114" s="71"/>
      <c r="K114" s="71"/>
      <c r="L114" s="71">
        <f t="shared" si="29"/>
        <v>575.2900000000001</v>
      </c>
      <c r="M114" s="71"/>
      <c r="N114" s="71"/>
      <c r="O114" s="71">
        <f t="shared" si="30"/>
        <v>575.2900000000001</v>
      </c>
      <c r="P114" s="76"/>
      <c r="Q114" s="60">
        <v>575.2900000000001</v>
      </c>
      <c r="R114" s="60">
        <v>504.03</v>
      </c>
      <c r="S114" s="50">
        <f t="shared" si="31"/>
        <v>87.61320377548712</v>
      </c>
    </row>
    <row r="115" spans="1:19" ht="12.75">
      <c r="A115" s="7" t="s">
        <v>66</v>
      </c>
      <c r="B115" s="90"/>
      <c r="C115" s="71">
        <v>500</v>
      </c>
      <c r="D115" s="71"/>
      <c r="E115" s="71"/>
      <c r="F115" s="71">
        <f>SUM(C115:E115)</f>
        <v>500</v>
      </c>
      <c r="G115" s="72"/>
      <c r="H115" s="72"/>
      <c r="I115" s="72">
        <f>F115+G115+H115</f>
        <v>500</v>
      </c>
      <c r="J115" s="71"/>
      <c r="K115" s="71"/>
      <c r="L115" s="71">
        <f>I115+J115+K115</f>
        <v>500</v>
      </c>
      <c r="M115" s="71"/>
      <c r="N115" s="71"/>
      <c r="O115" s="71">
        <f>L115+M115+N115</f>
        <v>500</v>
      </c>
      <c r="P115" s="76"/>
      <c r="Q115" s="60">
        <v>500</v>
      </c>
      <c r="R115" s="60">
        <v>25.98</v>
      </c>
      <c r="S115" s="50">
        <f t="shared" si="19"/>
        <v>5.196</v>
      </c>
    </row>
    <row r="116" spans="1:19" ht="12.75">
      <c r="A116" s="7" t="s">
        <v>67</v>
      </c>
      <c r="B116" s="90"/>
      <c r="C116" s="71">
        <v>9600</v>
      </c>
      <c r="D116" s="71">
        <f>2200-200</f>
        <v>2000</v>
      </c>
      <c r="E116" s="71"/>
      <c r="F116" s="71">
        <f>SUM(C116:E116)</f>
        <v>11600</v>
      </c>
      <c r="G116" s="72">
        <v>-100</v>
      </c>
      <c r="H116" s="72"/>
      <c r="I116" s="72">
        <f>F116+G116+H116</f>
        <v>11500</v>
      </c>
      <c r="J116" s="71">
        <v>2000</v>
      </c>
      <c r="K116" s="71"/>
      <c r="L116" s="71">
        <f>I116+J116+K116</f>
        <v>13500</v>
      </c>
      <c r="M116" s="71">
        <f>-50</f>
        <v>-50</v>
      </c>
      <c r="N116" s="71"/>
      <c r="O116" s="71">
        <f>L116+M116+N116</f>
        <v>13450</v>
      </c>
      <c r="P116" s="76"/>
      <c r="Q116" s="60">
        <v>13450</v>
      </c>
      <c r="R116" s="60">
        <v>13425.99</v>
      </c>
      <c r="S116" s="50">
        <f t="shared" si="19"/>
        <v>99.82148698884758</v>
      </c>
    </row>
    <row r="117" spans="1:19" ht="12.75">
      <c r="A117" s="14" t="s">
        <v>68</v>
      </c>
      <c r="B117" s="91"/>
      <c r="C117" s="92">
        <f>SUM(C119:C121)</f>
        <v>0</v>
      </c>
      <c r="D117" s="92">
        <f>SUM(D119:D121)</f>
        <v>200</v>
      </c>
      <c r="E117" s="92">
        <f>SUM(E119:E121)</f>
        <v>500</v>
      </c>
      <c r="F117" s="92">
        <f>SUM(F119:F121)</f>
        <v>700</v>
      </c>
      <c r="G117" s="93">
        <f aca="true" t="shared" si="32" ref="G117:R117">SUM(G119:G121)</f>
        <v>100</v>
      </c>
      <c r="H117" s="93">
        <f t="shared" si="32"/>
        <v>0</v>
      </c>
      <c r="I117" s="93">
        <f t="shared" si="32"/>
        <v>800</v>
      </c>
      <c r="J117" s="92">
        <f t="shared" si="32"/>
        <v>1037.43</v>
      </c>
      <c r="K117" s="92">
        <f t="shared" si="32"/>
        <v>0</v>
      </c>
      <c r="L117" s="92">
        <f t="shared" si="32"/>
        <v>1837.43</v>
      </c>
      <c r="M117" s="92">
        <f t="shared" si="32"/>
        <v>50</v>
      </c>
      <c r="N117" s="92">
        <f t="shared" si="32"/>
        <v>0</v>
      </c>
      <c r="O117" s="92">
        <f t="shared" si="32"/>
        <v>1887.43</v>
      </c>
      <c r="P117" s="92">
        <f t="shared" si="32"/>
        <v>395.76</v>
      </c>
      <c r="Q117" s="92">
        <f t="shared" si="32"/>
        <v>2283.19</v>
      </c>
      <c r="R117" s="93">
        <f t="shared" si="32"/>
        <v>2283.1800000000003</v>
      </c>
      <c r="S117" s="150">
        <f t="shared" si="19"/>
        <v>99.99956201630177</v>
      </c>
    </row>
    <row r="118" spans="1:19" ht="11.25" customHeight="1">
      <c r="A118" s="5" t="s">
        <v>34</v>
      </c>
      <c r="B118" s="90"/>
      <c r="C118" s="79"/>
      <c r="D118" s="79"/>
      <c r="E118" s="79"/>
      <c r="F118" s="79"/>
      <c r="G118" s="80"/>
      <c r="H118" s="80"/>
      <c r="I118" s="80"/>
      <c r="J118" s="79"/>
      <c r="K118" s="79"/>
      <c r="L118" s="79"/>
      <c r="M118" s="79"/>
      <c r="N118" s="79"/>
      <c r="O118" s="79"/>
      <c r="P118" s="76"/>
      <c r="Q118" s="60"/>
      <c r="R118" s="60"/>
      <c r="S118" s="50"/>
    </row>
    <row r="119" spans="1:19" ht="12.75" hidden="1">
      <c r="A119" s="7" t="s">
        <v>209</v>
      </c>
      <c r="B119" s="90"/>
      <c r="C119" s="71"/>
      <c r="D119" s="71"/>
      <c r="E119" s="71"/>
      <c r="F119" s="71">
        <f>C119+D119</f>
        <v>0</v>
      </c>
      <c r="G119" s="72"/>
      <c r="H119" s="72"/>
      <c r="I119" s="72">
        <f>F119+G119+H119</f>
        <v>0</v>
      </c>
      <c r="J119" s="71"/>
      <c r="K119" s="71"/>
      <c r="L119" s="71">
        <f>I119+J119+K119</f>
        <v>0</v>
      </c>
      <c r="M119" s="71"/>
      <c r="N119" s="71"/>
      <c r="O119" s="71">
        <f>L119+M119+N119</f>
        <v>0</v>
      </c>
      <c r="P119" s="76"/>
      <c r="Q119" s="60">
        <v>0</v>
      </c>
      <c r="R119" s="60"/>
      <c r="S119" s="50" t="e">
        <f t="shared" si="19"/>
        <v>#DIV/0!</v>
      </c>
    </row>
    <row r="120" spans="1:19" ht="12.75">
      <c r="A120" s="7" t="s">
        <v>67</v>
      </c>
      <c r="B120" s="90"/>
      <c r="C120" s="71"/>
      <c r="D120" s="71">
        <v>200</v>
      </c>
      <c r="E120" s="71">
        <v>500</v>
      </c>
      <c r="F120" s="71">
        <f>C120+D120+E120</f>
        <v>700</v>
      </c>
      <c r="G120" s="72">
        <v>100</v>
      </c>
      <c r="H120" s="72"/>
      <c r="I120" s="72">
        <f>F120+G120+H120</f>
        <v>800</v>
      </c>
      <c r="J120" s="71"/>
      <c r="K120" s="71"/>
      <c r="L120" s="71">
        <f>I120+J120+K120</f>
        <v>800</v>
      </c>
      <c r="M120" s="71">
        <f>50</f>
        <v>50</v>
      </c>
      <c r="N120" s="71"/>
      <c r="O120" s="71">
        <f>L120+M120+N120</f>
        <v>850</v>
      </c>
      <c r="P120" s="76"/>
      <c r="Q120" s="60">
        <v>850</v>
      </c>
      <c r="R120" s="60">
        <v>850</v>
      </c>
      <c r="S120" s="50">
        <f t="shared" si="19"/>
        <v>100</v>
      </c>
    </row>
    <row r="121" spans="1:19" ht="12.75">
      <c r="A121" s="10" t="s">
        <v>342</v>
      </c>
      <c r="B121" s="94">
        <v>95029</v>
      </c>
      <c r="C121" s="95"/>
      <c r="D121" s="95"/>
      <c r="E121" s="95"/>
      <c r="F121" s="95">
        <f>SUM(C121:E121)</f>
        <v>0</v>
      </c>
      <c r="G121" s="96"/>
      <c r="H121" s="96"/>
      <c r="I121" s="96">
        <f>F121+G121+H121</f>
        <v>0</v>
      </c>
      <c r="J121" s="95">
        <v>1037.43</v>
      </c>
      <c r="K121" s="95"/>
      <c r="L121" s="95">
        <f>I121+J121+K121</f>
        <v>1037.43</v>
      </c>
      <c r="M121" s="95"/>
      <c r="N121" s="95"/>
      <c r="O121" s="95">
        <f>L121+M121+N121</f>
        <v>1037.43</v>
      </c>
      <c r="P121" s="97">
        <f>395.76</f>
        <v>395.76</v>
      </c>
      <c r="Q121" s="53">
        <v>1433.19</v>
      </c>
      <c r="R121" s="53">
        <v>1433.18</v>
      </c>
      <c r="S121" s="52">
        <f t="shared" si="19"/>
        <v>99.99930225580698</v>
      </c>
    </row>
    <row r="122" spans="1:19" ht="12.75">
      <c r="A122" s="4" t="s">
        <v>70</v>
      </c>
      <c r="B122" s="91"/>
      <c r="C122" s="67">
        <f aca="true" t="shared" si="33" ref="C122:R122">C123+C145</f>
        <v>285944.6</v>
      </c>
      <c r="D122" s="67">
        <f t="shared" si="33"/>
        <v>9851.460000000001</v>
      </c>
      <c r="E122" s="67">
        <f t="shared" si="33"/>
        <v>0</v>
      </c>
      <c r="F122" s="67">
        <f t="shared" si="33"/>
        <v>295796.06</v>
      </c>
      <c r="G122" s="68">
        <f t="shared" si="33"/>
        <v>551</v>
      </c>
      <c r="H122" s="68">
        <f t="shared" si="33"/>
        <v>0</v>
      </c>
      <c r="I122" s="68">
        <f t="shared" si="33"/>
        <v>296347.06</v>
      </c>
      <c r="J122" s="67">
        <f t="shared" si="33"/>
        <v>2430.65</v>
      </c>
      <c r="K122" s="67">
        <f t="shared" si="33"/>
        <v>0</v>
      </c>
      <c r="L122" s="67">
        <f t="shared" si="33"/>
        <v>298777.70999999996</v>
      </c>
      <c r="M122" s="67">
        <f t="shared" si="33"/>
        <v>3100.9800000000005</v>
      </c>
      <c r="N122" s="67">
        <f t="shared" si="33"/>
        <v>0</v>
      </c>
      <c r="O122" s="67">
        <f t="shared" si="33"/>
        <v>301878.68999999994</v>
      </c>
      <c r="P122" s="67">
        <f t="shared" si="33"/>
        <v>2157.83</v>
      </c>
      <c r="Q122" s="67">
        <f t="shared" si="33"/>
        <v>304036.51999999996</v>
      </c>
      <c r="R122" s="68">
        <f t="shared" si="33"/>
        <v>290376.94999999995</v>
      </c>
      <c r="S122" s="148">
        <f t="shared" si="19"/>
        <v>95.50726011467306</v>
      </c>
    </row>
    <row r="123" spans="1:19" ht="12.75">
      <c r="A123" s="13" t="s">
        <v>63</v>
      </c>
      <c r="B123" s="91"/>
      <c r="C123" s="88">
        <f>SUM(C125:C144)</f>
        <v>285944.6</v>
      </c>
      <c r="D123" s="88">
        <f>SUM(D125:D144)</f>
        <v>8731.460000000001</v>
      </c>
      <c r="E123" s="88">
        <f>SUM(E125:E144)</f>
        <v>0</v>
      </c>
      <c r="F123" s="88">
        <f>SUM(F125:F144)</f>
        <v>294676.06</v>
      </c>
      <c r="G123" s="89">
        <f aca="true" t="shared" si="34" ref="G123:P123">SUM(G125:G144)</f>
        <v>551</v>
      </c>
      <c r="H123" s="89">
        <f t="shared" si="34"/>
        <v>0</v>
      </c>
      <c r="I123" s="89">
        <f t="shared" si="34"/>
        <v>295227.06</v>
      </c>
      <c r="J123" s="88">
        <f t="shared" si="34"/>
        <v>-399.53999999999996</v>
      </c>
      <c r="K123" s="88">
        <f t="shared" si="34"/>
        <v>0</v>
      </c>
      <c r="L123" s="88">
        <f t="shared" si="34"/>
        <v>294827.51999999996</v>
      </c>
      <c r="M123" s="88">
        <f>SUM(M125:M144)</f>
        <v>530.1800000000001</v>
      </c>
      <c r="N123" s="88">
        <f>SUM(N125:N144)</f>
        <v>0</v>
      </c>
      <c r="O123" s="88">
        <f>SUM(O125:O144)</f>
        <v>295357.69999999995</v>
      </c>
      <c r="P123" s="88">
        <f t="shared" si="34"/>
        <v>91.39999999999999</v>
      </c>
      <c r="Q123" s="88">
        <f>SUM(Q125:Q144)</f>
        <v>295449.1</v>
      </c>
      <c r="R123" s="89">
        <f>SUM(R125:R144)</f>
        <v>282909.52999999997</v>
      </c>
      <c r="S123" s="150">
        <f t="shared" si="19"/>
        <v>95.75575962153887</v>
      </c>
    </row>
    <row r="124" spans="1:19" ht="12.75">
      <c r="A124" s="9" t="s">
        <v>34</v>
      </c>
      <c r="B124" s="90"/>
      <c r="C124" s="71"/>
      <c r="D124" s="71"/>
      <c r="E124" s="71"/>
      <c r="F124" s="71"/>
      <c r="G124" s="72"/>
      <c r="H124" s="72"/>
      <c r="I124" s="72"/>
      <c r="J124" s="71"/>
      <c r="K124" s="71"/>
      <c r="L124" s="71"/>
      <c r="M124" s="71"/>
      <c r="N124" s="71"/>
      <c r="O124" s="71"/>
      <c r="P124" s="76"/>
      <c r="Q124" s="60"/>
      <c r="R124" s="60"/>
      <c r="S124" s="50"/>
    </row>
    <row r="125" spans="1:19" ht="12.75">
      <c r="A125" s="15" t="s">
        <v>168</v>
      </c>
      <c r="B125" s="90"/>
      <c r="C125" s="71">
        <v>139330.4</v>
      </c>
      <c r="D125" s="71">
        <v>2175</v>
      </c>
      <c r="E125" s="71"/>
      <c r="F125" s="71">
        <f>C125+D125+E125</f>
        <v>141505.4</v>
      </c>
      <c r="G125" s="72"/>
      <c r="H125" s="72"/>
      <c r="I125" s="72">
        <f>F125+G125+H125</f>
        <v>141505.4</v>
      </c>
      <c r="J125" s="71">
        <v>548</v>
      </c>
      <c r="K125" s="71"/>
      <c r="L125" s="71">
        <f>I125+J125+K125</f>
        <v>142053.4</v>
      </c>
      <c r="M125" s="71">
        <f>285</f>
        <v>285</v>
      </c>
      <c r="N125" s="71"/>
      <c r="O125" s="71">
        <f>L125+M125+N125</f>
        <v>142338.4</v>
      </c>
      <c r="P125" s="76"/>
      <c r="Q125" s="60">
        <v>142338.4</v>
      </c>
      <c r="R125" s="60">
        <v>139169.4</v>
      </c>
      <c r="S125" s="50">
        <f t="shared" si="19"/>
        <v>97.7736155527953</v>
      </c>
    </row>
    <row r="126" spans="1:19" ht="12.75">
      <c r="A126" s="7" t="s">
        <v>64</v>
      </c>
      <c r="B126" s="90"/>
      <c r="C126" s="71">
        <v>46925.5</v>
      </c>
      <c r="D126" s="71">
        <v>748.9</v>
      </c>
      <c r="E126" s="71"/>
      <c r="F126" s="71">
        <f aca="true" t="shared" si="35" ref="F126:F144">C126+D126+E126</f>
        <v>47674.4</v>
      </c>
      <c r="G126" s="72"/>
      <c r="H126" s="72"/>
      <c r="I126" s="72">
        <f aca="true" t="shared" si="36" ref="I126:I144">F126+G126+H126</f>
        <v>47674.4</v>
      </c>
      <c r="J126" s="71">
        <v>188.8</v>
      </c>
      <c r="K126" s="71"/>
      <c r="L126" s="71">
        <f aca="true" t="shared" si="37" ref="L126:L144">I126+J126+K126</f>
        <v>47863.200000000004</v>
      </c>
      <c r="M126" s="71">
        <f>98.1</f>
        <v>98.1</v>
      </c>
      <c r="N126" s="71"/>
      <c r="O126" s="71">
        <f aca="true" t="shared" si="38" ref="O126:O144">L126+M126+N126</f>
        <v>47961.3</v>
      </c>
      <c r="P126" s="76"/>
      <c r="Q126" s="60">
        <v>47961.3</v>
      </c>
      <c r="R126" s="60">
        <v>47821.89</v>
      </c>
      <c r="S126" s="50">
        <f t="shared" si="19"/>
        <v>99.70932814581755</v>
      </c>
    </row>
    <row r="127" spans="1:19" ht="12.75">
      <c r="A127" s="7" t="s">
        <v>65</v>
      </c>
      <c r="B127" s="90"/>
      <c r="C127" s="71">
        <v>40639.7</v>
      </c>
      <c r="D127" s="71">
        <f>480+76.1+200+200</f>
        <v>956.1</v>
      </c>
      <c r="E127" s="71"/>
      <c r="F127" s="71">
        <f t="shared" si="35"/>
        <v>41595.799999999996</v>
      </c>
      <c r="G127" s="72">
        <f>236+200</f>
        <v>436</v>
      </c>
      <c r="H127" s="72"/>
      <c r="I127" s="72">
        <f t="shared" si="36"/>
        <v>42031.799999999996</v>
      </c>
      <c r="J127" s="71">
        <f>-736.8-116.51</f>
        <v>-853.31</v>
      </c>
      <c r="K127" s="71"/>
      <c r="L127" s="71">
        <f t="shared" si="37"/>
        <v>41178.49</v>
      </c>
      <c r="M127" s="71">
        <v>10</v>
      </c>
      <c r="N127" s="71"/>
      <c r="O127" s="71">
        <f t="shared" si="38"/>
        <v>41188.49</v>
      </c>
      <c r="P127" s="76"/>
      <c r="Q127" s="60">
        <v>41188.49</v>
      </c>
      <c r="R127" s="60">
        <v>34243.9</v>
      </c>
      <c r="S127" s="50">
        <f t="shared" si="19"/>
        <v>83.139488726098</v>
      </c>
    </row>
    <row r="128" spans="1:19" ht="12.75">
      <c r="A128" s="7" t="s">
        <v>71</v>
      </c>
      <c r="B128" s="90" t="s">
        <v>245</v>
      </c>
      <c r="C128" s="71">
        <v>152</v>
      </c>
      <c r="D128" s="71"/>
      <c r="E128" s="71"/>
      <c r="F128" s="71">
        <f t="shared" si="35"/>
        <v>152</v>
      </c>
      <c r="G128" s="72"/>
      <c r="H128" s="72"/>
      <c r="I128" s="72">
        <f t="shared" si="36"/>
        <v>152</v>
      </c>
      <c r="J128" s="71"/>
      <c r="K128" s="71"/>
      <c r="L128" s="71">
        <f t="shared" si="37"/>
        <v>152</v>
      </c>
      <c r="M128" s="71"/>
      <c r="N128" s="71"/>
      <c r="O128" s="71">
        <f t="shared" si="38"/>
        <v>152</v>
      </c>
      <c r="P128" s="76"/>
      <c r="Q128" s="60">
        <v>152</v>
      </c>
      <c r="R128" s="60">
        <v>77.29</v>
      </c>
      <c r="S128" s="50">
        <f t="shared" si="19"/>
        <v>50.848684210526315</v>
      </c>
    </row>
    <row r="129" spans="1:19" ht="12.75" hidden="1">
      <c r="A129" s="7" t="s">
        <v>72</v>
      </c>
      <c r="B129" s="90" t="s">
        <v>244</v>
      </c>
      <c r="C129" s="71"/>
      <c r="D129" s="71"/>
      <c r="E129" s="71"/>
      <c r="F129" s="71">
        <f t="shared" si="35"/>
        <v>0</v>
      </c>
      <c r="G129" s="72"/>
      <c r="H129" s="72"/>
      <c r="I129" s="72">
        <f t="shared" si="36"/>
        <v>0</v>
      </c>
      <c r="J129" s="71"/>
      <c r="K129" s="71"/>
      <c r="L129" s="71">
        <f t="shared" si="37"/>
        <v>0</v>
      </c>
      <c r="M129" s="71"/>
      <c r="N129" s="71"/>
      <c r="O129" s="71">
        <f t="shared" si="38"/>
        <v>0</v>
      </c>
      <c r="P129" s="76"/>
      <c r="Q129" s="60">
        <v>0</v>
      </c>
      <c r="R129" s="60"/>
      <c r="S129" s="50" t="e">
        <f t="shared" si="19"/>
        <v>#DIV/0!</v>
      </c>
    </row>
    <row r="130" spans="1:19" ht="12.75">
      <c r="A130" s="7" t="s">
        <v>73</v>
      </c>
      <c r="B130" s="90"/>
      <c r="C130" s="71">
        <v>58897</v>
      </c>
      <c r="D130" s="71"/>
      <c r="E130" s="71"/>
      <c r="F130" s="71">
        <f t="shared" si="35"/>
        <v>58897</v>
      </c>
      <c r="G130" s="72"/>
      <c r="H130" s="72"/>
      <c r="I130" s="72">
        <f t="shared" si="36"/>
        <v>58897</v>
      </c>
      <c r="J130" s="71"/>
      <c r="K130" s="71"/>
      <c r="L130" s="71">
        <f t="shared" si="37"/>
        <v>58897</v>
      </c>
      <c r="M130" s="71"/>
      <c r="N130" s="71"/>
      <c r="O130" s="71">
        <f t="shared" si="38"/>
        <v>58897</v>
      </c>
      <c r="P130" s="76"/>
      <c r="Q130" s="60">
        <v>58897</v>
      </c>
      <c r="R130" s="60">
        <v>57612.7</v>
      </c>
      <c r="S130" s="50">
        <f t="shared" si="19"/>
        <v>97.81941355247295</v>
      </c>
    </row>
    <row r="131" spans="1:19" ht="12.75">
      <c r="A131" s="7" t="s">
        <v>95</v>
      </c>
      <c r="B131" s="90"/>
      <c r="C131" s="71"/>
      <c r="D131" s="71">
        <f>1343.17</f>
        <v>1343.17</v>
      </c>
      <c r="E131" s="71"/>
      <c r="F131" s="71">
        <f t="shared" si="35"/>
        <v>1343.17</v>
      </c>
      <c r="G131" s="72"/>
      <c r="H131" s="72"/>
      <c r="I131" s="72">
        <f t="shared" si="36"/>
        <v>1343.17</v>
      </c>
      <c r="J131" s="71">
        <f>-696.7-57.43</f>
        <v>-754.13</v>
      </c>
      <c r="K131" s="71"/>
      <c r="L131" s="71">
        <f t="shared" si="37"/>
        <v>589.0400000000001</v>
      </c>
      <c r="M131" s="71">
        <f>5.86+521.02</f>
        <v>526.88</v>
      </c>
      <c r="N131" s="71"/>
      <c r="O131" s="71">
        <f t="shared" si="38"/>
        <v>1115.92</v>
      </c>
      <c r="P131" s="76">
        <f>51.07+75.63</f>
        <v>126.69999999999999</v>
      </c>
      <c r="Q131" s="60">
        <v>1242.6200000000001</v>
      </c>
      <c r="R131" s="60">
        <v>589.18</v>
      </c>
      <c r="S131" s="50">
        <f t="shared" si="19"/>
        <v>47.414334229289715</v>
      </c>
    </row>
    <row r="132" spans="1:19" ht="12.75">
      <c r="A132" s="7" t="s">
        <v>180</v>
      </c>
      <c r="B132" s="90">
        <v>2600</v>
      </c>
      <c r="C132" s="71"/>
      <c r="D132" s="71">
        <f>73.77</f>
        <v>73.77</v>
      </c>
      <c r="E132" s="71"/>
      <c r="F132" s="71">
        <f t="shared" si="35"/>
        <v>73.77</v>
      </c>
      <c r="G132" s="72"/>
      <c r="H132" s="72"/>
      <c r="I132" s="72">
        <f t="shared" si="36"/>
        <v>73.77</v>
      </c>
      <c r="J132" s="71"/>
      <c r="K132" s="71"/>
      <c r="L132" s="71">
        <f t="shared" si="37"/>
        <v>73.77</v>
      </c>
      <c r="M132" s="71"/>
      <c r="N132" s="71"/>
      <c r="O132" s="71">
        <f t="shared" si="38"/>
        <v>73.77</v>
      </c>
      <c r="P132" s="76"/>
      <c r="Q132" s="60">
        <v>73.77</v>
      </c>
      <c r="R132" s="60">
        <v>73.77</v>
      </c>
      <c r="S132" s="50">
        <f t="shared" si="19"/>
        <v>100</v>
      </c>
    </row>
    <row r="133" spans="1:19" ht="12.75" hidden="1">
      <c r="A133" s="7" t="s">
        <v>180</v>
      </c>
      <c r="B133" s="90"/>
      <c r="C133" s="71"/>
      <c r="D133" s="71"/>
      <c r="E133" s="71"/>
      <c r="F133" s="71">
        <f t="shared" si="35"/>
        <v>0</v>
      </c>
      <c r="G133" s="72"/>
      <c r="H133" s="72"/>
      <c r="I133" s="72">
        <f t="shared" si="36"/>
        <v>0</v>
      </c>
      <c r="J133" s="71"/>
      <c r="K133" s="71"/>
      <c r="L133" s="71">
        <f t="shared" si="37"/>
        <v>0</v>
      </c>
      <c r="M133" s="71"/>
      <c r="N133" s="71"/>
      <c r="O133" s="71">
        <f t="shared" si="38"/>
        <v>0</v>
      </c>
      <c r="P133" s="76"/>
      <c r="Q133" s="60">
        <v>0</v>
      </c>
      <c r="R133" s="60"/>
      <c r="S133" s="50" t="e">
        <f t="shared" si="19"/>
        <v>#DIV/0!</v>
      </c>
    </row>
    <row r="134" spans="1:19" ht="12.75">
      <c r="A134" s="7" t="s">
        <v>373</v>
      </c>
      <c r="B134" s="90">
        <v>1800</v>
      </c>
      <c r="C134" s="71"/>
      <c r="D134" s="71">
        <f>3220.76</f>
        <v>3220.76</v>
      </c>
      <c r="E134" s="71"/>
      <c r="F134" s="71">
        <f t="shared" si="35"/>
        <v>3220.76</v>
      </c>
      <c r="G134" s="72"/>
      <c r="H134" s="72"/>
      <c r="I134" s="72">
        <f t="shared" si="36"/>
        <v>3220.76</v>
      </c>
      <c r="J134" s="71"/>
      <c r="K134" s="71"/>
      <c r="L134" s="71">
        <f t="shared" si="37"/>
        <v>3220.76</v>
      </c>
      <c r="M134" s="71">
        <f>-521.02</f>
        <v>-521.02</v>
      </c>
      <c r="N134" s="71"/>
      <c r="O134" s="71">
        <f t="shared" si="38"/>
        <v>2699.7400000000002</v>
      </c>
      <c r="P134" s="76"/>
      <c r="Q134" s="60">
        <v>2699.7400000000002</v>
      </c>
      <c r="R134" s="60">
        <v>2699.74</v>
      </c>
      <c r="S134" s="50">
        <f t="shared" si="19"/>
        <v>99.99999999999997</v>
      </c>
    </row>
    <row r="135" spans="1:19" ht="12.75" hidden="1">
      <c r="A135" s="33" t="s">
        <v>205</v>
      </c>
      <c r="B135" s="90"/>
      <c r="C135" s="71"/>
      <c r="D135" s="71"/>
      <c r="E135" s="71"/>
      <c r="F135" s="71">
        <f t="shared" si="35"/>
        <v>0</v>
      </c>
      <c r="G135" s="72"/>
      <c r="H135" s="72"/>
      <c r="I135" s="72">
        <f t="shared" si="36"/>
        <v>0</v>
      </c>
      <c r="J135" s="71"/>
      <c r="K135" s="71"/>
      <c r="L135" s="71">
        <f t="shared" si="37"/>
        <v>0</v>
      </c>
      <c r="M135" s="71"/>
      <c r="N135" s="71"/>
      <c r="O135" s="71">
        <f t="shared" si="38"/>
        <v>0</v>
      </c>
      <c r="P135" s="76"/>
      <c r="Q135" s="60">
        <v>0</v>
      </c>
      <c r="R135" s="60"/>
      <c r="S135" s="50" t="e">
        <f t="shared" si="19"/>
        <v>#DIV/0!</v>
      </c>
    </row>
    <row r="136" spans="1:19" ht="12.75" hidden="1">
      <c r="A136" s="33" t="s">
        <v>252</v>
      </c>
      <c r="B136" s="90">
        <v>3200</v>
      </c>
      <c r="C136" s="71"/>
      <c r="D136" s="71">
        <f>213.76</f>
        <v>213.76</v>
      </c>
      <c r="E136" s="71"/>
      <c r="F136" s="71">
        <f t="shared" si="35"/>
        <v>213.76</v>
      </c>
      <c r="G136" s="72"/>
      <c r="H136" s="72"/>
      <c r="I136" s="72">
        <f t="shared" si="36"/>
        <v>213.76</v>
      </c>
      <c r="J136" s="71"/>
      <c r="K136" s="71"/>
      <c r="L136" s="71">
        <f t="shared" si="37"/>
        <v>213.76</v>
      </c>
      <c r="M136" s="71"/>
      <c r="N136" s="71"/>
      <c r="O136" s="71">
        <f t="shared" si="38"/>
        <v>213.76</v>
      </c>
      <c r="P136" s="76"/>
      <c r="Q136" s="60"/>
      <c r="R136" s="60"/>
      <c r="S136" s="50" t="e">
        <f t="shared" si="19"/>
        <v>#DIV/0!</v>
      </c>
    </row>
    <row r="137" spans="1:19" ht="12.75">
      <c r="A137" s="7" t="s">
        <v>253</v>
      </c>
      <c r="B137" s="90">
        <v>3200</v>
      </c>
      <c r="C137" s="71"/>
      <c r="D137" s="71"/>
      <c r="E137" s="71"/>
      <c r="F137" s="71">
        <f t="shared" si="35"/>
        <v>0</v>
      </c>
      <c r="G137" s="72"/>
      <c r="H137" s="72"/>
      <c r="I137" s="72">
        <f t="shared" si="36"/>
        <v>0</v>
      </c>
      <c r="J137" s="71"/>
      <c r="K137" s="71"/>
      <c r="L137" s="71">
        <f t="shared" si="37"/>
        <v>0</v>
      </c>
      <c r="M137" s="71">
        <v>31.22</v>
      </c>
      <c r="N137" s="71"/>
      <c r="O137" s="71">
        <f t="shared" si="38"/>
        <v>31.22</v>
      </c>
      <c r="P137" s="76"/>
      <c r="Q137" s="60">
        <f>31.22+213.76</f>
        <v>244.98</v>
      </c>
      <c r="R137" s="60">
        <v>74.03</v>
      </c>
      <c r="S137" s="50">
        <f t="shared" si="19"/>
        <v>30.21879337088742</v>
      </c>
    </row>
    <row r="138" spans="1:19" ht="12.75" hidden="1">
      <c r="A138" s="7" t="s">
        <v>74</v>
      </c>
      <c r="B138" s="90"/>
      <c r="C138" s="71"/>
      <c r="D138" s="71"/>
      <c r="E138" s="71"/>
      <c r="F138" s="71">
        <f t="shared" si="35"/>
        <v>0</v>
      </c>
      <c r="G138" s="72"/>
      <c r="H138" s="72"/>
      <c r="I138" s="72">
        <f t="shared" si="36"/>
        <v>0</v>
      </c>
      <c r="J138" s="71"/>
      <c r="K138" s="71"/>
      <c r="L138" s="71">
        <f t="shared" si="37"/>
        <v>0</v>
      </c>
      <c r="M138" s="71"/>
      <c r="N138" s="71"/>
      <c r="O138" s="71">
        <f t="shared" si="38"/>
        <v>0</v>
      </c>
      <c r="P138" s="76"/>
      <c r="Q138" s="60">
        <v>0</v>
      </c>
      <c r="R138" s="60"/>
      <c r="S138" s="50" t="e">
        <f t="shared" si="19"/>
        <v>#DIV/0!</v>
      </c>
    </row>
    <row r="139" spans="1:19" ht="12.75">
      <c r="A139" s="7" t="s">
        <v>374</v>
      </c>
      <c r="B139" s="90">
        <v>13234</v>
      </c>
      <c r="C139" s="71"/>
      <c r="D139" s="71"/>
      <c r="E139" s="71"/>
      <c r="F139" s="71"/>
      <c r="G139" s="72"/>
      <c r="H139" s="72"/>
      <c r="I139" s="72">
        <f t="shared" si="36"/>
        <v>0</v>
      </c>
      <c r="J139" s="71">
        <v>221.1</v>
      </c>
      <c r="K139" s="71"/>
      <c r="L139" s="71">
        <f t="shared" si="37"/>
        <v>221.1</v>
      </c>
      <c r="M139" s="71"/>
      <c r="N139" s="71"/>
      <c r="O139" s="71">
        <f t="shared" si="38"/>
        <v>221.1</v>
      </c>
      <c r="P139" s="76">
        <v>-35.3</v>
      </c>
      <c r="Q139" s="60">
        <v>185.8</v>
      </c>
      <c r="R139" s="60">
        <v>185.8</v>
      </c>
      <c r="S139" s="50">
        <f t="shared" si="19"/>
        <v>100</v>
      </c>
    </row>
    <row r="140" spans="1:19" ht="12.75">
      <c r="A140" s="7" t="s">
        <v>75</v>
      </c>
      <c r="B140" s="90">
        <v>98074</v>
      </c>
      <c r="C140" s="71"/>
      <c r="D140" s="71"/>
      <c r="E140" s="71"/>
      <c r="F140" s="71">
        <f t="shared" si="35"/>
        <v>0</v>
      </c>
      <c r="G140" s="72">
        <v>15</v>
      </c>
      <c r="H140" s="72"/>
      <c r="I140" s="72">
        <f t="shared" si="36"/>
        <v>15</v>
      </c>
      <c r="J140" s="71"/>
      <c r="K140" s="71"/>
      <c r="L140" s="71">
        <f t="shared" si="37"/>
        <v>15</v>
      </c>
      <c r="M140" s="71"/>
      <c r="N140" s="71"/>
      <c r="O140" s="71">
        <f t="shared" si="38"/>
        <v>15</v>
      </c>
      <c r="P140" s="76"/>
      <c r="Q140" s="60">
        <v>15</v>
      </c>
      <c r="R140" s="60">
        <v>3.29</v>
      </c>
      <c r="S140" s="50">
        <f aca="true" t="shared" si="39" ref="S140:S202">R140/Q140*100</f>
        <v>21.933333333333334</v>
      </c>
    </row>
    <row r="141" spans="1:19" ht="12.75">
      <c r="A141" s="7" t="s">
        <v>349</v>
      </c>
      <c r="B141" s="90">
        <v>98187</v>
      </c>
      <c r="C141" s="71"/>
      <c r="D141" s="71"/>
      <c r="E141" s="71"/>
      <c r="F141" s="71"/>
      <c r="G141" s="72"/>
      <c r="H141" s="72"/>
      <c r="I141" s="72"/>
      <c r="J141" s="71"/>
      <c r="K141" s="71"/>
      <c r="L141" s="71">
        <f t="shared" si="37"/>
        <v>0</v>
      </c>
      <c r="M141" s="71">
        <v>100</v>
      </c>
      <c r="N141" s="71"/>
      <c r="O141" s="71">
        <f t="shared" si="38"/>
        <v>100</v>
      </c>
      <c r="P141" s="76"/>
      <c r="Q141" s="60">
        <v>100</v>
      </c>
      <c r="R141" s="60">
        <v>72.12</v>
      </c>
      <c r="S141" s="50">
        <f t="shared" si="39"/>
        <v>72.12</v>
      </c>
    </row>
    <row r="142" spans="1:19" ht="12.75" hidden="1">
      <c r="A142" s="7" t="s">
        <v>76</v>
      </c>
      <c r="B142" s="90"/>
      <c r="C142" s="71"/>
      <c r="D142" s="71"/>
      <c r="E142" s="71"/>
      <c r="F142" s="71">
        <f t="shared" si="35"/>
        <v>0</v>
      </c>
      <c r="G142" s="72"/>
      <c r="H142" s="72"/>
      <c r="I142" s="72">
        <f t="shared" si="36"/>
        <v>0</v>
      </c>
      <c r="J142" s="71"/>
      <c r="K142" s="71"/>
      <c r="L142" s="71">
        <f t="shared" si="37"/>
        <v>0</v>
      </c>
      <c r="M142" s="71"/>
      <c r="N142" s="71"/>
      <c r="O142" s="71">
        <f t="shared" si="38"/>
        <v>0</v>
      </c>
      <c r="P142" s="76"/>
      <c r="Q142" s="60">
        <v>0</v>
      </c>
      <c r="R142" s="60"/>
      <c r="S142" s="50" t="e">
        <f t="shared" si="39"/>
        <v>#DIV/0!</v>
      </c>
    </row>
    <row r="143" spans="1:19" ht="12.75">
      <c r="A143" s="7" t="s">
        <v>330</v>
      </c>
      <c r="B143" s="90">
        <v>98348</v>
      </c>
      <c r="C143" s="71"/>
      <c r="D143" s="71"/>
      <c r="E143" s="71"/>
      <c r="F143" s="71">
        <f t="shared" si="35"/>
        <v>0</v>
      </c>
      <c r="G143" s="72">
        <v>100</v>
      </c>
      <c r="H143" s="72"/>
      <c r="I143" s="72">
        <f t="shared" si="36"/>
        <v>100</v>
      </c>
      <c r="J143" s="71"/>
      <c r="K143" s="71"/>
      <c r="L143" s="71">
        <f t="shared" si="37"/>
        <v>100</v>
      </c>
      <c r="M143" s="71"/>
      <c r="N143" s="71"/>
      <c r="O143" s="71">
        <f t="shared" si="38"/>
        <v>100</v>
      </c>
      <c r="P143" s="76"/>
      <c r="Q143" s="60">
        <v>100</v>
      </c>
      <c r="R143" s="60">
        <v>36.42</v>
      </c>
      <c r="S143" s="50">
        <f t="shared" si="39"/>
        <v>36.42</v>
      </c>
    </row>
    <row r="144" spans="1:19" ht="13.5" thickBot="1">
      <c r="A144" s="153" t="s">
        <v>77</v>
      </c>
      <c r="B144" s="156">
        <v>4001</v>
      </c>
      <c r="C144" s="101"/>
      <c r="D144" s="101"/>
      <c r="E144" s="101"/>
      <c r="F144" s="101">
        <f t="shared" si="35"/>
        <v>0</v>
      </c>
      <c r="G144" s="102"/>
      <c r="H144" s="102"/>
      <c r="I144" s="102">
        <f t="shared" si="36"/>
        <v>0</v>
      </c>
      <c r="J144" s="101">
        <v>250</v>
      </c>
      <c r="K144" s="101"/>
      <c r="L144" s="101">
        <f t="shared" si="37"/>
        <v>250</v>
      </c>
      <c r="M144" s="101"/>
      <c r="N144" s="101"/>
      <c r="O144" s="101">
        <f t="shared" si="38"/>
        <v>250</v>
      </c>
      <c r="P144" s="132"/>
      <c r="Q144" s="154">
        <v>250</v>
      </c>
      <c r="R144" s="154">
        <v>250</v>
      </c>
      <c r="S144" s="157">
        <f t="shared" si="39"/>
        <v>100</v>
      </c>
    </row>
    <row r="145" spans="1:19" ht="12.75">
      <c r="A145" s="13" t="s">
        <v>68</v>
      </c>
      <c r="B145" s="91"/>
      <c r="C145" s="88">
        <f>C148+C147</f>
        <v>0</v>
      </c>
      <c r="D145" s="88">
        <f>D148+D147</f>
        <v>1120</v>
      </c>
      <c r="E145" s="88">
        <f>E148+E147</f>
        <v>0</v>
      </c>
      <c r="F145" s="88">
        <f>F148+F147</f>
        <v>1120</v>
      </c>
      <c r="G145" s="89">
        <f aca="true" t="shared" si="40" ref="G145:R145">G148+G147</f>
        <v>0</v>
      </c>
      <c r="H145" s="89">
        <f t="shared" si="40"/>
        <v>0</v>
      </c>
      <c r="I145" s="89">
        <f t="shared" si="40"/>
        <v>1120</v>
      </c>
      <c r="J145" s="88">
        <f t="shared" si="40"/>
        <v>2830.19</v>
      </c>
      <c r="K145" s="88">
        <f t="shared" si="40"/>
        <v>0</v>
      </c>
      <c r="L145" s="88">
        <f t="shared" si="40"/>
        <v>3950.19</v>
      </c>
      <c r="M145" s="88">
        <f t="shared" si="40"/>
        <v>2570.8</v>
      </c>
      <c r="N145" s="88">
        <f t="shared" si="40"/>
        <v>0</v>
      </c>
      <c r="O145" s="88">
        <f t="shared" si="40"/>
        <v>6520.99</v>
      </c>
      <c r="P145" s="88">
        <f t="shared" si="40"/>
        <v>2066.43</v>
      </c>
      <c r="Q145" s="88">
        <f t="shared" si="40"/>
        <v>8587.42</v>
      </c>
      <c r="R145" s="89">
        <f t="shared" si="40"/>
        <v>7467.42</v>
      </c>
      <c r="S145" s="150">
        <f t="shared" si="39"/>
        <v>86.95766598116779</v>
      </c>
    </row>
    <row r="146" spans="1:19" ht="12.75">
      <c r="A146" s="9" t="s">
        <v>34</v>
      </c>
      <c r="B146" s="90"/>
      <c r="C146" s="71"/>
      <c r="D146" s="71"/>
      <c r="E146" s="71"/>
      <c r="F146" s="67"/>
      <c r="G146" s="72"/>
      <c r="H146" s="72"/>
      <c r="I146" s="68"/>
      <c r="J146" s="71"/>
      <c r="K146" s="71"/>
      <c r="L146" s="67"/>
      <c r="M146" s="71"/>
      <c r="N146" s="71"/>
      <c r="O146" s="67"/>
      <c r="P146" s="76"/>
      <c r="Q146" s="60"/>
      <c r="R146" s="60"/>
      <c r="S146" s="50"/>
    </row>
    <row r="147" spans="1:19" ht="12.75">
      <c r="A147" s="6" t="s">
        <v>69</v>
      </c>
      <c r="B147" s="90"/>
      <c r="C147" s="71"/>
      <c r="D147" s="71">
        <f>1120</f>
        <v>1120</v>
      </c>
      <c r="E147" s="71"/>
      <c r="F147" s="71">
        <f>C147+D147+E147</f>
        <v>1120</v>
      </c>
      <c r="G147" s="72"/>
      <c r="H147" s="72"/>
      <c r="I147" s="72">
        <f>F147+G147+H147</f>
        <v>1120</v>
      </c>
      <c r="J147" s="71"/>
      <c r="K147" s="71"/>
      <c r="L147" s="71">
        <f>I147+J147+K147</f>
        <v>1120</v>
      </c>
      <c r="M147" s="71"/>
      <c r="N147" s="71"/>
      <c r="O147" s="71">
        <f>L147+M147+N147</f>
        <v>1120</v>
      </c>
      <c r="P147" s="76"/>
      <c r="Q147" s="60">
        <v>1120</v>
      </c>
      <c r="R147" s="60">
        <v>0</v>
      </c>
      <c r="S147" s="50">
        <f t="shared" si="39"/>
        <v>0</v>
      </c>
    </row>
    <row r="148" spans="1:19" ht="12.75">
      <c r="A148" s="10" t="s">
        <v>96</v>
      </c>
      <c r="B148" s="94"/>
      <c r="C148" s="95"/>
      <c r="D148" s="95"/>
      <c r="E148" s="95"/>
      <c r="F148" s="95">
        <f>C148+D148+E148</f>
        <v>0</v>
      </c>
      <c r="G148" s="96"/>
      <c r="H148" s="96"/>
      <c r="I148" s="96">
        <f>F148+G148+H148</f>
        <v>0</v>
      </c>
      <c r="J148" s="95">
        <f>605+2225.19</f>
        <v>2830.19</v>
      </c>
      <c r="K148" s="95"/>
      <c r="L148" s="95">
        <f>I148+J148+K148</f>
        <v>2830.19</v>
      </c>
      <c r="M148" s="95">
        <f>625.43+823.28+1122.09</f>
        <v>2570.8</v>
      </c>
      <c r="N148" s="95"/>
      <c r="O148" s="95">
        <f>L148+M148+N148</f>
        <v>5400.99</v>
      </c>
      <c r="P148" s="97">
        <f>-51.07+2117.5</f>
        <v>2066.43</v>
      </c>
      <c r="Q148" s="53">
        <v>7467.42</v>
      </c>
      <c r="R148" s="53">
        <v>7467.42</v>
      </c>
      <c r="S148" s="52">
        <f t="shared" si="39"/>
        <v>100</v>
      </c>
    </row>
    <row r="149" spans="1:19" ht="12.75">
      <c r="A149" s="4" t="s">
        <v>78</v>
      </c>
      <c r="B149" s="91"/>
      <c r="C149" s="67">
        <f>C150+C159</f>
        <v>68545.7</v>
      </c>
      <c r="D149" s="67">
        <f>D150+D159</f>
        <v>16448.85</v>
      </c>
      <c r="E149" s="67">
        <f>E150+E159</f>
        <v>0</v>
      </c>
      <c r="F149" s="67">
        <f>F150+F159</f>
        <v>84994.55</v>
      </c>
      <c r="G149" s="68">
        <f aca="true" t="shared" si="41" ref="G149:P149">G150+G159</f>
        <v>8441.810000000001</v>
      </c>
      <c r="H149" s="68">
        <f t="shared" si="41"/>
        <v>16390.38</v>
      </c>
      <c r="I149" s="68">
        <f t="shared" si="41"/>
        <v>109826.74</v>
      </c>
      <c r="J149" s="67">
        <f t="shared" si="41"/>
        <v>8325.78</v>
      </c>
      <c r="K149" s="67">
        <f t="shared" si="41"/>
        <v>0</v>
      </c>
      <c r="L149" s="67">
        <f t="shared" si="41"/>
        <v>118152.52000000002</v>
      </c>
      <c r="M149" s="67">
        <f>M150+M159</f>
        <v>720.44</v>
      </c>
      <c r="N149" s="67">
        <f>N150+N159</f>
        <v>0</v>
      </c>
      <c r="O149" s="67">
        <f>O150+O159</f>
        <v>118872.96</v>
      </c>
      <c r="P149" s="67">
        <f t="shared" si="41"/>
        <v>0</v>
      </c>
      <c r="Q149" s="67">
        <f>Q150+Q159</f>
        <v>118872.96</v>
      </c>
      <c r="R149" s="68">
        <f>R150+R159</f>
        <v>77959.57999999999</v>
      </c>
      <c r="S149" s="148">
        <f t="shared" si="39"/>
        <v>65.58226530238667</v>
      </c>
    </row>
    <row r="150" spans="1:19" ht="12.75">
      <c r="A150" s="13" t="s">
        <v>63</v>
      </c>
      <c r="B150" s="91"/>
      <c r="C150" s="88">
        <f>SUM(C152:C157)</f>
        <v>23545.7</v>
      </c>
      <c r="D150" s="88">
        <f>SUM(D152:D157)</f>
        <v>1448.85</v>
      </c>
      <c r="E150" s="88">
        <f>SUM(E152:E157)</f>
        <v>0</v>
      </c>
      <c r="F150" s="88">
        <f>SUM(F152:F157)</f>
        <v>24994.55</v>
      </c>
      <c r="G150" s="89">
        <f aca="true" t="shared" si="42" ref="G150:P150">SUM(G152:G157)</f>
        <v>3578.09</v>
      </c>
      <c r="H150" s="89">
        <f t="shared" si="42"/>
        <v>0</v>
      </c>
      <c r="I150" s="89">
        <f t="shared" si="42"/>
        <v>28572.64</v>
      </c>
      <c r="J150" s="88">
        <f t="shared" si="42"/>
        <v>3325.78</v>
      </c>
      <c r="K150" s="88">
        <f t="shared" si="42"/>
        <v>-1264.29</v>
      </c>
      <c r="L150" s="88">
        <f t="shared" si="42"/>
        <v>30634.13</v>
      </c>
      <c r="M150" s="88">
        <f>SUM(M152:M157)</f>
        <v>483.9200000000001</v>
      </c>
      <c r="N150" s="88">
        <f>SUM(N152:N157)</f>
        <v>0</v>
      </c>
      <c r="O150" s="88">
        <f>SUM(O152:O157)</f>
        <v>31118.050000000003</v>
      </c>
      <c r="P150" s="88">
        <f t="shared" si="42"/>
        <v>0</v>
      </c>
      <c r="Q150" s="88">
        <f>SUM(Q152:Q157)</f>
        <v>31118.050000000003</v>
      </c>
      <c r="R150" s="89">
        <f>SUM(R152:R157)</f>
        <v>30134.6</v>
      </c>
      <c r="S150" s="150">
        <f t="shared" si="39"/>
        <v>96.83961559287935</v>
      </c>
    </row>
    <row r="151" spans="1:19" ht="12.75">
      <c r="A151" s="9" t="s">
        <v>34</v>
      </c>
      <c r="B151" s="90"/>
      <c r="C151" s="71"/>
      <c r="D151" s="71"/>
      <c r="E151" s="71"/>
      <c r="F151" s="67"/>
      <c r="G151" s="72"/>
      <c r="H151" s="72"/>
      <c r="I151" s="68"/>
      <c r="J151" s="71"/>
      <c r="K151" s="71"/>
      <c r="L151" s="67"/>
      <c r="M151" s="71"/>
      <c r="N151" s="71"/>
      <c r="O151" s="67"/>
      <c r="P151" s="76"/>
      <c r="Q151" s="60"/>
      <c r="R151" s="60"/>
      <c r="S151" s="50"/>
    </row>
    <row r="152" spans="1:19" ht="12.75">
      <c r="A152" s="7" t="s">
        <v>65</v>
      </c>
      <c r="B152" s="90"/>
      <c r="C152" s="71">
        <v>23545.7</v>
      </c>
      <c r="D152" s="71">
        <v>180</v>
      </c>
      <c r="E152" s="71"/>
      <c r="F152" s="71">
        <f aca="true" t="shared" si="43" ref="F152:F158">C152+D152+E152</f>
        <v>23725.7</v>
      </c>
      <c r="G152" s="72"/>
      <c r="H152" s="72">
        <v>-102.56</v>
      </c>
      <c r="I152" s="72">
        <f aca="true" t="shared" si="44" ref="I152:I158">F152+G152+H152</f>
        <v>23623.14</v>
      </c>
      <c r="J152" s="71"/>
      <c r="K152" s="71">
        <v>-1433</v>
      </c>
      <c r="L152" s="71">
        <f aca="true" t="shared" si="45" ref="L152:L158">I152+J152+K152</f>
        <v>22190.14</v>
      </c>
      <c r="M152" s="71">
        <v>-1763.11</v>
      </c>
      <c r="N152" s="71">
        <v>-2825.21</v>
      </c>
      <c r="O152" s="71">
        <f aca="true" t="shared" si="46" ref="O152:O158">L152+M152+N152</f>
        <v>17601.82</v>
      </c>
      <c r="P152" s="76"/>
      <c r="Q152" s="60">
        <v>17601.82</v>
      </c>
      <c r="R152" s="60">
        <v>17199.38</v>
      </c>
      <c r="S152" s="50">
        <f t="shared" si="39"/>
        <v>97.71364552074729</v>
      </c>
    </row>
    <row r="153" spans="1:19" ht="12.75">
      <c r="A153" s="7" t="s">
        <v>80</v>
      </c>
      <c r="B153" s="90"/>
      <c r="C153" s="71"/>
      <c r="D153" s="71"/>
      <c r="E153" s="71"/>
      <c r="F153" s="71">
        <f t="shared" si="43"/>
        <v>0</v>
      </c>
      <c r="G153" s="72">
        <v>2000</v>
      </c>
      <c r="H153" s="72">
        <v>102.56</v>
      </c>
      <c r="I153" s="72">
        <f t="shared" si="44"/>
        <v>2102.56</v>
      </c>
      <c r="J153" s="71"/>
      <c r="K153" s="71"/>
      <c r="L153" s="71">
        <f t="shared" si="45"/>
        <v>2102.56</v>
      </c>
      <c r="M153" s="71"/>
      <c r="N153" s="71">
        <v>2825.21</v>
      </c>
      <c r="O153" s="71">
        <f t="shared" si="46"/>
        <v>4927.77</v>
      </c>
      <c r="P153" s="76"/>
      <c r="Q153" s="60">
        <v>4927.77</v>
      </c>
      <c r="R153" s="60">
        <v>4346.76</v>
      </c>
      <c r="S153" s="50">
        <f t="shared" si="39"/>
        <v>88.20947406230404</v>
      </c>
    </row>
    <row r="154" spans="1:19" ht="12.75">
      <c r="A154" s="7" t="s">
        <v>81</v>
      </c>
      <c r="B154" s="90">
        <v>98278</v>
      </c>
      <c r="C154" s="71"/>
      <c r="D154" s="71">
        <f>21.57</f>
        <v>21.57</v>
      </c>
      <c r="E154" s="71"/>
      <c r="F154" s="71">
        <f t="shared" si="43"/>
        <v>21.57</v>
      </c>
      <c r="G154" s="72"/>
      <c r="H154" s="72"/>
      <c r="I154" s="72">
        <f t="shared" si="44"/>
        <v>21.57</v>
      </c>
      <c r="J154" s="71">
        <v>20.36</v>
      </c>
      <c r="K154" s="71"/>
      <c r="L154" s="71">
        <f t="shared" si="45"/>
        <v>41.93</v>
      </c>
      <c r="M154" s="71"/>
      <c r="N154" s="71"/>
      <c r="O154" s="71">
        <f t="shared" si="46"/>
        <v>41.93</v>
      </c>
      <c r="P154" s="76"/>
      <c r="Q154" s="60">
        <v>41.93</v>
      </c>
      <c r="R154" s="60">
        <v>41.93</v>
      </c>
      <c r="S154" s="50">
        <f t="shared" si="39"/>
        <v>100</v>
      </c>
    </row>
    <row r="155" spans="1:19" ht="12.75">
      <c r="A155" s="7" t="s">
        <v>352</v>
      </c>
      <c r="B155" s="90">
        <v>15340</v>
      </c>
      <c r="C155" s="71"/>
      <c r="D155" s="71"/>
      <c r="E155" s="71"/>
      <c r="F155" s="71"/>
      <c r="G155" s="72"/>
      <c r="H155" s="72"/>
      <c r="I155" s="72"/>
      <c r="J155" s="71"/>
      <c r="K155" s="71"/>
      <c r="L155" s="71">
        <f t="shared" si="45"/>
        <v>0</v>
      </c>
      <c r="M155" s="71">
        <v>143</v>
      </c>
      <c r="N155" s="71"/>
      <c r="O155" s="71">
        <f t="shared" si="46"/>
        <v>143</v>
      </c>
      <c r="P155" s="76"/>
      <c r="Q155" s="60">
        <v>143</v>
      </c>
      <c r="R155" s="60">
        <v>143</v>
      </c>
      <c r="S155" s="50">
        <f t="shared" si="39"/>
        <v>100</v>
      </c>
    </row>
    <row r="156" spans="1:19" ht="12.75">
      <c r="A156" s="7" t="s">
        <v>95</v>
      </c>
      <c r="B156" s="90"/>
      <c r="C156" s="71"/>
      <c r="D156" s="71">
        <v>1247.28</v>
      </c>
      <c r="E156" s="71"/>
      <c r="F156" s="71">
        <f t="shared" si="43"/>
        <v>1247.28</v>
      </c>
      <c r="G156" s="72">
        <f>1441.81</f>
        <v>1441.81</v>
      </c>
      <c r="H156" s="72"/>
      <c r="I156" s="72">
        <f t="shared" si="44"/>
        <v>2689.09</v>
      </c>
      <c r="J156" s="71">
        <v>3305.42</v>
      </c>
      <c r="K156" s="71"/>
      <c r="L156" s="71">
        <f t="shared" si="45"/>
        <v>5994.51</v>
      </c>
      <c r="M156" s="71">
        <f>398+179.44</f>
        <v>577.44</v>
      </c>
      <c r="N156" s="71"/>
      <c r="O156" s="71">
        <f t="shared" si="46"/>
        <v>6571.950000000001</v>
      </c>
      <c r="P156" s="76"/>
      <c r="Q156" s="60">
        <v>6571.950000000001</v>
      </c>
      <c r="R156" s="60">
        <v>6571.95</v>
      </c>
      <c r="S156" s="50">
        <f t="shared" si="39"/>
        <v>99.99999999999999</v>
      </c>
    </row>
    <row r="157" spans="1:19" ht="12.75">
      <c r="A157" s="6" t="s">
        <v>82</v>
      </c>
      <c r="B157" s="90"/>
      <c r="C157" s="71"/>
      <c r="D157" s="71"/>
      <c r="E157" s="71"/>
      <c r="F157" s="71">
        <f t="shared" si="43"/>
        <v>0</v>
      </c>
      <c r="G157" s="72">
        <f>136.28</f>
        <v>136.28</v>
      </c>
      <c r="H157" s="72"/>
      <c r="I157" s="72">
        <f t="shared" si="44"/>
        <v>136.28</v>
      </c>
      <c r="J157" s="71"/>
      <c r="K157" s="71">
        <v>168.71</v>
      </c>
      <c r="L157" s="71">
        <f t="shared" si="45"/>
        <v>304.99</v>
      </c>
      <c r="M157" s="71">
        <v>1526.59</v>
      </c>
      <c r="N157" s="71"/>
      <c r="O157" s="71">
        <f t="shared" si="46"/>
        <v>1831.58</v>
      </c>
      <c r="P157" s="76"/>
      <c r="Q157" s="60">
        <v>1831.58</v>
      </c>
      <c r="R157" s="60">
        <v>1831.58</v>
      </c>
      <c r="S157" s="50">
        <f t="shared" si="39"/>
        <v>100</v>
      </c>
    </row>
    <row r="158" spans="1:19" ht="12.75">
      <c r="A158" s="6" t="s">
        <v>83</v>
      </c>
      <c r="B158" s="90"/>
      <c r="C158" s="71"/>
      <c r="D158" s="71"/>
      <c r="E158" s="71"/>
      <c r="F158" s="71">
        <f t="shared" si="43"/>
        <v>0</v>
      </c>
      <c r="G158" s="72">
        <v>136.28</v>
      </c>
      <c r="H158" s="72"/>
      <c r="I158" s="72">
        <f t="shared" si="44"/>
        <v>136.28</v>
      </c>
      <c r="J158" s="71"/>
      <c r="K158" s="71">
        <v>168.71</v>
      </c>
      <c r="L158" s="71">
        <f t="shared" si="45"/>
        <v>304.99</v>
      </c>
      <c r="M158" s="71">
        <f>1526.59</f>
        <v>1526.59</v>
      </c>
      <c r="N158" s="71"/>
      <c r="O158" s="71">
        <f t="shared" si="46"/>
        <v>1831.58</v>
      </c>
      <c r="P158" s="76"/>
      <c r="Q158" s="60">
        <v>1831.58</v>
      </c>
      <c r="R158" s="60">
        <v>1831.58</v>
      </c>
      <c r="S158" s="50">
        <f t="shared" si="39"/>
        <v>100</v>
      </c>
    </row>
    <row r="159" spans="1:19" ht="12.75">
      <c r="A159" s="14" t="s">
        <v>68</v>
      </c>
      <c r="B159" s="91"/>
      <c r="C159" s="92">
        <f>SUM(C161:C164)</f>
        <v>45000</v>
      </c>
      <c r="D159" s="92">
        <f>SUM(D161:D164)</f>
        <v>15000</v>
      </c>
      <c r="E159" s="92">
        <f>SUM(E161:E164)</f>
        <v>0</v>
      </c>
      <c r="F159" s="92">
        <f>SUM(F161:F164)</f>
        <v>60000</v>
      </c>
      <c r="G159" s="93">
        <f aca="true" t="shared" si="47" ref="G159:R159">SUM(G161:G164)</f>
        <v>4863.72</v>
      </c>
      <c r="H159" s="93">
        <f t="shared" si="47"/>
        <v>16390.38</v>
      </c>
      <c r="I159" s="93">
        <f t="shared" si="47"/>
        <v>81254.1</v>
      </c>
      <c r="J159" s="92">
        <f t="shared" si="47"/>
        <v>5000</v>
      </c>
      <c r="K159" s="92">
        <f t="shared" si="47"/>
        <v>1264.29</v>
      </c>
      <c r="L159" s="92">
        <f t="shared" si="47"/>
        <v>87518.39000000001</v>
      </c>
      <c r="M159" s="92">
        <f t="shared" si="47"/>
        <v>236.51999999999998</v>
      </c>
      <c r="N159" s="92">
        <f t="shared" si="47"/>
        <v>0</v>
      </c>
      <c r="O159" s="92">
        <f t="shared" si="47"/>
        <v>87754.91</v>
      </c>
      <c r="P159" s="92">
        <f t="shared" si="47"/>
        <v>0</v>
      </c>
      <c r="Q159" s="92">
        <f t="shared" si="47"/>
        <v>87754.91</v>
      </c>
      <c r="R159" s="93">
        <f t="shared" si="47"/>
        <v>47824.979999999996</v>
      </c>
      <c r="S159" s="150">
        <f t="shared" si="39"/>
        <v>54.498352285929066</v>
      </c>
    </row>
    <row r="160" spans="1:19" ht="12.75">
      <c r="A160" s="5" t="s">
        <v>34</v>
      </c>
      <c r="B160" s="90"/>
      <c r="C160" s="79"/>
      <c r="D160" s="79"/>
      <c r="E160" s="79"/>
      <c r="F160" s="79"/>
      <c r="G160" s="80"/>
      <c r="H160" s="80"/>
      <c r="I160" s="80"/>
      <c r="J160" s="79"/>
      <c r="K160" s="79"/>
      <c r="L160" s="79"/>
      <c r="M160" s="79"/>
      <c r="N160" s="79"/>
      <c r="O160" s="79"/>
      <c r="P160" s="76"/>
      <c r="Q160" s="60"/>
      <c r="R160" s="60"/>
      <c r="S160" s="50"/>
    </row>
    <row r="161" spans="1:19" ht="12.75">
      <c r="A161" s="6" t="s">
        <v>84</v>
      </c>
      <c r="B161" s="90"/>
      <c r="C161" s="71"/>
      <c r="D161" s="71">
        <v>5000</v>
      </c>
      <c r="E161" s="71"/>
      <c r="F161" s="71">
        <f>C161+D161+E161</f>
        <v>5000</v>
      </c>
      <c r="G161" s="72">
        <v>5000</v>
      </c>
      <c r="H161" s="72"/>
      <c r="I161" s="72">
        <f>F161+G161+H161</f>
        <v>10000</v>
      </c>
      <c r="J161" s="71">
        <v>5000</v>
      </c>
      <c r="K161" s="71">
        <v>1433</v>
      </c>
      <c r="L161" s="71">
        <f>I161+J161+K161</f>
        <v>16433</v>
      </c>
      <c r="M161" s="71"/>
      <c r="N161" s="71">
        <v>1724</v>
      </c>
      <c r="O161" s="71">
        <f>L161+M161+N161</f>
        <v>18157</v>
      </c>
      <c r="P161" s="76"/>
      <c r="Q161" s="60">
        <v>18157</v>
      </c>
      <c r="R161" s="60">
        <v>18157</v>
      </c>
      <c r="S161" s="50">
        <f t="shared" si="39"/>
        <v>100</v>
      </c>
    </row>
    <row r="162" spans="1:19" ht="12.75">
      <c r="A162" s="6" t="s">
        <v>69</v>
      </c>
      <c r="B162" s="90"/>
      <c r="C162" s="71"/>
      <c r="D162" s="71">
        <v>10000</v>
      </c>
      <c r="E162" s="71"/>
      <c r="F162" s="71">
        <f>C162+D162+E162</f>
        <v>10000</v>
      </c>
      <c r="G162" s="72"/>
      <c r="H162" s="72"/>
      <c r="I162" s="72">
        <f>F162+G162+H162</f>
        <v>10000</v>
      </c>
      <c r="J162" s="71"/>
      <c r="K162" s="71"/>
      <c r="L162" s="71">
        <f>I162+J162+K162</f>
        <v>10000</v>
      </c>
      <c r="M162" s="71">
        <v>1763.11</v>
      </c>
      <c r="N162" s="71">
        <v>-1724</v>
      </c>
      <c r="O162" s="71">
        <f>L162+M162+N162</f>
        <v>10039.11</v>
      </c>
      <c r="P162" s="76"/>
      <c r="Q162" s="60">
        <v>39.11</v>
      </c>
      <c r="R162" s="60">
        <v>0</v>
      </c>
      <c r="S162" s="50">
        <f t="shared" si="39"/>
        <v>0</v>
      </c>
    </row>
    <row r="163" spans="1:19" ht="12.75">
      <c r="A163" s="7" t="s">
        <v>380</v>
      </c>
      <c r="B163" s="90"/>
      <c r="C163" s="71"/>
      <c r="D163" s="71"/>
      <c r="E163" s="71"/>
      <c r="F163" s="71">
        <f>C163+D163+E163</f>
        <v>0</v>
      </c>
      <c r="G163" s="98"/>
      <c r="H163" s="72"/>
      <c r="I163" s="72">
        <f>F163+G163+H163</f>
        <v>0</v>
      </c>
      <c r="J163" s="71"/>
      <c r="K163" s="71"/>
      <c r="L163" s="71">
        <f>I163+J163+K163</f>
        <v>0</v>
      </c>
      <c r="M163" s="71"/>
      <c r="N163" s="71"/>
      <c r="O163" s="71">
        <f>L163+M163+N163</f>
        <v>0</v>
      </c>
      <c r="P163" s="76"/>
      <c r="Q163" s="60">
        <v>10000</v>
      </c>
      <c r="R163" s="60">
        <v>3535</v>
      </c>
      <c r="S163" s="50">
        <f t="shared" si="39"/>
        <v>35.35</v>
      </c>
    </row>
    <row r="164" spans="1:19" ht="12.75">
      <c r="A164" s="6" t="s">
        <v>82</v>
      </c>
      <c r="B164" s="90"/>
      <c r="C164" s="71">
        <v>45000</v>
      </c>
      <c r="D164" s="71"/>
      <c r="E164" s="71"/>
      <c r="F164" s="71">
        <f>C164+D164+E164</f>
        <v>45000</v>
      </c>
      <c r="G164" s="72">
        <v>-136.28</v>
      </c>
      <c r="H164" s="72">
        <v>16390.38</v>
      </c>
      <c r="I164" s="72">
        <f>F164+G164+H164</f>
        <v>61254.100000000006</v>
      </c>
      <c r="J164" s="71"/>
      <c r="K164" s="71">
        <v>-168.71</v>
      </c>
      <c r="L164" s="71">
        <f>I164+J164+K164</f>
        <v>61085.39000000001</v>
      </c>
      <c r="M164" s="71">
        <f>-1526.59</f>
        <v>-1526.59</v>
      </c>
      <c r="N164" s="71"/>
      <c r="O164" s="71">
        <f>L164+M164+N164</f>
        <v>59558.80000000001</v>
      </c>
      <c r="P164" s="76"/>
      <c r="Q164" s="60">
        <v>59558.80000000001</v>
      </c>
      <c r="R164" s="60">
        <v>26132.98</v>
      </c>
      <c r="S164" s="50">
        <f t="shared" si="39"/>
        <v>43.87761338374849</v>
      </c>
    </row>
    <row r="165" spans="1:19" ht="12.75">
      <c r="A165" s="46" t="s">
        <v>85</v>
      </c>
      <c r="B165" s="94"/>
      <c r="C165" s="95"/>
      <c r="D165" s="95"/>
      <c r="E165" s="95"/>
      <c r="F165" s="95">
        <f>C165+D165+E165</f>
        <v>0</v>
      </c>
      <c r="G165" s="96">
        <v>6832</v>
      </c>
      <c r="H165" s="96">
        <v>15280</v>
      </c>
      <c r="I165" s="96">
        <f>F165+G165+H165</f>
        <v>22112</v>
      </c>
      <c r="J165" s="95">
        <v>1000</v>
      </c>
      <c r="K165" s="95">
        <v>1750</v>
      </c>
      <c r="L165" s="95">
        <f>I165+J165+K165</f>
        <v>24862</v>
      </c>
      <c r="M165" s="95"/>
      <c r="N165" s="95">
        <v>1347</v>
      </c>
      <c r="O165" s="95">
        <f>L165+M165+N165</f>
        <v>26209</v>
      </c>
      <c r="P165" s="97"/>
      <c r="Q165" s="53">
        <v>26209</v>
      </c>
      <c r="R165" s="53">
        <v>26132.98</v>
      </c>
      <c r="S165" s="52">
        <f t="shared" si="39"/>
        <v>99.70994696478309</v>
      </c>
    </row>
    <row r="166" spans="1:19" s="141" customFormat="1" ht="12.75">
      <c r="A166" s="137" t="s">
        <v>86</v>
      </c>
      <c r="B166" s="138"/>
      <c r="C166" s="139">
        <f>C167+C172</f>
        <v>6305</v>
      </c>
      <c r="D166" s="139">
        <f>D167+D172</f>
        <v>1950.5</v>
      </c>
      <c r="E166" s="139">
        <f>E167+E172</f>
        <v>0</v>
      </c>
      <c r="F166" s="139">
        <f>F167+F172</f>
        <v>8255.5</v>
      </c>
      <c r="G166" s="140">
        <f aca="true" t="shared" si="48" ref="G166:P166">G167+G172</f>
        <v>600</v>
      </c>
      <c r="H166" s="140">
        <f t="shared" si="48"/>
        <v>0</v>
      </c>
      <c r="I166" s="140">
        <f t="shared" si="48"/>
        <v>8855.5</v>
      </c>
      <c r="J166" s="139">
        <f t="shared" si="48"/>
        <v>0</v>
      </c>
      <c r="K166" s="139">
        <f t="shared" si="48"/>
        <v>0</v>
      </c>
      <c r="L166" s="139">
        <f t="shared" si="48"/>
        <v>8855.5</v>
      </c>
      <c r="M166" s="139">
        <f>M167+M172</f>
        <v>0</v>
      </c>
      <c r="N166" s="139">
        <f>N167+N172</f>
        <v>-0.14</v>
      </c>
      <c r="O166" s="139">
        <f>O167+O172</f>
        <v>8855.36</v>
      </c>
      <c r="P166" s="139">
        <f t="shared" si="48"/>
        <v>0</v>
      </c>
      <c r="Q166" s="139">
        <f>Q167+Q172</f>
        <v>8855.36</v>
      </c>
      <c r="R166" s="140">
        <f>R167+R172</f>
        <v>7277.03</v>
      </c>
      <c r="S166" s="151">
        <f t="shared" si="39"/>
        <v>82.17655747479492</v>
      </c>
    </row>
    <row r="167" spans="1:19" ht="12.75">
      <c r="A167" s="13" t="s">
        <v>63</v>
      </c>
      <c r="B167" s="91"/>
      <c r="C167" s="88">
        <f>SUM(C169:C171)</f>
        <v>6305</v>
      </c>
      <c r="D167" s="88">
        <f>SUM(D169:D171)</f>
        <v>1950.5</v>
      </c>
      <c r="E167" s="88">
        <f>SUM(E169:E171)</f>
        <v>0</v>
      </c>
      <c r="F167" s="88">
        <f>SUM(F169:F171)</f>
        <v>8255.5</v>
      </c>
      <c r="G167" s="89">
        <f aca="true" t="shared" si="49" ref="G167:P167">SUM(G169:G171)</f>
        <v>600</v>
      </c>
      <c r="H167" s="89">
        <f t="shared" si="49"/>
        <v>0</v>
      </c>
      <c r="I167" s="89">
        <f t="shared" si="49"/>
        <v>8855.5</v>
      </c>
      <c r="J167" s="88">
        <f t="shared" si="49"/>
        <v>-210</v>
      </c>
      <c r="K167" s="88">
        <f t="shared" si="49"/>
        <v>0</v>
      </c>
      <c r="L167" s="88">
        <f t="shared" si="49"/>
        <v>8645.5</v>
      </c>
      <c r="M167" s="88">
        <f>SUM(M169:M171)</f>
        <v>0</v>
      </c>
      <c r="N167" s="88">
        <f>SUM(N169:N171)</f>
        <v>-0.14</v>
      </c>
      <c r="O167" s="88">
        <f>SUM(O169:O171)</f>
        <v>8645.36</v>
      </c>
      <c r="P167" s="88">
        <f t="shared" si="49"/>
        <v>0</v>
      </c>
      <c r="Q167" s="88">
        <f>SUM(Q169:Q171)</f>
        <v>8645.36</v>
      </c>
      <c r="R167" s="89">
        <f>SUM(R169:R171)</f>
        <v>7067.03</v>
      </c>
      <c r="S167" s="150">
        <f t="shared" si="39"/>
        <v>81.74361738551083</v>
      </c>
    </row>
    <row r="168" spans="1:19" ht="12.75">
      <c r="A168" s="9" t="s">
        <v>34</v>
      </c>
      <c r="B168" s="90"/>
      <c r="C168" s="71"/>
      <c r="D168" s="71"/>
      <c r="E168" s="71"/>
      <c r="F168" s="67"/>
      <c r="G168" s="72"/>
      <c r="H168" s="72"/>
      <c r="I168" s="68"/>
      <c r="J168" s="71"/>
      <c r="K168" s="71"/>
      <c r="L168" s="67"/>
      <c r="M168" s="71"/>
      <c r="N168" s="71"/>
      <c r="O168" s="67"/>
      <c r="P168" s="76"/>
      <c r="Q168" s="60"/>
      <c r="R168" s="60"/>
      <c r="S168" s="50"/>
    </row>
    <row r="169" spans="1:19" ht="12.75">
      <c r="A169" s="7" t="s">
        <v>65</v>
      </c>
      <c r="B169" s="90"/>
      <c r="C169" s="71">
        <v>6305</v>
      </c>
      <c r="D169" s="71">
        <v>427.5</v>
      </c>
      <c r="E169" s="71"/>
      <c r="F169" s="71">
        <f>SUM(C169:E169)</f>
        <v>6732.5</v>
      </c>
      <c r="G169" s="72">
        <v>600</v>
      </c>
      <c r="H169" s="72"/>
      <c r="I169" s="72">
        <f>SUM(F169:H169)</f>
        <v>7332.5</v>
      </c>
      <c r="J169" s="71">
        <v>-210</v>
      </c>
      <c r="K169" s="71"/>
      <c r="L169" s="71">
        <f>I169+J169+K169</f>
        <v>7122.5</v>
      </c>
      <c r="M169" s="71"/>
      <c r="N169" s="71"/>
      <c r="O169" s="71">
        <f>L169+M169+N169</f>
        <v>7122.5</v>
      </c>
      <c r="P169" s="76"/>
      <c r="Q169" s="60">
        <v>7122.5</v>
      </c>
      <c r="R169" s="60">
        <v>5544.17</v>
      </c>
      <c r="S169" s="50">
        <f t="shared" si="39"/>
        <v>77.84022464022465</v>
      </c>
    </row>
    <row r="170" spans="1:19" ht="12.75">
      <c r="A170" s="11" t="s">
        <v>87</v>
      </c>
      <c r="B170" s="90">
        <v>33166</v>
      </c>
      <c r="C170" s="71"/>
      <c r="D170" s="71">
        <f>1373+150</f>
        <v>1523</v>
      </c>
      <c r="E170" s="71"/>
      <c r="F170" s="71">
        <f>SUM(C170:E170)</f>
        <v>1523</v>
      </c>
      <c r="G170" s="72"/>
      <c r="H170" s="72"/>
      <c r="I170" s="72">
        <f>SUM(F170:H170)</f>
        <v>1523</v>
      </c>
      <c r="J170" s="71"/>
      <c r="K170" s="71"/>
      <c r="L170" s="71">
        <f>I170+J170+K170</f>
        <v>1523</v>
      </c>
      <c r="M170" s="71"/>
      <c r="N170" s="71">
        <v>-0.14</v>
      </c>
      <c r="O170" s="71">
        <f>L170+M170+N170</f>
        <v>1522.86</v>
      </c>
      <c r="P170" s="76"/>
      <c r="Q170" s="60">
        <v>1522.86</v>
      </c>
      <c r="R170" s="60">
        <v>1522.86</v>
      </c>
      <c r="S170" s="50">
        <f t="shared" si="39"/>
        <v>100</v>
      </c>
    </row>
    <row r="171" spans="1:19" ht="12.75" hidden="1">
      <c r="A171" s="11" t="s">
        <v>80</v>
      </c>
      <c r="B171" s="90"/>
      <c r="C171" s="71"/>
      <c r="D171" s="71"/>
      <c r="E171" s="71"/>
      <c r="F171" s="71">
        <f>SUM(C171:E171)</f>
        <v>0</v>
      </c>
      <c r="G171" s="72"/>
      <c r="H171" s="72"/>
      <c r="I171" s="72">
        <f>SUM(F171:H171)</f>
        <v>0</v>
      </c>
      <c r="J171" s="71"/>
      <c r="K171" s="71"/>
      <c r="L171" s="71">
        <f>I171+J171+K171</f>
        <v>0</v>
      </c>
      <c r="M171" s="71"/>
      <c r="N171" s="71"/>
      <c r="O171" s="71">
        <f>L171+M171+N171</f>
        <v>0</v>
      </c>
      <c r="P171" s="76"/>
      <c r="Q171" s="60">
        <v>0</v>
      </c>
      <c r="R171" s="60"/>
      <c r="S171" s="50" t="e">
        <f t="shared" si="39"/>
        <v>#DIV/0!</v>
      </c>
    </row>
    <row r="172" spans="1:19" ht="12.75">
      <c r="A172" s="13" t="s">
        <v>68</v>
      </c>
      <c r="B172" s="91"/>
      <c r="C172" s="88">
        <f>C175+C174</f>
        <v>0</v>
      </c>
      <c r="D172" s="88">
        <f>D175</f>
        <v>0</v>
      </c>
      <c r="E172" s="88"/>
      <c r="F172" s="88">
        <f>F175</f>
        <v>0</v>
      </c>
      <c r="G172" s="89">
        <f>G175</f>
        <v>0</v>
      </c>
      <c r="H172" s="89">
        <f>H175</f>
        <v>0</v>
      </c>
      <c r="I172" s="89">
        <f>I175</f>
        <v>0</v>
      </c>
      <c r="J172" s="88">
        <f>J175+J174</f>
        <v>210</v>
      </c>
      <c r="K172" s="88">
        <f>K175</f>
        <v>0</v>
      </c>
      <c r="L172" s="88">
        <f aca="true" t="shared" si="50" ref="L172:R172">L175+L174</f>
        <v>210</v>
      </c>
      <c r="M172" s="88">
        <f t="shared" si="50"/>
        <v>0</v>
      </c>
      <c r="N172" s="88">
        <f t="shared" si="50"/>
        <v>0</v>
      </c>
      <c r="O172" s="88">
        <f t="shared" si="50"/>
        <v>210</v>
      </c>
      <c r="P172" s="88">
        <f t="shared" si="50"/>
        <v>0</v>
      </c>
      <c r="Q172" s="88">
        <f t="shared" si="50"/>
        <v>210</v>
      </c>
      <c r="R172" s="89">
        <f t="shared" si="50"/>
        <v>210</v>
      </c>
      <c r="S172" s="150">
        <f t="shared" si="39"/>
        <v>100</v>
      </c>
    </row>
    <row r="173" spans="1:19" ht="12.75">
      <c r="A173" s="9" t="s">
        <v>34</v>
      </c>
      <c r="B173" s="90"/>
      <c r="C173" s="71"/>
      <c r="D173" s="71"/>
      <c r="E173" s="71"/>
      <c r="F173" s="67"/>
      <c r="G173" s="72"/>
      <c r="H173" s="72"/>
      <c r="I173" s="68"/>
      <c r="J173" s="71"/>
      <c r="K173" s="71"/>
      <c r="L173" s="67"/>
      <c r="M173" s="71"/>
      <c r="N173" s="71"/>
      <c r="O173" s="67"/>
      <c r="P173" s="76"/>
      <c r="Q173" s="60"/>
      <c r="R173" s="60"/>
      <c r="S173" s="50"/>
    </row>
    <row r="174" spans="1:19" ht="12.75">
      <c r="A174" s="11" t="s">
        <v>69</v>
      </c>
      <c r="B174" s="90"/>
      <c r="C174" s="71"/>
      <c r="D174" s="71"/>
      <c r="E174" s="71"/>
      <c r="F174" s="67"/>
      <c r="G174" s="72"/>
      <c r="H174" s="72"/>
      <c r="I174" s="68"/>
      <c r="J174" s="71">
        <v>110</v>
      </c>
      <c r="K174" s="71"/>
      <c r="L174" s="71">
        <f>I174+J174+K174</f>
        <v>110</v>
      </c>
      <c r="M174" s="71"/>
      <c r="N174" s="71"/>
      <c r="O174" s="71">
        <f>L174+M174+N174</f>
        <v>110</v>
      </c>
      <c r="P174" s="76"/>
      <c r="Q174" s="60">
        <v>110</v>
      </c>
      <c r="R174" s="60">
        <v>110</v>
      </c>
      <c r="S174" s="50">
        <f t="shared" si="39"/>
        <v>100</v>
      </c>
    </row>
    <row r="175" spans="1:19" ht="12.75">
      <c r="A175" s="10" t="s">
        <v>220</v>
      </c>
      <c r="B175" s="94"/>
      <c r="C175" s="95"/>
      <c r="D175" s="95"/>
      <c r="E175" s="95"/>
      <c r="F175" s="95">
        <f>C175+D175+E175</f>
        <v>0</v>
      </c>
      <c r="G175" s="96"/>
      <c r="H175" s="96"/>
      <c r="I175" s="96">
        <f>SUM(F175:H175)</f>
        <v>0</v>
      </c>
      <c r="J175" s="95">
        <v>100</v>
      </c>
      <c r="K175" s="95"/>
      <c r="L175" s="95">
        <f>I175+J175+K175</f>
        <v>100</v>
      </c>
      <c r="M175" s="95"/>
      <c r="N175" s="95"/>
      <c r="O175" s="95">
        <f>L175+M175+N175</f>
        <v>100</v>
      </c>
      <c r="P175" s="97"/>
      <c r="Q175" s="53">
        <v>100</v>
      </c>
      <c r="R175" s="53">
        <v>100</v>
      </c>
      <c r="S175" s="52">
        <f t="shared" si="39"/>
        <v>100</v>
      </c>
    </row>
    <row r="176" spans="1:19" ht="12.75">
      <c r="A176" s="4" t="s">
        <v>88</v>
      </c>
      <c r="B176" s="91"/>
      <c r="C176" s="67">
        <f>C177+C191</f>
        <v>1103617.1</v>
      </c>
      <c r="D176" s="67">
        <f>D177+D191</f>
        <v>22244.2</v>
      </c>
      <c r="E176" s="67">
        <f>E177+E191</f>
        <v>0</v>
      </c>
      <c r="F176" s="67">
        <f>F177+F191</f>
        <v>1125861.2999999998</v>
      </c>
      <c r="G176" s="68">
        <f aca="true" t="shared" si="51" ref="G176:P176">G177+G191</f>
        <v>310777.21</v>
      </c>
      <c r="H176" s="68">
        <f t="shared" si="51"/>
        <v>0</v>
      </c>
      <c r="I176" s="68">
        <f t="shared" si="51"/>
        <v>1436638.5099999998</v>
      </c>
      <c r="J176" s="67">
        <f t="shared" si="51"/>
        <v>2253.91</v>
      </c>
      <c r="K176" s="67">
        <f t="shared" si="51"/>
        <v>0</v>
      </c>
      <c r="L176" s="67">
        <f t="shared" si="51"/>
        <v>1438892.42</v>
      </c>
      <c r="M176" s="67">
        <f>M177+M191</f>
        <v>14274.52</v>
      </c>
      <c r="N176" s="67">
        <f>N177+N191</f>
        <v>0</v>
      </c>
      <c r="O176" s="67">
        <f>O177+O191</f>
        <v>1453166.94</v>
      </c>
      <c r="P176" s="67">
        <f t="shared" si="51"/>
        <v>-4765.139999999999</v>
      </c>
      <c r="Q176" s="67">
        <f>Q177+Q191</f>
        <v>1448401.8</v>
      </c>
      <c r="R176" s="68">
        <f>R177+R191</f>
        <v>1442880.58</v>
      </c>
      <c r="S176" s="148">
        <f t="shared" si="39"/>
        <v>99.61880605229847</v>
      </c>
    </row>
    <row r="177" spans="1:19" ht="12.75">
      <c r="A177" s="13" t="s">
        <v>63</v>
      </c>
      <c r="B177" s="91"/>
      <c r="C177" s="88">
        <f>SUM(C180:C190)</f>
        <v>1103617.1</v>
      </c>
      <c r="D177" s="88">
        <f>SUM(D180:D190)</f>
        <v>22244.2</v>
      </c>
      <c r="E177" s="88">
        <f>SUM(E180:E190)</f>
        <v>0</v>
      </c>
      <c r="F177" s="88">
        <f>SUM(F180:F190)</f>
        <v>1125861.2999999998</v>
      </c>
      <c r="G177" s="89">
        <f aca="true" t="shared" si="52" ref="G177:P177">SUM(G180:G190)</f>
        <v>310777.21</v>
      </c>
      <c r="H177" s="89">
        <f t="shared" si="52"/>
        <v>0</v>
      </c>
      <c r="I177" s="89">
        <f t="shared" si="52"/>
        <v>1436638.5099999998</v>
      </c>
      <c r="J177" s="88">
        <f t="shared" si="52"/>
        <v>2253.91</v>
      </c>
      <c r="K177" s="88">
        <f t="shared" si="52"/>
        <v>0</v>
      </c>
      <c r="L177" s="88">
        <f t="shared" si="52"/>
        <v>1438892.42</v>
      </c>
      <c r="M177" s="88">
        <f>SUM(M180:M190)</f>
        <v>14274.52</v>
      </c>
      <c r="N177" s="88">
        <f>SUM(N180:N190)</f>
        <v>0</v>
      </c>
      <c r="O177" s="88">
        <f>SUM(O180:O190)</f>
        <v>1453166.94</v>
      </c>
      <c r="P177" s="88">
        <f t="shared" si="52"/>
        <v>-4765.139999999999</v>
      </c>
      <c r="Q177" s="88">
        <f>SUM(Q180:Q190)</f>
        <v>1448401.8</v>
      </c>
      <c r="R177" s="89">
        <f>SUM(R180:R190)</f>
        <v>1442880.58</v>
      </c>
      <c r="S177" s="150">
        <f t="shared" si="39"/>
        <v>99.61880605229847</v>
      </c>
    </row>
    <row r="178" spans="1:19" ht="12.75">
      <c r="A178" s="9" t="s">
        <v>34</v>
      </c>
      <c r="B178" s="90"/>
      <c r="C178" s="71"/>
      <c r="D178" s="71"/>
      <c r="E178" s="71"/>
      <c r="F178" s="67"/>
      <c r="G178" s="72"/>
      <c r="H178" s="72"/>
      <c r="I178" s="68"/>
      <c r="J178" s="71"/>
      <c r="K178" s="71"/>
      <c r="L178" s="67"/>
      <c r="M178" s="71"/>
      <c r="N178" s="71"/>
      <c r="O178" s="67"/>
      <c r="P178" s="76"/>
      <c r="Q178" s="60"/>
      <c r="R178" s="60"/>
      <c r="S178" s="50"/>
    </row>
    <row r="179" spans="1:19" ht="12.75">
      <c r="A179" s="11" t="s">
        <v>89</v>
      </c>
      <c r="B179" s="90"/>
      <c r="C179" s="71">
        <f>C180+C181</f>
        <v>664115</v>
      </c>
      <c r="D179" s="71">
        <f>D180+D181</f>
        <v>12744.2</v>
      </c>
      <c r="E179" s="71">
        <f>E180+E181</f>
        <v>0</v>
      </c>
      <c r="F179" s="71">
        <f>F180+F181</f>
        <v>676859.2</v>
      </c>
      <c r="G179" s="72"/>
      <c r="H179" s="72"/>
      <c r="I179" s="72">
        <f>I180+I181</f>
        <v>674735.2</v>
      </c>
      <c r="J179" s="71">
        <f>J180+J181</f>
        <v>465.78000000000003</v>
      </c>
      <c r="K179" s="71"/>
      <c r="L179" s="71">
        <f>L180+L181</f>
        <v>675200.98</v>
      </c>
      <c r="M179" s="71"/>
      <c r="N179" s="71"/>
      <c r="O179" s="71">
        <f>O180+O181</f>
        <v>675216.3500000001</v>
      </c>
      <c r="P179" s="76"/>
      <c r="Q179" s="60">
        <f>Q180+Q181</f>
        <v>675216.3500000001</v>
      </c>
      <c r="R179" s="60">
        <f>R180+R181</f>
        <v>669695.9</v>
      </c>
      <c r="S179" s="50">
        <f t="shared" si="39"/>
        <v>99.18241760585327</v>
      </c>
    </row>
    <row r="180" spans="1:19" ht="12.75">
      <c r="A180" s="11" t="s">
        <v>90</v>
      </c>
      <c r="B180" s="90"/>
      <c r="C180" s="71">
        <v>294442</v>
      </c>
      <c r="D180" s="71">
        <v>7</v>
      </c>
      <c r="E180" s="71"/>
      <c r="F180" s="71">
        <f aca="true" t="shared" si="53" ref="F180:F190">C180+D180+E180</f>
        <v>294449</v>
      </c>
      <c r="G180" s="99">
        <v>2376</v>
      </c>
      <c r="H180" s="99"/>
      <c r="I180" s="72">
        <f aca="true" t="shared" si="54" ref="I180:I190">F180+G180+H180</f>
        <v>296825</v>
      </c>
      <c r="J180" s="71">
        <f>139.81+325.97</f>
        <v>465.78000000000003</v>
      </c>
      <c r="K180" s="71"/>
      <c r="L180" s="71">
        <f aca="true" t="shared" si="55" ref="L180:L190">I180+J180+K180</f>
        <v>297290.78</v>
      </c>
      <c r="M180" s="71">
        <f>15.37+3572</f>
        <v>3587.37</v>
      </c>
      <c r="N180" s="71"/>
      <c r="O180" s="71">
        <f aca="true" t="shared" si="56" ref="O180:O190">L180+M180+N180</f>
        <v>300878.15</v>
      </c>
      <c r="P180" s="76"/>
      <c r="Q180" s="60">
        <v>300878.15</v>
      </c>
      <c r="R180" s="60">
        <v>295358.69</v>
      </c>
      <c r="S180" s="50">
        <f t="shared" si="39"/>
        <v>98.1655497416479</v>
      </c>
    </row>
    <row r="181" spans="1:19" ht="12.75">
      <c r="A181" s="7" t="s">
        <v>91</v>
      </c>
      <c r="B181" s="90"/>
      <c r="C181" s="71">
        <v>369673</v>
      </c>
      <c r="D181" s="71">
        <f>9000+3737.2</f>
        <v>12737.2</v>
      </c>
      <c r="E181" s="71"/>
      <c r="F181" s="71">
        <f t="shared" si="53"/>
        <v>382410.2</v>
      </c>
      <c r="G181" s="99">
        <f>-500-4000</f>
        <v>-4500</v>
      </c>
      <c r="H181" s="99"/>
      <c r="I181" s="72">
        <f t="shared" si="54"/>
        <v>377910.2</v>
      </c>
      <c r="J181" s="71"/>
      <c r="K181" s="71"/>
      <c r="L181" s="71">
        <f t="shared" si="55"/>
        <v>377910.2</v>
      </c>
      <c r="M181" s="71">
        <f>-3572</f>
        <v>-3572</v>
      </c>
      <c r="N181" s="71"/>
      <c r="O181" s="71">
        <f t="shared" si="56"/>
        <v>374338.2</v>
      </c>
      <c r="P181" s="76"/>
      <c r="Q181" s="60">
        <v>374338.2</v>
      </c>
      <c r="R181" s="60">
        <v>374337.21</v>
      </c>
      <c r="S181" s="50">
        <f t="shared" si="39"/>
        <v>99.99973553326912</v>
      </c>
    </row>
    <row r="182" spans="1:19" ht="12.75">
      <c r="A182" s="11" t="s">
        <v>92</v>
      </c>
      <c r="B182" s="90"/>
      <c r="C182" s="71">
        <v>20998</v>
      </c>
      <c r="D182" s="71"/>
      <c r="E182" s="71"/>
      <c r="F182" s="71">
        <f t="shared" si="53"/>
        <v>20998</v>
      </c>
      <c r="G182" s="72"/>
      <c r="H182" s="72"/>
      <c r="I182" s="72">
        <f t="shared" si="54"/>
        <v>20998</v>
      </c>
      <c r="J182" s="71"/>
      <c r="K182" s="71"/>
      <c r="L182" s="71">
        <f t="shared" si="55"/>
        <v>20998</v>
      </c>
      <c r="M182" s="71">
        <f>-3498</f>
        <v>-3498</v>
      </c>
      <c r="N182" s="71"/>
      <c r="O182" s="71">
        <f t="shared" si="56"/>
        <v>17500</v>
      </c>
      <c r="P182" s="76"/>
      <c r="Q182" s="60">
        <v>17500</v>
      </c>
      <c r="R182" s="60">
        <v>17500</v>
      </c>
      <c r="S182" s="50">
        <f t="shared" si="39"/>
        <v>100</v>
      </c>
    </row>
    <row r="183" spans="1:19" ht="12.75">
      <c r="A183" s="7" t="s">
        <v>93</v>
      </c>
      <c r="B183" s="90"/>
      <c r="C183" s="71"/>
      <c r="D183" s="71"/>
      <c r="E183" s="71"/>
      <c r="F183" s="71">
        <f t="shared" si="53"/>
        <v>0</v>
      </c>
      <c r="G183" s="72">
        <v>500</v>
      </c>
      <c r="H183" s="72"/>
      <c r="I183" s="72">
        <f t="shared" si="54"/>
        <v>500</v>
      </c>
      <c r="J183" s="71">
        <f>760.97</f>
        <v>760.97</v>
      </c>
      <c r="K183" s="71"/>
      <c r="L183" s="71">
        <f t="shared" si="55"/>
        <v>1260.97</v>
      </c>
      <c r="M183" s="71"/>
      <c r="N183" s="71"/>
      <c r="O183" s="71">
        <f t="shared" si="56"/>
        <v>1260.97</v>
      </c>
      <c r="P183" s="76"/>
      <c r="Q183" s="60">
        <v>1260.97</v>
      </c>
      <c r="R183" s="60">
        <v>1260.97</v>
      </c>
      <c r="S183" s="50">
        <f t="shared" si="39"/>
        <v>100</v>
      </c>
    </row>
    <row r="184" spans="1:19" ht="12.75" hidden="1">
      <c r="A184" s="7" t="s">
        <v>80</v>
      </c>
      <c r="B184" s="90"/>
      <c r="C184" s="71"/>
      <c r="D184" s="71"/>
      <c r="E184" s="71"/>
      <c r="F184" s="71">
        <f t="shared" si="53"/>
        <v>0</v>
      </c>
      <c r="G184" s="72"/>
      <c r="H184" s="72"/>
      <c r="I184" s="72">
        <f t="shared" si="54"/>
        <v>0</v>
      </c>
      <c r="J184" s="71"/>
      <c r="K184" s="71"/>
      <c r="L184" s="71">
        <f t="shared" si="55"/>
        <v>0</v>
      </c>
      <c r="M184" s="71"/>
      <c r="N184" s="71"/>
      <c r="O184" s="71">
        <f t="shared" si="56"/>
        <v>0</v>
      </c>
      <c r="P184" s="76"/>
      <c r="Q184" s="60">
        <v>0</v>
      </c>
      <c r="R184" s="60"/>
      <c r="S184" s="50" t="e">
        <f t="shared" si="39"/>
        <v>#DIV/0!</v>
      </c>
    </row>
    <row r="185" spans="1:19" ht="12.75" hidden="1">
      <c r="A185" s="7" t="s">
        <v>206</v>
      </c>
      <c r="B185" s="90"/>
      <c r="C185" s="71"/>
      <c r="D185" s="71"/>
      <c r="E185" s="71"/>
      <c r="F185" s="71">
        <f t="shared" si="53"/>
        <v>0</v>
      </c>
      <c r="G185" s="72"/>
      <c r="H185" s="72"/>
      <c r="I185" s="72">
        <f t="shared" si="54"/>
        <v>0</v>
      </c>
      <c r="J185" s="71"/>
      <c r="K185" s="71"/>
      <c r="L185" s="71">
        <f>I185+J185+K185</f>
        <v>0</v>
      </c>
      <c r="M185" s="71"/>
      <c r="N185" s="71"/>
      <c r="O185" s="71">
        <f t="shared" si="56"/>
        <v>0</v>
      </c>
      <c r="P185" s="76"/>
      <c r="Q185" s="60">
        <v>0</v>
      </c>
      <c r="R185" s="60"/>
      <c r="S185" s="50" t="e">
        <f t="shared" si="39"/>
        <v>#DIV/0!</v>
      </c>
    </row>
    <row r="186" spans="1:19" ht="12.75">
      <c r="A186" s="7" t="s">
        <v>94</v>
      </c>
      <c r="B186" s="90">
        <v>91252</v>
      </c>
      <c r="C186" s="71"/>
      <c r="D186" s="71"/>
      <c r="E186" s="71"/>
      <c r="F186" s="71">
        <f t="shared" si="53"/>
        <v>0</v>
      </c>
      <c r="G186" s="72">
        <v>7297</v>
      </c>
      <c r="H186" s="72"/>
      <c r="I186" s="72">
        <f t="shared" si="54"/>
        <v>7297</v>
      </c>
      <c r="J186" s="71"/>
      <c r="K186" s="71"/>
      <c r="L186" s="71">
        <f t="shared" si="55"/>
        <v>7297</v>
      </c>
      <c r="M186" s="71"/>
      <c r="N186" s="71"/>
      <c r="O186" s="71">
        <f t="shared" si="56"/>
        <v>7297</v>
      </c>
      <c r="P186" s="76">
        <v>-552.49</v>
      </c>
      <c r="Q186" s="60">
        <v>6744.51</v>
      </c>
      <c r="R186" s="60">
        <v>6744.51</v>
      </c>
      <c r="S186" s="50">
        <f t="shared" si="39"/>
        <v>100</v>
      </c>
    </row>
    <row r="187" spans="1:19" ht="12.75">
      <c r="A187" s="7" t="s">
        <v>310</v>
      </c>
      <c r="B187" s="90">
        <v>91252</v>
      </c>
      <c r="C187" s="71"/>
      <c r="D187" s="71"/>
      <c r="E187" s="71"/>
      <c r="F187" s="71"/>
      <c r="G187" s="72">
        <v>42265</v>
      </c>
      <c r="H187" s="72"/>
      <c r="I187" s="72">
        <f t="shared" si="54"/>
        <v>42265</v>
      </c>
      <c r="J187" s="71">
        <v>-6438.75</v>
      </c>
      <c r="K187" s="71"/>
      <c r="L187" s="71">
        <f t="shared" si="55"/>
        <v>35826.25</v>
      </c>
      <c r="M187" s="71"/>
      <c r="N187" s="71"/>
      <c r="O187" s="71">
        <f t="shared" si="56"/>
        <v>35826.25</v>
      </c>
      <c r="P187" s="76">
        <f>-4212.65</f>
        <v>-4212.65</v>
      </c>
      <c r="Q187" s="60">
        <v>31613.6</v>
      </c>
      <c r="R187" s="60">
        <v>31613.6</v>
      </c>
      <c r="S187" s="50">
        <f t="shared" si="39"/>
        <v>100</v>
      </c>
    </row>
    <row r="188" spans="1:19" ht="12.75">
      <c r="A188" s="7" t="s">
        <v>174</v>
      </c>
      <c r="B188" s="90">
        <v>27355</v>
      </c>
      <c r="C188" s="71"/>
      <c r="D188" s="71"/>
      <c r="E188" s="71"/>
      <c r="F188" s="71">
        <f t="shared" si="53"/>
        <v>0</v>
      </c>
      <c r="G188" s="72">
        <v>262962.71</v>
      </c>
      <c r="H188" s="72"/>
      <c r="I188" s="72">
        <f t="shared" si="54"/>
        <v>262962.71</v>
      </c>
      <c r="J188" s="71"/>
      <c r="K188" s="71"/>
      <c r="L188" s="71">
        <f t="shared" si="55"/>
        <v>262962.71</v>
      </c>
      <c r="M188" s="71"/>
      <c r="N188" s="71"/>
      <c r="O188" s="71">
        <f t="shared" si="56"/>
        <v>262962.71</v>
      </c>
      <c r="P188" s="76"/>
      <c r="Q188" s="60">
        <v>262962.71</v>
      </c>
      <c r="R188" s="60">
        <v>262962.71</v>
      </c>
      <c r="S188" s="50">
        <f t="shared" si="39"/>
        <v>100</v>
      </c>
    </row>
    <row r="189" spans="1:19" ht="12.75">
      <c r="A189" s="10" t="s">
        <v>65</v>
      </c>
      <c r="B189" s="94"/>
      <c r="C189" s="95">
        <v>418504.1</v>
      </c>
      <c r="D189" s="95">
        <v>9500</v>
      </c>
      <c r="E189" s="95"/>
      <c r="F189" s="95">
        <f t="shared" si="53"/>
        <v>428004.1</v>
      </c>
      <c r="G189" s="96">
        <f>24.2-147.7</f>
        <v>-123.49999999999999</v>
      </c>
      <c r="H189" s="96"/>
      <c r="I189" s="96">
        <f t="shared" si="54"/>
        <v>427880.6</v>
      </c>
      <c r="J189" s="95">
        <f>3465.91+4000</f>
        <v>7465.91</v>
      </c>
      <c r="K189" s="95"/>
      <c r="L189" s="95">
        <f t="shared" si="55"/>
        <v>435346.50999999995</v>
      </c>
      <c r="M189" s="95">
        <f>100+12103.5+3498+2000+55.65</f>
        <v>17757.15</v>
      </c>
      <c r="N189" s="95"/>
      <c r="O189" s="95">
        <f t="shared" si="56"/>
        <v>453103.66</v>
      </c>
      <c r="P189" s="97"/>
      <c r="Q189" s="53">
        <v>453103.66</v>
      </c>
      <c r="R189" s="53">
        <v>453102.89</v>
      </c>
      <c r="S189" s="52">
        <f t="shared" si="39"/>
        <v>99.99983006096221</v>
      </c>
    </row>
    <row r="190" spans="1:19" ht="12" customHeight="1" hidden="1">
      <c r="A190" s="7" t="s">
        <v>95</v>
      </c>
      <c r="B190" s="90"/>
      <c r="C190" s="71"/>
      <c r="D190" s="71"/>
      <c r="E190" s="71"/>
      <c r="F190" s="100">
        <f t="shared" si="53"/>
        <v>0</v>
      </c>
      <c r="G190" s="72"/>
      <c r="H190" s="72"/>
      <c r="I190" s="72">
        <f t="shared" si="54"/>
        <v>0</v>
      </c>
      <c r="J190" s="71"/>
      <c r="K190" s="71"/>
      <c r="L190" s="71">
        <f t="shared" si="55"/>
        <v>0</v>
      </c>
      <c r="M190" s="71"/>
      <c r="N190" s="71"/>
      <c r="O190" s="71">
        <f t="shared" si="56"/>
        <v>0</v>
      </c>
      <c r="P190" s="76"/>
      <c r="Q190" s="60">
        <v>0</v>
      </c>
      <c r="R190" s="60"/>
      <c r="S190" s="50" t="e">
        <f t="shared" si="39"/>
        <v>#DIV/0!</v>
      </c>
    </row>
    <row r="191" spans="1:19" ht="12.75" hidden="1">
      <c r="A191" s="14" t="s">
        <v>68</v>
      </c>
      <c r="B191" s="91"/>
      <c r="C191" s="92">
        <f>SUM(C193:C195)</f>
        <v>0</v>
      </c>
      <c r="D191" s="92">
        <f>SUM(D193:D195)</f>
        <v>0</v>
      </c>
      <c r="E191" s="92">
        <f>SUM(E193:E195)</f>
        <v>0</v>
      </c>
      <c r="F191" s="92">
        <f>SUM(F193:F195)</f>
        <v>0</v>
      </c>
      <c r="G191" s="93">
        <f aca="true" t="shared" si="57" ref="G191:R191">SUM(G193:G195)</f>
        <v>0</v>
      </c>
      <c r="H191" s="93">
        <f t="shared" si="57"/>
        <v>0</v>
      </c>
      <c r="I191" s="93">
        <f t="shared" si="57"/>
        <v>0</v>
      </c>
      <c r="J191" s="92">
        <f t="shared" si="57"/>
        <v>0</v>
      </c>
      <c r="K191" s="92">
        <f t="shared" si="57"/>
        <v>0</v>
      </c>
      <c r="L191" s="92">
        <f t="shared" si="57"/>
        <v>0</v>
      </c>
      <c r="M191" s="92">
        <f t="shared" si="57"/>
        <v>0</v>
      </c>
      <c r="N191" s="92">
        <f t="shared" si="57"/>
        <v>0</v>
      </c>
      <c r="O191" s="92">
        <f t="shared" si="57"/>
        <v>0</v>
      </c>
      <c r="P191" s="92">
        <f t="shared" si="57"/>
        <v>0</v>
      </c>
      <c r="Q191" s="92">
        <f t="shared" si="57"/>
        <v>0</v>
      </c>
      <c r="R191" s="93">
        <f t="shared" si="57"/>
        <v>0</v>
      </c>
      <c r="S191" s="50" t="e">
        <f t="shared" si="39"/>
        <v>#DIV/0!</v>
      </c>
    </row>
    <row r="192" spans="1:19" ht="12.75" hidden="1">
      <c r="A192" s="5" t="s">
        <v>34</v>
      </c>
      <c r="B192" s="90"/>
      <c r="C192" s="79"/>
      <c r="D192" s="79"/>
      <c r="E192" s="79"/>
      <c r="F192" s="79"/>
      <c r="G192" s="80"/>
      <c r="H192" s="80"/>
      <c r="I192" s="80"/>
      <c r="J192" s="79"/>
      <c r="K192" s="79"/>
      <c r="L192" s="79"/>
      <c r="M192" s="79"/>
      <c r="N192" s="79"/>
      <c r="O192" s="79"/>
      <c r="P192" s="76"/>
      <c r="Q192" s="60"/>
      <c r="R192" s="60"/>
      <c r="S192" s="50" t="e">
        <f t="shared" si="39"/>
        <v>#DIV/0!</v>
      </c>
    </row>
    <row r="193" spans="1:19" ht="12.75" hidden="1">
      <c r="A193" s="6" t="s">
        <v>69</v>
      </c>
      <c r="B193" s="90"/>
      <c r="C193" s="71"/>
      <c r="D193" s="71"/>
      <c r="E193" s="71"/>
      <c r="F193" s="71">
        <f>C193+D193+E193</f>
        <v>0</v>
      </c>
      <c r="G193" s="72"/>
      <c r="H193" s="72"/>
      <c r="I193" s="72">
        <f>F193+G193+H193</f>
        <v>0</v>
      </c>
      <c r="J193" s="71"/>
      <c r="K193" s="71"/>
      <c r="L193" s="71">
        <f>I193+J193+K193</f>
        <v>0</v>
      </c>
      <c r="M193" s="71"/>
      <c r="N193" s="71"/>
      <c r="O193" s="71">
        <f>L193+M193+N193</f>
        <v>0</v>
      </c>
      <c r="P193" s="76"/>
      <c r="Q193" s="60">
        <v>0</v>
      </c>
      <c r="R193" s="60"/>
      <c r="S193" s="50" t="e">
        <f t="shared" si="39"/>
        <v>#DIV/0!</v>
      </c>
    </row>
    <row r="194" spans="1:19" ht="12.75" hidden="1">
      <c r="A194" s="7" t="s">
        <v>84</v>
      </c>
      <c r="B194" s="90"/>
      <c r="C194" s="71"/>
      <c r="D194" s="71"/>
      <c r="E194" s="71"/>
      <c r="F194" s="71">
        <f>C194+D194+E194</f>
        <v>0</v>
      </c>
      <c r="G194" s="72"/>
      <c r="H194" s="72"/>
      <c r="I194" s="72">
        <f>F194+G194+H194</f>
        <v>0</v>
      </c>
      <c r="J194" s="71"/>
      <c r="K194" s="71"/>
      <c r="L194" s="71">
        <f>I194+J194+K194</f>
        <v>0</v>
      </c>
      <c r="M194" s="71"/>
      <c r="N194" s="71"/>
      <c r="O194" s="71">
        <f>L194+M194+N194</f>
        <v>0</v>
      </c>
      <c r="P194" s="76"/>
      <c r="Q194" s="60">
        <v>0</v>
      </c>
      <c r="R194" s="60"/>
      <c r="S194" s="50" t="e">
        <f t="shared" si="39"/>
        <v>#DIV/0!</v>
      </c>
    </row>
    <row r="195" spans="1:19" ht="12.75" hidden="1">
      <c r="A195" s="10" t="s">
        <v>96</v>
      </c>
      <c r="B195" s="94"/>
      <c r="C195" s="95"/>
      <c r="D195" s="95"/>
      <c r="E195" s="95"/>
      <c r="F195" s="95">
        <f>C195+D195+E195</f>
        <v>0</v>
      </c>
      <c r="G195" s="96"/>
      <c r="H195" s="96"/>
      <c r="I195" s="96">
        <f>F195+G195+H195</f>
        <v>0</v>
      </c>
      <c r="J195" s="95"/>
      <c r="K195" s="95"/>
      <c r="L195" s="95">
        <f>I195+J195+K195</f>
        <v>0</v>
      </c>
      <c r="M195" s="95"/>
      <c r="N195" s="95"/>
      <c r="O195" s="95">
        <f>L195+M195+N195</f>
        <v>0</v>
      </c>
      <c r="P195" s="97"/>
      <c r="Q195" s="53">
        <v>0</v>
      </c>
      <c r="R195" s="60"/>
      <c r="S195" s="50" t="e">
        <f t="shared" si="39"/>
        <v>#DIV/0!</v>
      </c>
    </row>
    <row r="196" spans="1:19" ht="12.75">
      <c r="A196" s="8" t="s">
        <v>97</v>
      </c>
      <c r="B196" s="91"/>
      <c r="C196" s="79">
        <f>C197+C202</f>
        <v>26577.399999999998</v>
      </c>
      <c r="D196" s="79">
        <f>D197+D202</f>
        <v>0</v>
      </c>
      <c r="E196" s="79">
        <f>E197+E202</f>
        <v>0</v>
      </c>
      <c r="F196" s="79">
        <f>F197+F202</f>
        <v>26577.399999999998</v>
      </c>
      <c r="G196" s="80">
        <f aca="true" t="shared" si="58" ref="G196:P196">G197+G202</f>
        <v>400</v>
      </c>
      <c r="H196" s="80">
        <f t="shared" si="58"/>
        <v>0</v>
      </c>
      <c r="I196" s="80">
        <f t="shared" si="58"/>
        <v>26977.399999999998</v>
      </c>
      <c r="J196" s="79">
        <f t="shared" si="58"/>
        <v>2911.5299999999997</v>
      </c>
      <c r="K196" s="79">
        <f t="shared" si="58"/>
        <v>0</v>
      </c>
      <c r="L196" s="79">
        <f t="shared" si="58"/>
        <v>29888.93</v>
      </c>
      <c r="M196" s="79">
        <f>M197+M202</f>
        <v>0</v>
      </c>
      <c r="N196" s="79">
        <f>N197+N202</f>
        <v>0</v>
      </c>
      <c r="O196" s="79">
        <f>O197+O202</f>
        <v>29888.93</v>
      </c>
      <c r="P196" s="79">
        <f t="shared" si="58"/>
        <v>429.99</v>
      </c>
      <c r="Q196" s="79">
        <f>Q197+Q202</f>
        <v>30318.920000000002</v>
      </c>
      <c r="R196" s="80">
        <f>R197+R202</f>
        <v>23731.950000000004</v>
      </c>
      <c r="S196" s="148">
        <f t="shared" si="39"/>
        <v>78.2743910403141</v>
      </c>
    </row>
    <row r="197" spans="1:19" ht="12.75">
      <c r="A197" s="13" t="s">
        <v>63</v>
      </c>
      <c r="B197" s="91"/>
      <c r="C197" s="88">
        <f>SUM(C199:C201)</f>
        <v>24580.8</v>
      </c>
      <c r="D197" s="88">
        <f>SUM(D199:D201)</f>
        <v>0</v>
      </c>
      <c r="E197" s="88">
        <f>SUM(E199:E201)</f>
        <v>0</v>
      </c>
      <c r="F197" s="88">
        <f>SUM(F199:F201)</f>
        <v>24580.8</v>
      </c>
      <c r="G197" s="89">
        <f aca="true" t="shared" si="59" ref="G197:P197">SUM(G199:G201)</f>
        <v>0</v>
      </c>
      <c r="H197" s="89">
        <f t="shared" si="59"/>
        <v>0</v>
      </c>
      <c r="I197" s="89">
        <f t="shared" si="59"/>
        <v>24580.8</v>
      </c>
      <c r="J197" s="88">
        <f t="shared" si="59"/>
        <v>2911.5299999999997</v>
      </c>
      <c r="K197" s="88">
        <f t="shared" si="59"/>
        <v>0</v>
      </c>
      <c r="L197" s="88">
        <f t="shared" si="59"/>
        <v>27492.33</v>
      </c>
      <c r="M197" s="88">
        <f>SUM(M199:M201)</f>
        <v>0</v>
      </c>
      <c r="N197" s="88">
        <f>SUM(N199:N201)</f>
        <v>0</v>
      </c>
      <c r="O197" s="88">
        <f>SUM(O199:O201)</f>
        <v>27492.33</v>
      </c>
      <c r="P197" s="88">
        <f t="shared" si="59"/>
        <v>0</v>
      </c>
      <c r="Q197" s="88">
        <f>SUM(Q199:Q201)</f>
        <v>27492.33</v>
      </c>
      <c r="R197" s="89">
        <f>SUM(R199:R201)</f>
        <v>23054.140000000003</v>
      </c>
      <c r="S197" s="150">
        <f t="shared" si="39"/>
        <v>83.85662473860891</v>
      </c>
    </row>
    <row r="198" spans="1:19" ht="12.75">
      <c r="A198" s="9" t="s">
        <v>34</v>
      </c>
      <c r="B198" s="90"/>
      <c r="C198" s="71"/>
      <c r="D198" s="71"/>
      <c r="E198" s="71"/>
      <c r="F198" s="67"/>
      <c r="G198" s="72"/>
      <c r="H198" s="72"/>
      <c r="I198" s="68"/>
      <c r="J198" s="71"/>
      <c r="K198" s="71"/>
      <c r="L198" s="67"/>
      <c r="M198" s="71"/>
      <c r="N198" s="71"/>
      <c r="O198" s="67"/>
      <c r="P198" s="76"/>
      <c r="Q198" s="60"/>
      <c r="R198" s="60"/>
      <c r="S198" s="50"/>
    </row>
    <row r="199" spans="1:19" ht="12.75">
      <c r="A199" s="7" t="s">
        <v>65</v>
      </c>
      <c r="B199" s="90"/>
      <c r="C199" s="71">
        <v>4580.8</v>
      </c>
      <c r="D199" s="71"/>
      <c r="E199" s="71"/>
      <c r="F199" s="71">
        <f>C199+D199+E199</f>
        <v>4580.8</v>
      </c>
      <c r="G199" s="72"/>
      <c r="H199" s="72"/>
      <c r="I199" s="72">
        <f>F199+G199+H199</f>
        <v>4580.8</v>
      </c>
      <c r="J199" s="71">
        <f>1000+1911.53</f>
        <v>2911.5299999999997</v>
      </c>
      <c r="K199" s="71"/>
      <c r="L199" s="71">
        <f>I199+J199+K199</f>
        <v>7492.33</v>
      </c>
      <c r="M199" s="71">
        <f>-1119.34</f>
        <v>-1119.34</v>
      </c>
      <c r="N199" s="71"/>
      <c r="O199" s="71">
        <f>L199+M199+N199</f>
        <v>6372.99</v>
      </c>
      <c r="P199" s="76"/>
      <c r="Q199" s="60">
        <v>6372.99</v>
      </c>
      <c r="R199" s="60">
        <v>4643.31</v>
      </c>
      <c r="S199" s="50">
        <f t="shared" si="39"/>
        <v>72.85920737361899</v>
      </c>
    </row>
    <row r="200" spans="1:19" ht="12.75" hidden="1">
      <c r="A200" s="7" t="s">
        <v>96</v>
      </c>
      <c r="B200" s="90" t="s">
        <v>246</v>
      </c>
      <c r="C200" s="71"/>
      <c r="D200" s="71"/>
      <c r="E200" s="71"/>
      <c r="F200" s="71">
        <f>C200+D200+E200</f>
        <v>0</v>
      </c>
      <c r="G200" s="72"/>
      <c r="H200" s="72"/>
      <c r="I200" s="72">
        <f>F200+G200+H200</f>
        <v>0</v>
      </c>
      <c r="J200" s="71"/>
      <c r="K200" s="71"/>
      <c r="L200" s="71"/>
      <c r="M200" s="71"/>
      <c r="N200" s="71"/>
      <c r="O200" s="71">
        <f>L200+M200+N200</f>
        <v>0</v>
      </c>
      <c r="P200" s="76"/>
      <c r="Q200" s="60">
        <v>0</v>
      </c>
      <c r="R200" s="60"/>
      <c r="S200" s="50" t="e">
        <f t="shared" si="39"/>
        <v>#DIV/0!</v>
      </c>
    </row>
    <row r="201" spans="1:19" ht="12.75">
      <c r="A201" s="7" t="s">
        <v>98</v>
      </c>
      <c r="B201" s="90"/>
      <c r="C201" s="71">
        <v>20000</v>
      </c>
      <c r="D201" s="71"/>
      <c r="E201" s="71"/>
      <c r="F201" s="71">
        <f>C201+D201+E201</f>
        <v>20000</v>
      </c>
      <c r="G201" s="72"/>
      <c r="H201" s="72"/>
      <c r="I201" s="72">
        <f>F201+G201+H201</f>
        <v>20000</v>
      </c>
      <c r="J201" s="71"/>
      <c r="K201" s="71"/>
      <c r="L201" s="71">
        <f>I201+J201+K201</f>
        <v>20000</v>
      </c>
      <c r="M201" s="71">
        <f>1119.34</f>
        <v>1119.34</v>
      </c>
      <c r="N201" s="71"/>
      <c r="O201" s="71">
        <f>L201+M201+N201</f>
        <v>21119.34</v>
      </c>
      <c r="P201" s="76"/>
      <c r="Q201" s="60">
        <v>21119.34</v>
      </c>
      <c r="R201" s="60">
        <v>18410.83</v>
      </c>
      <c r="S201" s="50">
        <f t="shared" si="39"/>
        <v>87.17521475576416</v>
      </c>
    </row>
    <row r="202" spans="1:19" ht="12.75">
      <c r="A202" s="14" t="s">
        <v>68</v>
      </c>
      <c r="B202" s="91"/>
      <c r="C202" s="92">
        <f>C205+C204</f>
        <v>1996.6</v>
      </c>
      <c r="D202" s="92">
        <f>D205+D204</f>
        <v>0</v>
      </c>
      <c r="E202" s="92">
        <f>E205+E204</f>
        <v>0</v>
      </c>
      <c r="F202" s="92">
        <f>F205+F204</f>
        <v>1996.6</v>
      </c>
      <c r="G202" s="93">
        <f aca="true" t="shared" si="60" ref="G202:R202">G205+G204</f>
        <v>400</v>
      </c>
      <c r="H202" s="93">
        <f t="shared" si="60"/>
        <v>0</v>
      </c>
      <c r="I202" s="93">
        <f t="shared" si="60"/>
        <v>2396.6</v>
      </c>
      <c r="J202" s="92">
        <f t="shared" si="60"/>
        <v>0</v>
      </c>
      <c r="K202" s="92">
        <f t="shared" si="60"/>
        <v>0</v>
      </c>
      <c r="L202" s="92">
        <f t="shared" si="60"/>
        <v>2396.6</v>
      </c>
      <c r="M202" s="92">
        <f t="shared" si="60"/>
        <v>0</v>
      </c>
      <c r="N202" s="92">
        <f t="shared" si="60"/>
        <v>0</v>
      </c>
      <c r="O202" s="92">
        <f t="shared" si="60"/>
        <v>2396.6</v>
      </c>
      <c r="P202" s="92">
        <f t="shared" si="60"/>
        <v>429.99</v>
      </c>
      <c r="Q202" s="92">
        <f t="shared" si="60"/>
        <v>2826.59</v>
      </c>
      <c r="R202" s="93">
        <f t="shared" si="60"/>
        <v>677.81</v>
      </c>
      <c r="S202" s="150">
        <f t="shared" si="39"/>
        <v>23.979777753406044</v>
      </c>
    </row>
    <row r="203" spans="1:19" ht="12.75">
      <c r="A203" s="5" t="s">
        <v>34</v>
      </c>
      <c r="B203" s="90"/>
      <c r="C203" s="79"/>
      <c r="D203" s="79"/>
      <c r="E203" s="79"/>
      <c r="F203" s="79"/>
      <c r="G203" s="80"/>
      <c r="H203" s="80"/>
      <c r="I203" s="80"/>
      <c r="J203" s="79"/>
      <c r="K203" s="79"/>
      <c r="L203" s="79"/>
      <c r="M203" s="79"/>
      <c r="N203" s="79"/>
      <c r="O203" s="79"/>
      <c r="P203" s="76"/>
      <c r="Q203" s="60"/>
      <c r="R203" s="60"/>
      <c r="S203" s="50"/>
    </row>
    <row r="204" spans="1:19" ht="12.75">
      <c r="A204" s="7" t="s">
        <v>216</v>
      </c>
      <c r="B204" s="90">
        <v>98861</v>
      </c>
      <c r="C204" s="71"/>
      <c r="D204" s="71"/>
      <c r="E204" s="79"/>
      <c r="F204" s="71">
        <f>C204+D204+E204</f>
        <v>0</v>
      </c>
      <c r="G204" s="80"/>
      <c r="H204" s="80"/>
      <c r="I204" s="72">
        <f>F204+G204+H204</f>
        <v>0</v>
      </c>
      <c r="J204" s="79"/>
      <c r="K204" s="79"/>
      <c r="L204" s="71"/>
      <c r="M204" s="79"/>
      <c r="N204" s="79"/>
      <c r="O204" s="71">
        <f>L204+M204+N204</f>
        <v>0</v>
      </c>
      <c r="P204" s="76">
        <v>429.99</v>
      </c>
      <c r="Q204" s="60">
        <v>429.99</v>
      </c>
      <c r="R204" s="60">
        <v>0</v>
      </c>
      <c r="S204" s="50">
        <f>R204/Q204*100</f>
        <v>0</v>
      </c>
    </row>
    <row r="205" spans="1:19" ht="13.5" thickBot="1">
      <c r="A205" s="16" t="s">
        <v>69</v>
      </c>
      <c r="B205" s="94"/>
      <c r="C205" s="95">
        <v>1996.6</v>
      </c>
      <c r="D205" s="101"/>
      <c r="E205" s="101"/>
      <c r="F205" s="101">
        <f>C205+D205+E205</f>
        <v>1996.6</v>
      </c>
      <c r="G205" s="102">
        <v>400</v>
      </c>
      <c r="H205" s="102"/>
      <c r="I205" s="102">
        <f>F205+G205+H205</f>
        <v>2396.6</v>
      </c>
      <c r="J205" s="95"/>
      <c r="K205" s="95"/>
      <c r="L205" s="95">
        <f>I205+J205+K205</f>
        <v>2396.6</v>
      </c>
      <c r="M205" s="95"/>
      <c r="N205" s="95"/>
      <c r="O205" s="95">
        <f>L205+M205+N205</f>
        <v>2396.6</v>
      </c>
      <c r="P205" s="97"/>
      <c r="Q205" s="53">
        <v>2396.6</v>
      </c>
      <c r="R205" s="53">
        <v>677.81</v>
      </c>
      <c r="S205" s="52">
        <f aca="true" t="shared" si="61" ref="S205:S266">R205/Q205*100</f>
        <v>28.28214971209213</v>
      </c>
    </row>
    <row r="206" spans="1:19" ht="12.75">
      <c r="A206" s="4" t="s">
        <v>226</v>
      </c>
      <c r="B206" s="91"/>
      <c r="C206" s="67">
        <f aca="true" t="shared" si="62" ref="C206:R206">C207+C237</f>
        <v>2725.7</v>
      </c>
      <c r="D206" s="67">
        <f t="shared" si="62"/>
        <v>144444.3</v>
      </c>
      <c r="E206" s="67">
        <f t="shared" si="62"/>
        <v>0</v>
      </c>
      <c r="F206" s="67">
        <f t="shared" si="62"/>
        <v>147170</v>
      </c>
      <c r="G206" s="68">
        <f t="shared" si="62"/>
        <v>28356.269999999997</v>
      </c>
      <c r="H206" s="68">
        <f t="shared" si="62"/>
        <v>0</v>
      </c>
      <c r="I206" s="68">
        <f t="shared" si="62"/>
        <v>175526.27</v>
      </c>
      <c r="J206" s="67">
        <f t="shared" si="62"/>
        <v>41882.439999999995</v>
      </c>
      <c r="K206" s="67">
        <f t="shared" si="62"/>
        <v>569.93</v>
      </c>
      <c r="L206" s="67">
        <f t="shared" si="62"/>
        <v>217978.63999999996</v>
      </c>
      <c r="M206" s="67">
        <f t="shared" si="62"/>
        <v>31787.21</v>
      </c>
      <c r="N206" s="67">
        <f t="shared" si="62"/>
        <v>0</v>
      </c>
      <c r="O206" s="67">
        <f t="shared" si="62"/>
        <v>249765.85000000003</v>
      </c>
      <c r="P206" s="67">
        <f t="shared" si="62"/>
        <v>1571.2999999999997</v>
      </c>
      <c r="Q206" s="67">
        <f t="shared" si="62"/>
        <v>251337.15000000005</v>
      </c>
      <c r="R206" s="68">
        <f t="shared" si="62"/>
        <v>191340.36</v>
      </c>
      <c r="S206" s="148">
        <f t="shared" si="61"/>
        <v>76.1289606411149</v>
      </c>
    </row>
    <row r="207" spans="1:19" ht="12.75">
      <c r="A207" s="13" t="s">
        <v>63</v>
      </c>
      <c r="B207" s="91"/>
      <c r="C207" s="88">
        <f>SUM(C209:C236)</f>
        <v>2725.7</v>
      </c>
      <c r="D207" s="88">
        <f>SUM(D209:D236)</f>
        <v>136411.28</v>
      </c>
      <c r="E207" s="88">
        <f>SUM(E209:E236)</f>
        <v>0</v>
      </c>
      <c r="F207" s="88">
        <f>SUM(F209:F236)</f>
        <v>139136.98</v>
      </c>
      <c r="G207" s="89">
        <f aca="true" t="shared" si="63" ref="G207:P207">SUM(G209:G236)</f>
        <v>27283.329999999998</v>
      </c>
      <c r="H207" s="89">
        <f t="shared" si="63"/>
        <v>0</v>
      </c>
      <c r="I207" s="89">
        <f t="shared" si="63"/>
        <v>166420.31</v>
      </c>
      <c r="J207" s="88">
        <f t="shared" si="63"/>
        <v>34434.95999999999</v>
      </c>
      <c r="K207" s="88">
        <f t="shared" si="63"/>
        <v>0</v>
      </c>
      <c r="L207" s="88">
        <f t="shared" si="63"/>
        <v>200855.26999999996</v>
      </c>
      <c r="M207" s="88">
        <f>SUM(M209:M236)</f>
        <v>35394.45</v>
      </c>
      <c r="N207" s="88">
        <f>SUM(N209:N236)</f>
        <v>0</v>
      </c>
      <c r="O207" s="88">
        <f>SUM(O209:O236)</f>
        <v>236249.72000000003</v>
      </c>
      <c r="P207" s="88">
        <f t="shared" si="63"/>
        <v>1524.7199999999998</v>
      </c>
      <c r="Q207" s="88">
        <f>SUM(Q209:Q236)</f>
        <v>237774.44000000006</v>
      </c>
      <c r="R207" s="89">
        <f>SUM(R209:R236)</f>
        <v>179860.62999999998</v>
      </c>
      <c r="S207" s="150">
        <f t="shared" si="61"/>
        <v>75.64338286318744</v>
      </c>
    </row>
    <row r="208" spans="1:19" ht="12.75">
      <c r="A208" s="5" t="s">
        <v>34</v>
      </c>
      <c r="B208" s="90"/>
      <c r="C208" s="79"/>
      <c r="D208" s="79"/>
      <c r="E208" s="79"/>
      <c r="F208" s="79"/>
      <c r="G208" s="80"/>
      <c r="H208" s="80"/>
      <c r="I208" s="80"/>
      <c r="J208" s="79"/>
      <c r="K208" s="79"/>
      <c r="L208" s="79"/>
      <c r="M208" s="79"/>
      <c r="N208" s="79"/>
      <c r="O208" s="79"/>
      <c r="P208" s="76"/>
      <c r="Q208" s="60"/>
      <c r="R208" s="60"/>
      <c r="S208" s="50"/>
    </row>
    <row r="209" spans="1:19" ht="12.75">
      <c r="A209" s="7" t="s">
        <v>65</v>
      </c>
      <c r="B209" s="90"/>
      <c r="C209" s="71">
        <v>2725.7</v>
      </c>
      <c r="D209" s="71">
        <f>46.86+0.72+705.93+18.63+1.75+7.91+72.46+1000+11.99</f>
        <v>1866.25</v>
      </c>
      <c r="E209" s="71"/>
      <c r="F209" s="71">
        <f>C209+D209+E209</f>
        <v>4591.95</v>
      </c>
      <c r="G209" s="72">
        <f>11.09+312.92</f>
        <v>324.01</v>
      </c>
      <c r="H209" s="72"/>
      <c r="I209" s="72">
        <f>F209+G209+H209</f>
        <v>4915.96</v>
      </c>
      <c r="J209" s="78"/>
      <c r="K209" s="71"/>
      <c r="L209" s="71">
        <f>I209+J209+K209</f>
        <v>4915.96</v>
      </c>
      <c r="M209" s="78">
        <f>-35</f>
        <v>-35</v>
      </c>
      <c r="N209" s="71"/>
      <c r="O209" s="71">
        <f>L209+M209+N209</f>
        <v>4880.96</v>
      </c>
      <c r="P209" s="76"/>
      <c r="Q209" s="60">
        <v>4880.96</v>
      </c>
      <c r="R209" s="82">
        <v>2146.89</v>
      </c>
      <c r="S209" s="50">
        <f t="shared" si="61"/>
        <v>43.98499475513014</v>
      </c>
    </row>
    <row r="210" spans="1:19" ht="12.75" hidden="1">
      <c r="A210" s="15" t="s">
        <v>270</v>
      </c>
      <c r="B210" s="90">
        <v>5100</v>
      </c>
      <c r="C210" s="71"/>
      <c r="D210" s="71">
        <f>37011.97</f>
        <v>37011.97</v>
      </c>
      <c r="E210" s="71"/>
      <c r="F210" s="71">
        <f aca="true" t="shared" si="64" ref="F210:F236">C210+D210+E210</f>
        <v>37011.97</v>
      </c>
      <c r="G210" s="72">
        <f>0.29+151.52+154.86+11.67+8.73</f>
        <v>327.07000000000005</v>
      </c>
      <c r="H210" s="72"/>
      <c r="I210" s="72">
        <f aca="true" t="shared" si="65" ref="I210:I236">F210+G210+H210</f>
        <v>37339.04</v>
      </c>
      <c r="J210" s="71">
        <f>226.69+142.09+100.06+205.76</f>
        <v>674.5999999999999</v>
      </c>
      <c r="K210" s="71"/>
      <c r="L210" s="71">
        <f aca="true" t="shared" si="66" ref="L210:L236">I210+J210+K210</f>
        <v>38013.64</v>
      </c>
      <c r="M210" s="71">
        <f>257.19+205.76+2454.69</f>
        <v>2917.64</v>
      </c>
      <c r="N210" s="71"/>
      <c r="O210" s="71">
        <f aca="true" t="shared" si="67" ref="O210:O236">L210+M210+N210</f>
        <v>40931.28</v>
      </c>
      <c r="P210" s="76"/>
      <c r="Q210" s="60"/>
      <c r="R210" s="60"/>
      <c r="S210" s="50" t="e">
        <f t="shared" si="61"/>
        <v>#DIV/0!</v>
      </c>
    </row>
    <row r="211" spans="1:19" ht="12.75">
      <c r="A211" s="33" t="s">
        <v>170</v>
      </c>
      <c r="B211" s="90">
        <v>5100</v>
      </c>
      <c r="C211" s="71"/>
      <c r="D211" s="71"/>
      <c r="E211" s="71"/>
      <c r="F211" s="71">
        <f t="shared" si="64"/>
        <v>0</v>
      </c>
      <c r="G211" s="72">
        <v>5316.37</v>
      </c>
      <c r="H211" s="72"/>
      <c r="I211" s="72">
        <f t="shared" si="65"/>
        <v>5316.37</v>
      </c>
      <c r="J211" s="71"/>
      <c r="K211" s="71"/>
      <c r="L211" s="71">
        <f t="shared" si="66"/>
        <v>5316.37</v>
      </c>
      <c r="M211" s="71"/>
      <c r="N211" s="71"/>
      <c r="O211" s="71">
        <f t="shared" si="67"/>
        <v>5316.37</v>
      </c>
      <c r="P211" s="76"/>
      <c r="Q211" s="60">
        <f>5316.37+40931.28</f>
        <v>46247.65</v>
      </c>
      <c r="R211" s="60">
        <v>24135.28</v>
      </c>
      <c r="S211" s="50">
        <f t="shared" si="61"/>
        <v>52.18704085504885</v>
      </c>
    </row>
    <row r="212" spans="1:19" ht="12.75" hidden="1">
      <c r="A212" s="33" t="s">
        <v>271</v>
      </c>
      <c r="B212" s="90">
        <v>5200</v>
      </c>
      <c r="C212" s="71"/>
      <c r="D212" s="71">
        <v>31.86</v>
      </c>
      <c r="E212" s="71"/>
      <c r="F212" s="71">
        <f t="shared" si="64"/>
        <v>31.86</v>
      </c>
      <c r="G212" s="72"/>
      <c r="H212" s="72"/>
      <c r="I212" s="72">
        <f t="shared" si="65"/>
        <v>31.86</v>
      </c>
      <c r="J212" s="71"/>
      <c r="K212" s="71"/>
      <c r="L212" s="71">
        <f t="shared" si="66"/>
        <v>31.86</v>
      </c>
      <c r="M212" s="71"/>
      <c r="N212" s="71"/>
      <c r="O212" s="71">
        <f t="shared" si="67"/>
        <v>31.86</v>
      </c>
      <c r="P212" s="76"/>
      <c r="Q212" s="60"/>
      <c r="R212" s="60"/>
      <c r="S212" s="50" t="e">
        <f t="shared" si="61"/>
        <v>#DIV/0!</v>
      </c>
    </row>
    <row r="213" spans="1:19" ht="12.75">
      <c r="A213" s="33" t="s">
        <v>171</v>
      </c>
      <c r="B213" s="90">
        <v>5200</v>
      </c>
      <c r="C213" s="71"/>
      <c r="D213" s="71"/>
      <c r="E213" s="71"/>
      <c r="F213" s="71">
        <f t="shared" si="64"/>
        <v>0</v>
      </c>
      <c r="G213" s="72">
        <f>9.35+158.05</f>
        <v>167.4</v>
      </c>
      <c r="H213" s="72"/>
      <c r="I213" s="72">
        <f t="shared" si="65"/>
        <v>167.4</v>
      </c>
      <c r="J213" s="71"/>
      <c r="K213" s="71"/>
      <c r="L213" s="71">
        <f t="shared" si="66"/>
        <v>167.4</v>
      </c>
      <c r="M213" s="71">
        <f>9.54+161.67</f>
        <v>171.20999999999998</v>
      </c>
      <c r="N213" s="71"/>
      <c r="O213" s="71">
        <f t="shared" si="67"/>
        <v>338.61</v>
      </c>
      <c r="P213" s="76"/>
      <c r="Q213" s="60">
        <f>338.61+31.86</f>
        <v>370.47</v>
      </c>
      <c r="R213" s="82">
        <v>316.62</v>
      </c>
      <c r="S213" s="50">
        <f t="shared" si="61"/>
        <v>85.46441007369016</v>
      </c>
    </row>
    <row r="214" spans="1:19" ht="12.75" hidden="1">
      <c r="A214" s="33" t="s">
        <v>277</v>
      </c>
      <c r="B214" s="90">
        <v>2400</v>
      </c>
      <c r="C214" s="71"/>
      <c r="D214" s="71">
        <v>308.12</v>
      </c>
      <c r="E214" s="71"/>
      <c r="F214" s="71">
        <f t="shared" si="64"/>
        <v>308.12</v>
      </c>
      <c r="G214" s="72"/>
      <c r="H214" s="72"/>
      <c r="I214" s="72">
        <f t="shared" si="65"/>
        <v>308.12</v>
      </c>
      <c r="J214" s="71"/>
      <c r="K214" s="71"/>
      <c r="L214" s="71">
        <f t="shared" si="66"/>
        <v>308.12</v>
      </c>
      <c r="M214" s="71"/>
      <c r="N214" s="71"/>
      <c r="O214" s="71">
        <f t="shared" si="67"/>
        <v>308.12</v>
      </c>
      <c r="P214" s="76"/>
      <c r="Q214" s="60"/>
      <c r="R214" s="60"/>
      <c r="S214" s="50" t="e">
        <f t="shared" si="61"/>
        <v>#DIV/0!</v>
      </c>
    </row>
    <row r="215" spans="1:19" ht="12.75">
      <c r="A215" s="33" t="s">
        <v>343</v>
      </c>
      <c r="B215" s="90">
        <v>2400</v>
      </c>
      <c r="C215" s="71"/>
      <c r="D215" s="71"/>
      <c r="E215" s="71"/>
      <c r="F215" s="71"/>
      <c r="G215" s="72"/>
      <c r="H215" s="72"/>
      <c r="I215" s="72">
        <f t="shared" si="65"/>
        <v>0</v>
      </c>
      <c r="J215" s="71">
        <v>1209.98</v>
      </c>
      <c r="K215" s="71"/>
      <c r="L215" s="71">
        <f t="shared" si="66"/>
        <v>1209.98</v>
      </c>
      <c r="M215" s="71"/>
      <c r="N215" s="71"/>
      <c r="O215" s="71">
        <f t="shared" si="67"/>
        <v>1209.98</v>
      </c>
      <c r="P215" s="76"/>
      <c r="Q215" s="60">
        <f>1209.98+308.12</f>
        <v>1518.1</v>
      </c>
      <c r="R215" s="60">
        <v>1514.01</v>
      </c>
      <c r="S215" s="50">
        <f t="shared" si="61"/>
        <v>99.73058428298532</v>
      </c>
    </row>
    <row r="216" spans="1:19" ht="12.75" hidden="1">
      <c r="A216" s="33" t="s">
        <v>278</v>
      </c>
      <c r="B216" s="90">
        <v>3800</v>
      </c>
      <c r="C216" s="71"/>
      <c r="D216" s="71">
        <v>1568.95</v>
      </c>
      <c r="E216" s="71"/>
      <c r="F216" s="71">
        <f t="shared" si="64"/>
        <v>1568.95</v>
      </c>
      <c r="G216" s="72"/>
      <c r="H216" s="72"/>
      <c r="I216" s="72">
        <f t="shared" si="65"/>
        <v>1568.95</v>
      </c>
      <c r="J216" s="71"/>
      <c r="K216" s="71"/>
      <c r="L216" s="71">
        <f t="shared" si="66"/>
        <v>1568.95</v>
      </c>
      <c r="M216" s="71"/>
      <c r="N216" s="71"/>
      <c r="O216" s="71">
        <f t="shared" si="67"/>
        <v>1568.95</v>
      </c>
      <c r="P216" s="76"/>
      <c r="Q216" s="60"/>
      <c r="R216" s="60"/>
      <c r="S216" s="50" t="e">
        <f t="shared" si="61"/>
        <v>#DIV/0!</v>
      </c>
    </row>
    <row r="217" spans="1:19" ht="12.75">
      <c r="A217" s="33" t="s">
        <v>317</v>
      </c>
      <c r="B217" s="90">
        <v>3800</v>
      </c>
      <c r="C217" s="71"/>
      <c r="D217" s="71"/>
      <c r="E217" s="71"/>
      <c r="F217" s="71">
        <f t="shared" si="64"/>
        <v>0</v>
      </c>
      <c r="G217" s="72">
        <v>2298.02</v>
      </c>
      <c r="H217" s="72"/>
      <c r="I217" s="72">
        <f t="shared" si="65"/>
        <v>2298.02</v>
      </c>
      <c r="J217" s="71">
        <f>13957.74+15522.42</f>
        <v>29480.16</v>
      </c>
      <c r="K217" s="71"/>
      <c r="L217" s="71">
        <f t="shared" si="66"/>
        <v>31778.18</v>
      </c>
      <c r="M217" s="71">
        <f>26919.88</f>
        <v>26919.88</v>
      </c>
      <c r="N217" s="71"/>
      <c r="O217" s="71">
        <f t="shared" si="67"/>
        <v>58698.06</v>
      </c>
      <c r="P217" s="76"/>
      <c r="Q217" s="60">
        <f>58698.06+1568.95</f>
        <v>60267.009999999995</v>
      </c>
      <c r="R217" s="60">
        <v>53990.67</v>
      </c>
      <c r="S217" s="50">
        <f t="shared" si="61"/>
        <v>89.58577835535561</v>
      </c>
    </row>
    <row r="218" spans="1:19" ht="12.75" hidden="1">
      <c r="A218" s="33" t="s">
        <v>247</v>
      </c>
      <c r="B218" s="90">
        <v>3500</v>
      </c>
      <c r="C218" s="71"/>
      <c r="D218" s="71">
        <v>3298.9</v>
      </c>
      <c r="E218" s="71"/>
      <c r="F218" s="71">
        <f t="shared" si="64"/>
        <v>3298.9</v>
      </c>
      <c r="G218" s="72">
        <f>10.5</f>
        <v>10.5</v>
      </c>
      <c r="H218" s="72"/>
      <c r="I218" s="72">
        <f t="shared" si="65"/>
        <v>3309.4</v>
      </c>
      <c r="J218" s="71"/>
      <c r="K218" s="71"/>
      <c r="L218" s="71">
        <f t="shared" si="66"/>
        <v>3309.4</v>
      </c>
      <c r="M218" s="71"/>
      <c r="N218" s="71"/>
      <c r="O218" s="71">
        <f t="shared" si="67"/>
        <v>3309.4</v>
      </c>
      <c r="P218" s="76"/>
      <c r="Q218" s="60"/>
      <c r="R218" s="60"/>
      <c r="S218" s="50" t="e">
        <f t="shared" si="61"/>
        <v>#DIV/0!</v>
      </c>
    </row>
    <row r="219" spans="1:19" ht="12.75">
      <c r="A219" s="33" t="s">
        <v>248</v>
      </c>
      <c r="B219" s="90">
        <v>3500</v>
      </c>
      <c r="C219" s="71"/>
      <c r="D219" s="71"/>
      <c r="E219" s="71"/>
      <c r="F219" s="71">
        <f t="shared" si="64"/>
        <v>0</v>
      </c>
      <c r="G219" s="72"/>
      <c r="H219" s="72"/>
      <c r="I219" s="72">
        <f t="shared" si="65"/>
        <v>0</v>
      </c>
      <c r="J219" s="71">
        <v>1685.85</v>
      </c>
      <c r="K219" s="71"/>
      <c r="L219" s="71">
        <f t="shared" si="66"/>
        <v>1685.85</v>
      </c>
      <c r="M219" s="71"/>
      <c r="N219" s="71"/>
      <c r="O219" s="71">
        <f t="shared" si="67"/>
        <v>1685.85</v>
      </c>
      <c r="P219" s="76">
        <f>2124.72</f>
        <v>2124.72</v>
      </c>
      <c r="Q219" s="60">
        <f>3810.57+3309.4</f>
        <v>7119.97</v>
      </c>
      <c r="R219" s="60">
        <v>3604.41</v>
      </c>
      <c r="S219" s="50">
        <f t="shared" si="61"/>
        <v>50.623949258213166</v>
      </c>
    </row>
    <row r="220" spans="1:19" ht="13.5" thickBot="1">
      <c r="A220" s="158" t="s">
        <v>187</v>
      </c>
      <c r="B220" s="156">
        <v>1500</v>
      </c>
      <c r="C220" s="101"/>
      <c r="D220" s="101">
        <v>162.35</v>
      </c>
      <c r="E220" s="101"/>
      <c r="F220" s="101">
        <f t="shared" si="64"/>
        <v>162.35</v>
      </c>
      <c r="G220" s="102"/>
      <c r="H220" s="102"/>
      <c r="I220" s="102">
        <f t="shared" si="65"/>
        <v>162.35</v>
      </c>
      <c r="J220" s="101"/>
      <c r="K220" s="101"/>
      <c r="L220" s="101">
        <f t="shared" si="66"/>
        <v>162.35</v>
      </c>
      <c r="M220" s="101"/>
      <c r="N220" s="101"/>
      <c r="O220" s="101">
        <f t="shared" si="67"/>
        <v>162.35</v>
      </c>
      <c r="P220" s="132"/>
      <c r="Q220" s="154">
        <v>162.35</v>
      </c>
      <c r="R220" s="154">
        <v>91.05</v>
      </c>
      <c r="S220" s="157">
        <f t="shared" si="61"/>
        <v>56.082537727132745</v>
      </c>
    </row>
    <row r="221" spans="1:19" ht="12.75" hidden="1">
      <c r="A221" s="33" t="s">
        <v>187</v>
      </c>
      <c r="B221" s="90">
        <v>1500</v>
      </c>
      <c r="C221" s="71"/>
      <c r="D221" s="71"/>
      <c r="E221" s="71"/>
      <c r="F221" s="71">
        <f t="shared" si="64"/>
        <v>0</v>
      </c>
      <c r="G221" s="72"/>
      <c r="H221" s="72"/>
      <c r="I221" s="72">
        <f t="shared" si="65"/>
        <v>0</v>
      </c>
      <c r="J221" s="71"/>
      <c r="K221" s="71"/>
      <c r="L221" s="71">
        <f t="shared" si="66"/>
        <v>0</v>
      </c>
      <c r="M221" s="71"/>
      <c r="N221" s="71"/>
      <c r="O221" s="71">
        <f t="shared" si="67"/>
        <v>0</v>
      </c>
      <c r="P221" s="76"/>
      <c r="Q221" s="60">
        <v>0</v>
      </c>
      <c r="R221" s="60"/>
      <c r="S221" s="50"/>
    </row>
    <row r="222" spans="1:19" ht="12.75" hidden="1">
      <c r="A222" s="33" t="s">
        <v>272</v>
      </c>
      <c r="B222" s="90">
        <v>3600</v>
      </c>
      <c r="C222" s="71"/>
      <c r="D222" s="71">
        <v>111.81</v>
      </c>
      <c r="E222" s="71"/>
      <c r="F222" s="71">
        <f t="shared" si="64"/>
        <v>111.81</v>
      </c>
      <c r="G222" s="72"/>
      <c r="H222" s="72"/>
      <c r="I222" s="72">
        <f t="shared" si="65"/>
        <v>111.81</v>
      </c>
      <c r="J222" s="71"/>
      <c r="K222" s="71"/>
      <c r="L222" s="71">
        <f t="shared" si="66"/>
        <v>111.81</v>
      </c>
      <c r="M222" s="71"/>
      <c r="N222" s="71"/>
      <c r="O222" s="71">
        <f t="shared" si="67"/>
        <v>111.81</v>
      </c>
      <c r="P222" s="76"/>
      <c r="Q222" s="60"/>
      <c r="R222" s="60"/>
      <c r="S222" s="50" t="e">
        <f t="shared" si="61"/>
        <v>#DIV/0!</v>
      </c>
    </row>
    <row r="223" spans="1:19" ht="12.75">
      <c r="A223" s="33" t="s">
        <v>188</v>
      </c>
      <c r="B223" s="90">
        <v>3600</v>
      </c>
      <c r="C223" s="71"/>
      <c r="D223" s="71"/>
      <c r="E223" s="71"/>
      <c r="F223" s="71">
        <f t="shared" si="64"/>
        <v>0</v>
      </c>
      <c r="G223" s="72">
        <v>40.84</v>
      </c>
      <c r="H223" s="72"/>
      <c r="I223" s="72">
        <f t="shared" si="65"/>
        <v>40.84</v>
      </c>
      <c r="J223" s="71"/>
      <c r="K223" s="71"/>
      <c r="L223" s="71">
        <f t="shared" si="66"/>
        <v>40.84</v>
      </c>
      <c r="M223" s="71">
        <v>3.31</v>
      </c>
      <c r="N223" s="71"/>
      <c r="O223" s="71">
        <f t="shared" si="67"/>
        <v>44.150000000000006</v>
      </c>
      <c r="P223" s="76"/>
      <c r="Q223" s="60">
        <f>44.15+111.81</f>
        <v>155.96</v>
      </c>
      <c r="R223" s="60">
        <v>3.58</v>
      </c>
      <c r="S223" s="50">
        <f t="shared" si="61"/>
        <v>2.295460374454988</v>
      </c>
    </row>
    <row r="224" spans="1:19" ht="12.75">
      <c r="A224" s="33" t="s">
        <v>179</v>
      </c>
      <c r="B224" s="90">
        <v>4000</v>
      </c>
      <c r="C224" s="71"/>
      <c r="D224" s="71">
        <f>14079.26</f>
        <v>14079.26</v>
      </c>
      <c r="E224" s="71"/>
      <c r="F224" s="71">
        <f t="shared" si="64"/>
        <v>14079.26</v>
      </c>
      <c r="G224" s="72"/>
      <c r="H224" s="72"/>
      <c r="I224" s="72">
        <f t="shared" si="65"/>
        <v>14079.26</v>
      </c>
      <c r="J224" s="71"/>
      <c r="K224" s="71"/>
      <c r="L224" s="71">
        <f t="shared" si="66"/>
        <v>14079.26</v>
      </c>
      <c r="M224" s="71">
        <v>2102.39</v>
      </c>
      <c r="N224" s="71"/>
      <c r="O224" s="71">
        <f t="shared" si="67"/>
        <v>16181.65</v>
      </c>
      <c r="P224" s="76"/>
      <c r="Q224" s="60">
        <v>16181.65</v>
      </c>
      <c r="R224" s="60">
        <v>16098.39</v>
      </c>
      <c r="S224" s="50">
        <f t="shared" si="61"/>
        <v>99.48546656243337</v>
      </c>
    </row>
    <row r="225" spans="1:19" ht="12.75" hidden="1">
      <c r="A225" s="33" t="s">
        <v>179</v>
      </c>
      <c r="B225" s="90">
        <v>4000</v>
      </c>
      <c r="C225" s="71"/>
      <c r="D225" s="71"/>
      <c r="E225" s="71"/>
      <c r="F225" s="71">
        <f t="shared" si="64"/>
        <v>0</v>
      </c>
      <c r="G225" s="72"/>
      <c r="H225" s="72"/>
      <c r="I225" s="72">
        <f t="shared" si="65"/>
        <v>0</v>
      </c>
      <c r="J225" s="71"/>
      <c r="K225" s="71"/>
      <c r="L225" s="71">
        <f t="shared" si="66"/>
        <v>0</v>
      </c>
      <c r="M225" s="71"/>
      <c r="N225" s="71"/>
      <c r="O225" s="71">
        <f t="shared" si="67"/>
        <v>0</v>
      </c>
      <c r="P225" s="76"/>
      <c r="Q225" s="60">
        <v>0</v>
      </c>
      <c r="R225" s="60"/>
      <c r="S225" s="50"/>
    </row>
    <row r="226" spans="1:19" ht="12.75" hidden="1">
      <c r="A226" s="33" t="s">
        <v>273</v>
      </c>
      <c r="B226" s="90">
        <v>2100</v>
      </c>
      <c r="C226" s="71"/>
      <c r="D226" s="71">
        <f>33271.89</f>
        <v>33271.89</v>
      </c>
      <c r="E226" s="71"/>
      <c r="F226" s="71">
        <f t="shared" si="64"/>
        <v>33271.89</v>
      </c>
      <c r="G226" s="72"/>
      <c r="H226" s="72"/>
      <c r="I226" s="72">
        <f t="shared" si="65"/>
        <v>33271.89</v>
      </c>
      <c r="J226" s="71"/>
      <c r="K226" s="71"/>
      <c r="L226" s="71">
        <f t="shared" si="66"/>
        <v>33271.89</v>
      </c>
      <c r="M226" s="71">
        <f>10.09+0.02</f>
        <v>10.11</v>
      </c>
      <c r="N226" s="71"/>
      <c r="O226" s="71">
        <f t="shared" si="67"/>
        <v>33282</v>
      </c>
      <c r="P226" s="76"/>
      <c r="Q226" s="60"/>
      <c r="R226" s="60"/>
      <c r="S226" s="50" t="e">
        <f t="shared" si="61"/>
        <v>#DIV/0!</v>
      </c>
    </row>
    <row r="227" spans="1:19" ht="12.75">
      <c r="A227" s="33" t="s">
        <v>316</v>
      </c>
      <c r="B227" s="90">
        <v>2100</v>
      </c>
      <c r="C227" s="71"/>
      <c r="D227" s="71"/>
      <c r="E227" s="71"/>
      <c r="F227" s="71">
        <f t="shared" si="64"/>
        <v>0</v>
      </c>
      <c r="G227" s="72">
        <v>12155.86</v>
      </c>
      <c r="H227" s="72"/>
      <c r="I227" s="72">
        <f t="shared" si="65"/>
        <v>12155.86</v>
      </c>
      <c r="J227" s="71"/>
      <c r="K227" s="71"/>
      <c r="L227" s="71">
        <f t="shared" si="66"/>
        <v>12155.86</v>
      </c>
      <c r="M227" s="71"/>
      <c r="N227" s="71"/>
      <c r="O227" s="71">
        <f t="shared" si="67"/>
        <v>12155.86</v>
      </c>
      <c r="P227" s="76"/>
      <c r="Q227" s="60">
        <f>12155.86+33282</f>
        <v>45437.86</v>
      </c>
      <c r="R227" s="60">
        <v>36680.84</v>
      </c>
      <c r="S227" s="50">
        <f t="shared" si="61"/>
        <v>80.72748144388842</v>
      </c>
    </row>
    <row r="228" spans="1:19" ht="12.75">
      <c r="A228" s="33" t="s">
        <v>375</v>
      </c>
      <c r="B228" s="90">
        <v>4100</v>
      </c>
      <c r="C228" s="71"/>
      <c r="D228" s="71">
        <f>3832.84</f>
        <v>3832.84</v>
      </c>
      <c r="E228" s="71"/>
      <c r="F228" s="71">
        <f t="shared" si="64"/>
        <v>3832.84</v>
      </c>
      <c r="G228" s="72"/>
      <c r="H228" s="72"/>
      <c r="I228" s="72">
        <f t="shared" si="65"/>
        <v>3832.84</v>
      </c>
      <c r="J228" s="71"/>
      <c r="K228" s="71"/>
      <c r="L228" s="71">
        <f t="shared" si="66"/>
        <v>3832.84</v>
      </c>
      <c r="M228" s="78">
        <f>-122.84+1855.72</f>
        <v>1732.88</v>
      </c>
      <c r="N228" s="71"/>
      <c r="O228" s="71">
        <f t="shared" si="67"/>
        <v>5565.72</v>
      </c>
      <c r="P228" s="76"/>
      <c r="Q228" s="60">
        <v>5565.72</v>
      </c>
      <c r="R228" s="60">
        <v>0</v>
      </c>
      <c r="S228" s="50">
        <f t="shared" si="61"/>
        <v>0</v>
      </c>
    </row>
    <row r="229" spans="1:19" ht="12.75" hidden="1">
      <c r="A229" s="33" t="s">
        <v>184</v>
      </c>
      <c r="B229" s="90">
        <v>4100</v>
      </c>
      <c r="C229" s="71"/>
      <c r="D229" s="71"/>
      <c r="E229" s="71"/>
      <c r="F229" s="71">
        <f t="shared" si="64"/>
        <v>0</v>
      </c>
      <c r="G229" s="72"/>
      <c r="H229" s="72"/>
      <c r="I229" s="72">
        <f t="shared" si="65"/>
        <v>0</v>
      </c>
      <c r="J229" s="71"/>
      <c r="K229" s="71"/>
      <c r="L229" s="71">
        <f t="shared" si="66"/>
        <v>0</v>
      </c>
      <c r="M229" s="71"/>
      <c r="N229" s="71"/>
      <c r="O229" s="71">
        <f t="shared" si="67"/>
        <v>0</v>
      </c>
      <c r="P229" s="76"/>
      <c r="Q229" s="60">
        <v>0</v>
      </c>
      <c r="R229" s="60">
        <v>0</v>
      </c>
      <c r="S229" s="50"/>
    </row>
    <row r="230" spans="1:19" ht="12.75" hidden="1">
      <c r="A230" s="33" t="s">
        <v>274</v>
      </c>
      <c r="B230" s="90">
        <v>2200</v>
      </c>
      <c r="C230" s="71"/>
      <c r="D230" s="71">
        <f>9955.72</f>
        <v>9955.72</v>
      </c>
      <c r="E230" s="71"/>
      <c r="F230" s="71">
        <f t="shared" si="64"/>
        <v>9955.72</v>
      </c>
      <c r="G230" s="72"/>
      <c r="H230" s="72"/>
      <c r="I230" s="72">
        <f t="shared" si="65"/>
        <v>9955.72</v>
      </c>
      <c r="J230" s="71"/>
      <c r="K230" s="71"/>
      <c r="L230" s="71">
        <f t="shared" si="66"/>
        <v>9955.72</v>
      </c>
      <c r="M230" s="71"/>
      <c r="N230" s="71"/>
      <c r="O230" s="71">
        <f t="shared" si="67"/>
        <v>9955.72</v>
      </c>
      <c r="P230" s="76"/>
      <c r="Q230" s="60"/>
      <c r="R230" s="60"/>
      <c r="S230" s="50" t="e">
        <f t="shared" si="61"/>
        <v>#DIV/0!</v>
      </c>
    </row>
    <row r="231" spans="1:19" ht="12.75">
      <c r="A231" s="33" t="s">
        <v>314</v>
      </c>
      <c r="B231" s="90">
        <v>2200</v>
      </c>
      <c r="C231" s="71"/>
      <c r="D231" s="71"/>
      <c r="E231" s="71"/>
      <c r="F231" s="71">
        <f t="shared" si="64"/>
        <v>0</v>
      </c>
      <c r="G231" s="72">
        <v>2451.69</v>
      </c>
      <c r="H231" s="72"/>
      <c r="I231" s="72">
        <f t="shared" si="65"/>
        <v>2451.69</v>
      </c>
      <c r="J231" s="71"/>
      <c r="K231" s="71"/>
      <c r="L231" s="71">
        <f t="shared" si="66"/>
        <v>2451.69</v>
      </c>
      <c r="M231" s="71"/>
      <c r="N231" s="71"/>
      <c r="O231" s="71">
        <f t="shared" si="67"/>
        <v>2451.69</v>
      </c>
      <c r="P231" s="76"/>
      <c r="Q231" s="60">
        <f>2451.69+9955.72</f>
        <v>12407.41</v>
      </c>
      <c r="R231" s="60">
        <v>10608.56</v>
      </c>
      <c r="S231" s="50">
        <f t="shared" si="61"/>
        <v>85.501808999622</v>
      </c>
    </row>
    <row r="232" spans="1:19" ht="12.75">
      <c r="A232" s="33" t="s">
        <v>178</v>
      </c>
      <c r="B232" s="90">
        <v>4200</v>
      </c>
      <c r="C232" s="71"/>
      <c r="D232" s="71">
        <f>14388.11</f>
        <v>14388.11</v>
      </c>
      <c r="E232" s="71"/>
      <c r="F232" s="71">
        <f t="shared" si="64"/>
        <v>14388.11</v>
      </c>
      <c r="G232" s="72"/>
      <c r="H232" s="72"/>
      <c r="I232" s="72">
        <f t="shared" si="65"/>
        <v>14388.11</v>
      </c>
      <c r="J232" s="71"/>
      <c r="K232" s="71"/>
      <c r="L232" s="71">
        <f t="shared" si="66"/>
        <v>14388.11</v>
      </c>
      <c r="M232" s="71">
        <v>1948.71</v>
      </c>
      <c r="N232" s="71"/>
      <c r="O232" s="71">
        <f t="shared" si="67"/>
        <v>16336.82</v>
      </c>
      <c r="P232" s="76"/>
      <c r="Q232" s="60">
        <v>16336.82</v>
      </c>
      <c r="R232" s="60">
        <v>16290.12</v>
      </c>
      <c r="S232" s="50">
        <f t="shared" si="61"/>
        <v>99.71414265444561</v>
      </c>
    </row>
    <row r="233" spans="1:19" ht="12.75" hidden="1">
      <c r="A233" s="33" t="s">
        <v>178</v>
      </c>
      <c r="B233" s="90">
        <v>4200</v>
      </c>
      <c r="C233" s="71"/>
      <c r="D233" s="71"/>
      <c r="E233" s="71"/>
      <c r="F233" s="71">
        <f t="shared" si="64"/>
        <v>0</v>
      </c>
      <c r="G233" s="72"/>
      <c r="H233" s="72"/>
      <c r="I233" s="72">
        <f t="shared" si="65"/>
        <v>0</v>
      </c>
      <c r="J233" s="71"/>
      <c r="K233" s="71"/>
      <c r="L233" s="71">
        <f t="shared" si="66"/>
        <v>0</v>
      </c>
      <c r="M233" s="71"/>
      <c r="N233" s="71"/>
      <c r="O233" s="71">
        <f t="shared" si="67"/>
        <v>0</v>
      </c>
      <c r="P233" s="76"/>
      <c r="Q233" s="60">
        <v>0</v>
      </c>
      <c r="R233" s="60"/>
      <c r="S233" s="50"/>
    </row>
    <row r="234" spans="1:19" ht="12.75" hidden="1">
      <c r="A234" s="33" t="s">
        <v>275</v>
      </c>
      <c r="B234" s="90">
        <v>2300</v>
      </c>
      <c r="C234" s="71"/>
      <c r="D234" s="71">
        <f>15172.43</f>
        <v>15172.43</v>
      </c>
      <c r="E234" s="71"/>
      <c r="F234" s="71">
        <f t="shared" si="64"/>
        <v>15172.43</v>
      </c>
      <c r="G234" s="72">
        <f>235.51</f>
        <v>235.51</v>
      </c>
      <c r="H234" s="72"/>
      <c r="I234" s="72">
        <f t="shared" si="65"/>
        <v>15407.94</v>
      </c>
      <c r="J234" s="71">
        <f>377.59</f>
        <v>377.59</v>
      </c>
      <c r="K234" s="71"/>
      <c r="L234" s="71">
        <f t="shared" si="66"/>
        <v>15785.53</v>
      </c>
      <c r="M234" s="71">
        <f>123.47+99.85</f>
        <v>223.32</v>
      </c>
      <c r="N234" s="71"/>
      <c r="O234" s="71">
        <f t="shared" si="67"/>
        <v>16008.85</v>
      </c>
      <c r="P234" s="76"/>
      <c r="Q234" s="60"/>
      <c r="R234" s="60"/>
      <c r="S234" s="50" t="e">
        <f t="shared" si="61"/>
        <v>#DIV/0!</v>
      </c>
    </row>
    <row r="235" spans="1:19" ht="12.75">
      <c r="A235" s="33" t="s">
        <v>315</v>
      </c>
      <c r="B235" s="90">
        <v>2300</v>
      </c>
      <c r="C235" s="71"/>
      <c r="D235" s="71"/>
      <c r="E235" s="71"/>
      <c r="F235" s="71">
        <f t="shared" si="64"/>
        <v>0</v>
      </c>
      <c r="G235" s="72">
        <v>3956.06</v>
      </c>
      <c r="H235" s="72"/>
      <c r="I235" s="72">
        <f t="shared" si="65"/>
        <v>3956.06</v>
      </c>
      <c r="J235" s="71">
        <v>1006.78</v>
      </c>
      <c r="K235" s="71"/>
      <c r="L235" s="71">
        <f t="shared" si="66"/>
        <v>4962.84</v>
      </c>
      <c r="M235" s="71"/>
      <c r="N235" s="71"/>
      <c r="O235" s="71">
        <f t="shared" si="67"/>
        <v>4962.84</v>
      </c>
      <c r="P235" s="76"/>
      <c r="Q235" s="60">
        <f>4962.84+16008.85</f>
        <v>20971.690000000002</v>
      </c>
      <c r="R235" s="60">
        <v>14250</v>
      </c>
      <c r="S235" s="50">
        <f t="shared" si="61"/>
        <v>67.94874423568153</v>
      </c>
    </row>
    <row r="236" spans="1:19" ht="12.75">
      <c r="A236" s="33" t="s">
        <v>96</v>
      </c>
      <c r="B236" s="90"/>
      <c r="C236" s="71"/>
      <c r="D236" s="71">
        <f>1200+150.82</f>
        <v>1350.82</v>
      </c>
      <c r="E236" s="71"/>
      <c r="F236" s="71">
        <f t="shared" si="64"/>
        <v>1350.82</v>
      </c>
      <c r="G236" s="72"/>
      <c r="H236" s="72"/>
      <c r="I236" s="72">
        <f t="shared" si="65"/>
        <v>1350.82</v>
      </c>
      <c r="J236" s="71"/>
      <c r="K236" s="71"/>
      <c r="L236" s="71">
        <f t="shared" si="66"/>
        <v>1350.82</v>
      </c>
      <c r="M236" s="71">
        <f>-600</f>
        <v>-600</v>
      </c>
      <c r="N236" s="71"/>
      <c r="O236" s="71">
        <f t="shared" si="67"/>
        <v>750.8199999999999</v>
      </c>
      <c r="P236" s="76">
        <v>-600</v>
      </c>
      <c r="Q236" s="60">
        <v>150.81999999999994</v>
      </c>
      <c r="R236" s="82">
        <v>130.21</v>
      </c>
      <c r="S236" s="50">
        <f t="shared" si="61"/>
        <v>86.33470362020957</v>
      </c>
    </row>
    <row r="237" spans="1:19" ht="12.75">
      <c r="A237" s="14" t="s">
        <v>68</v>
      </c>
      <c r="B237" s="91"/>
      <c r="C237" s="92">
        <f>SUM(C239:C250)</f>
        <v>0</v>
      </c>
      <c r="D237" s="92">
        <f>SUM(D239:D250)</f>
        <v>8033.0199999999995</v>
      </c>
      <c r="E237" s="92">
        <f>SUM(E239:E250)</f>
        <v>0</v>
      </c>
      <c r="F237" s="92">
        <f>SUM(F239:F250)</f>
        <v>8033.0199999999995</v>
      </c>
      <c r="G237" s="93">
        <f aca="true" t="shared" si="68" ref="G237:R237">SUM(G239:G250)</f>
        <v>1072.94</v>
      </c>
      <c r="H237" s="93">
        <f t="shared" si="68"/>
        <v>0</v>
      </c>
      <c r="I237" s="93">
        <f t="shared" si="68"/>
        <v>9105.96</v>
      </c>
      <c r="J237" s="92">
        <f t="shared" si="68"/>
        <v>7447.4800000000005</v>
      </c>
      <c r="K237" s="92">
        <f t="shared" si="68"/>
        <v>569.93</v>
      </c>
      <c r="L237" s="92">
        <f t="shared" si="68"/>
        <v>17123.370000000003</v>
      </c>
      <c r="M237" s="92">
        <f t="shared" si="68"/>
        <v>-3607.24</v>
      </c>
      <c r="N237" s="92">
        <f t="shared" si="68"/>
        <v>0</v>
      </c>
      <c r="O237" s="92">
        <f t="shared" si="68"/>
        <v>13516.130000000001</v>
      </c>
      <c r="P237" s="92">
        <f t="shared" si="68"/>
        <v>46.58</v>
      </c>
      <c r="Q237" s="92">
        <f t="shared" si="68"/>
        <v>13562.710000000001</v>
      </c>
      <c r="R237" s="93">
        <f t="shared" si="68"/>
        <v>11479.73</v>
      </c>
      <c r="S237" s="150">
        <f t="shared" si="61"/>
        <v>84.64185992327491</v>
      </c>
    </row>
    <row r="238" spans="1:19" ht="12.75">
      <c r="A238" s="15" t="s">
        <v>34</v>
      </c>
      <c r="B238" s="90"/>
      <c r="C238" s="71"/>
      <c r="D238" s="71"/>
      <c r="E238" s="71"/>
      <c r="F238" s="71"/>
      <c r="G238" s="72"/>
      <c r="H238" s="72"/>
      <c r="I238" s="72"/>
      <c r="J238" s="71"/>
      <c r="K238" s="71"/>
      <c r="L238" s="71"/>
      <c r="M238" s="71"/>
      <c r="N238" s="71"/>
      <c r="O238" s="71"/>
      <c r="P238" s="76"/>
      <c r="Q238" s="60"/>
      <c r="R238" s="60"/>
      <c r="S238" s="50"/>
    </row>
    <row r="239" spans="1:19" ht="12.75">
      <c r="A239" s="33" t="s">
        <v>170</v>
      </c>
      <c r="B239" s="90">
        <v>5100</v>
      </c>
      <c r="C239" s="71"/>
      <c r="D239" s="71">
        <v>1008.14</v>
      </c>
      <c r="E239" s="71"/>
      <c r="F239" s="71">
        <f aca="true" t="shared" si="69" ref="F239:F250">C239+D239+E239</f>
        <v>1008.14</v>
      </c>
      <c r="G239" s="72"/>
      <c r="H239" s="72"/>
      <c r="I239" s="72">
        <f aca="true" t="shared" si="70" ref="I239:I250">F239+G239+H239</f>
        <v>1008.14</v>
      </c>
      <c r="J239" s="71"/>
      <c r="K239" s="71"/>
      <c r="L239" s="71">
        <f aca="true" t="shared" si="71" ref="L239:L250">I239+J239+K239</f>
        <v>1008.14</v>
      </c>
      <c r="M239" s="71">
        <f>1.22</f>
        <v>1.22</v>
      </c>
      <c r="N239" s="71"/>
      <c r="O239" s="71">
        <f aca="true" t="shared" si="72" ref="O239:O250">L239+M239+N239</f>
        <v>1009.36</v>
      </c>
      <c r="P239" s="76"/>
      <c r="Q239" s="60">
        <v>1009.36</v>
      </c>
      <c r="R239" s="60">
        <v>0</v>
      </c>
      <c r="S239" s="50">
        <f>R239/Q239*100</f>
        <v>0</v>
      </c>
    </row>
    <row r="240" spans="1:19" ht="12.75" hidden="1">
      <c r="A240" s="33" t="s">
        <v>278</v>
      </c>
      <c r="B240" s="90"/>
      <c r="C240" s="71"/>
      <c r="D240" s="71"/>
      <c r="E240" s="71"/>
      <c r="F240" s="71"/>
      <c r="G240" s="72"/>
      <c r="H240" s="72"/>
      <c r="I240" s="72">
        <f t="shared" si="70"/>
        <v>0</v>
      </c>
      <c r="J240" s="71"/>
      <c r="K240" s="71">
        <v>569.93</v>
      </c>
      <c r="L240" s="71">
        <f t="shared" si="71"/>
        <v>569.93</v>
      </c>
      <c r="M240" s="71"/>
      <c r="N240" s="71"/>
      <c r="O240" s="71">
        <f t="shared" si="72"/>
        <v>569.93</v>
      </c>
      <c r="P240" s="76">
        <f>46.58</f>
        <v>46.58</v>
      </c>
      <c r="Q240" s="60"/>
      <c r="R240" s="60"/>
      <c r="S240" s="50" t="e">
        <f t="shared" si="61"/>
        <v>#DIV/0!</v>
      </c>
    </row>
    <row r="241" spans="1:19" ht="12.75">
      <c r="A241" s="33" t="s">
        <v>317</v>
      </c>
      <c r="B241" s="90">
        <v>3800</v>
      </c>
      <c r="C241" s="71"/>
      <c r="D241" s="71"/>
      <c r="E241" s="71"/>
      <c r="F241" s="71">
        <f t="shared" si="69"/>
        <v>0</v>
      </c>
      <c r="G241" s="72">
        <v>1072.94</v>
      </c>
      <c r="H241" s="72"/>
      <c r="I241" s="72">
        <f t="shared" si="70"/>
        <v>1072.94</v>
      </c>
      <c r="J241" s="71">
        <f>6531.18+916.3</f>
        <v>7447.4800000000005</v>
      </c>
      <c r="K241" s="71"/>
      <c r="L241" s="71">
        <f t="shared" si="71"/>
        <v>8520.42</v>
      </c>
      <c r="M241" s="71">
        <f>2142.92</f>
        <v>2142.92</v>
      </c>
      <c r="N241" s="71"/>
      <c r="O241" s="71">
        <f t="shared" si="72"/>
        <v>10663.34</v>
      </c>
      <c r="P241" s="76"/>
      <c r="Q241" s="60">
        <f>10663.34+616.51</f>
        <v>11279.85</v>
      </c>
      <c r="R241" s="60">
        <v>11279.84</v>
      </c>
      <c r="S241" s="50">
        <f t="shared" si="61"/>
        <v>99.99991134633882</v>
      </c>
    </row>
    <row r="242" spans="1:19" ht="12.75">
      <c r="A242" s="33" t="s">
        <v>376</v>
      </c>
      <c r="B242" s="90">
        <v>4000</v>
      </c>
      <c r="C242" s="71"/>
      <c r="D242" s="71">
        <v>2113.87</v>
      </c>
      <c r="E242" s="71"/>
      <c r="F242" s="71">
        <f t="shared" si="69"/>
        <v>2113.87</v>
      </c>
      <c r="G242" s="72"/>
      <c r="H242" s="72"/>
      <c r="I242" s="72">
        <f t="shared" si="70"/>
        <v>2113.87</v>
      </c>
      <c r="J242" s="71"/>
      <c r="K242" s="71"/>
      <c r="L242" s="71">
        <f t="shared" si="71"/>
        <v>2113.87</v>
      </c>
      <c r="M242" s="71">
        <v>-2102.39</v>
      </c>
      <c r="N242" s="71"/>
      <c r="O242" s="71">
        <f t="shared" si="72"/>
        <v>11.480000000000018</v>
      </c>
      <c r="P242" s="76"/>
      <c r="Q242" s="60">
        <v>11.480000000000018</v>
      </c>
      <c r="R242" s="60">
        <v>0</v>
      </c>
      <c r="S242" s="50">
        <f t="shared" si="61"/>
        <v>0</v>
      </c>
    </row>
    <row r="243" spans="1:19" ht="12.75">
      <c r="A243" s="33" t="s">
        <v>377</v>
      </c>
      <c r="B243" s="90">
        <v>2100</v>
      </c>
      <c r="C243" s="71"/>
      <c r="D243" s="71">
        <f>1192.04</f>
        <v>1192.04</v>
      </c>
      <c r="E243" s="71"/>
      <c r="F243" s="71">
        <f t="shared" si="69"/>
        <v>1192.04</v>
      </c>
      <c r="G243" s="72"/>
      <c r="H243" s="72"/>
      <c r="I243" s="72">
        <f t="shared" si="70"/>
        <v>1192.04</v>
      </c>
      <c r="J243" s="71"/>
      <c r="K243" s="71"/>
      <c r="L243" s="71">
        <f t="shared" si="71"/>
        <v>1192.04</v>
      </c>
      <c r="M243" s="71">
        <f>12.29+10.3</f>
        <v>22.59</v>
      </c>
      <c r="N243" s="71"/>
      <c r="O243" s="71">
        <f t="shared" si="72"/>
        <v>1214.6299999999999</v>
      </c>
      <c r="P243" s="76"/>
      <c r="Q243" s="60">
        <v>1214.6299999999999</v>
      </c>
      <c r="R243" s="60">
        <v>199.89</v>
      </c>
      <c r="S243" s="50">
        <f t="shared" si="61"/>
        <v>16.456863406963436</v>
      </c>
    </row>
    <row r="244" spans="1:19" ht="12.75" hidden="1">
      <c r="A244" s="33" t="s">
        <v>276</v>
      </c>
      <c r="B244" s="90">
        <v>4100</v>
      </c>
      <c r="C244" s="71"/>
      <c r="D244" s="71">
        <v>1732.88</v>
      </c>
      <c r="E244" s="71"/>
      <c r="F244" s="71">
        <f t="shared" si="69"/>
        <v>1732.88</v>
      </c>
      <c r="G244" s="72"/>
      <c r="H244" s="72"/>
      <c r="I244" s="72">
        <f t="shared" si="70"/>
        <v>1732.88</v>
      </c>
      <c r="J244" s="71"/>
      <c r="K244" s="71"/>
      <c r="L244" s="71">
        <f t="shared" si="71"/>
        <v>1732.88</v>
      </c>
      <c r="M244" s="78">
        <f>122.84-1855.72</f>
        <v>-1732.88</v>
      </c>
      <c r="N244" s="71"/>
      <c r="O244" s="71">
        <f t="shared" si="72"/>
        <v>0</v>
      </c>
      <c r="P244" s="76"/>
      <c r="Q244" s="60">
        <v>0</v>
      </c>
      <c r="R244" s="60"/>
      <c r="S244" s="50"/>
    </row>
    <row r="245" spans="1:19" ht="12.75">
      <c r="A245" s="33" t="s">
        <v>314</v>
      </c>
      <c r="B245" s="90">
        <v>2200</v>
      </c>
      <c r="C245" s="71"/>
      <c r="D245" s="71">
        <v>2.37</v>
      </c>
      <c r="E245" s="71"/>
      <c r="F245" s="71">
        <f t="shared" si="69"/>
        <v>2.37</v>
      </c>
      <c r="G245" s="72"/>
      <c r="H245" s="72"/>
      <c r="I245" s="72">
        <f t="shared" si="70"/>
        <v>2.37</v>
      </c>
      <c r="J245" s="71"/>
      <c r="K245" s="71"/>
      <c r="L245" s="71">
        <f t="shared" si="71"/>
        <v>2.37</v>
      </c>
      <c r="M245" s="71"/>
      <c r="N245" s="71"/>
      <c r="O245" s="71">
        <f t="shared" si="72"/>
        <v>2.37</v>
      </c>
      <c r="P245" s="76"/>
      <c r="Q245" s="60">
        <v>2.37</v>
      </c>
      <c r="R245" s="60">
        <v>0</v>
      </c>
      <c r="S245" s="50">
        <f>R245/Q245*100</f>
        <v>0</v>
      </c>
    </row>
    <row r="246" spans="1:19" ht="12.75">
      <c r="A246" s="33" t="s">
        <v>178</v>
      </c>
      <c r="B246" s="90">
        <v>4200</v>
      </c>
      <c r="C246" s="71"/>
      <c r="D246" s="71">
        <f>1970.55</f>
        <v>1970.55</v>
      </c>
      <c r="E246" s="71"/>
      <c r="F246" s="71">
        <f t="shared" si="69"/>
        <v>1970.55</v>
      </c>
      <c r="G246" s="72"/>
      <c r="H246" s="72"/>
      <c r="I246" s="72">
        <f t="shared" si="70"/>
        <v>1970.55</v>
      </c>
      <c r="J246" s="71"/>
      <c r="K246" s="71"/>
      <c r="L246" s="71">
        <f t="shared" si="71"/>
        <v>1970.55</v>
      </c>
      <c r="M246" s="71">
        <v>-1948.71</v>
      </c>
      <c r="N246" s="71"/>
      <c r="O246" s="71">
        <f t="shared" si="72"/>
        <v>21.839999999999918</v>
      </c>
      <c r="P246" s="76"/>
      <c r="Q246" s="60">
        <v>21.839999999999918</v>
      </c>
      <c r="R246" s="60">
        <v>0</v>
      </c>
      <c r="S246" s="50">
        <f>R246/Q246*100</f>
        <v>0</v>
      </c>
    </row>
    <row r="247" spans="1:19" ht="12.75">
      <c r="A247" s="44" t="s">
        <v>315</v>
      </c>
      <c r="B247" s="94">
        <v>2300</v>
      </c>
      <c r="C247" s="95"/>
      <c r="D247" s="95">
        <v>13.17</v>
      </c>
      <c r="E247" s="95"/>
      <c r="F247" s="95">
        <f t="shared" si="69"/>
        <v>13.17</v>
      </c>
      <c r="G247" s="96"/>
      <c r="H247" s="96"/>
      <c r="I247" s="96">
        <f t="shared" si="70"/>
        <v>13.17</v>
      </c>
      <c r="J247" s="95"/>
      <c r="K247" s="95"/>
      <c r="L247" s="95">
        <f t="shared" si="71"/>
        <v>13.17</v>
      </c>
      <c r="M247" s="95">
        <f>10.01</f>
        <v>10.01</v>
      </c>
      <c r="N247" s="95"/>
      <c r="O247" s="95">
        <f t="shared" si="72"/>
        <v>23.18</v>
      </c>
      <c r="P247" s="97"/>
      <c r="Q247" s="53">
        <v>23.18</v>
      </c>
      <c r="R247" s="53">
        <v>0</v>
      </c>
      <c r="S247" s="52">
        <f>R247/Q247*100</f>
        <v>0</v>
      </c>
    </row>
    <row r="248" spans="1:19" ht="12.75" hidden="1">
      <c r="A248" s="7" t="s">
        <v>84</v>
      </c>
      <c r="B248" s="90"/>
      <c r="C248" s="71"/>
      <c r="D248" s="71"/>
      <c r="E248" s="71"/>
      <c r="F248" s="71">
        <f t="shared" si="69"/>
        <v>0</v>
      </c>
      <c r="G248" s="72"/>
      <c r="H248" s="72"/>
      <c r="I248" s="72">
        <f t="shared" si="70"/>
        <v>0</v>
      </c>
      <c r="J248" s="71"/>
      <c r="K248" s="71"/>
      <c r="L248" s="71">
        <f t="shared" si="71"/>
        <v>0</v>
      </c>
      <c r="M248" s="71"/>
      <c r="N248" s="71"/>
      <c r="O248" s="71">
        <f t="shared" si="72"/>
        <v>0</v>
      </c>
      <c r="P248" s="76"/>
      <c r="Q248" s="60">
        <v>0</v>
      </c>
      <c r="R248" s="60"/>
      <c r="S248" s="50"/>
    </row>
    <row r="249" spans="1:19" ht="12.75" hidden="1">
      <c r="A249" s="7" t="s">
        <v>69</v>
      </c>
      <c r="B249" s="90"/>
      <c r="C249" s="71"/>
      <c r="D249" s="71"/>
      <c r="E249" s="71"/>
      <c r="F249" s="71">
        <f t="shared" si="69"/>
        <v>0</v>
      </c>
      <c r="G249" s="72"/>
      <c r="H249" s="72"/>
      <c r="I249" s="72">
        <f t="shared" si="70"/>
        <v>0</v>
      </c>
      <c r="J249" s="71"/>
      <c r="K249" s="71"/>
      <c r="L249" s="71">
        <f t="shared" si="71"/>
        <v>0</v>
      </c>
      <c r="M249" s="71"/>
      <c r="N249" s="71"/>
      <c r="O249" s="71">
        <f t="shared" si="72"/>
        <v>0</v>
      </c>
      <c r="P249" s="76"/>
      <c r="Q249" s="60">
        <v>0</v>
      </c>
      <c r="R249" s="60"/>
      <c r="S249" s="50"/>
    </row>
    <row r="250" spans="1:19" ht="12.75" hidden="1">
      <c r="A250" s="10" t="s">
        <v>96</v>
      </c>
      <c r="B250" s="94"/>
      <c r="C250" s="95"/>
      <c r="D250" s="95"/>
      <c r="E250" s="95"/>
      <c r="F250" s="95">
        <f t="shared" si="69"/>
        <v>0</v>
      </c>
      <c r="G250" s="96"/>
      <c r="H250" s="96"/>
      <c r="I250" s="96">
        <f t="shared" si="70"/>
        <v>0</v>
      </c>
      <c r="J250" s="95"/>
      <c r="K250" s="95"/>
      <c r="L250" s="95">
        <f t="shared" si="71"/>
        <v>0</v>
      </c>
      <c r="M250" s="95"/>
      <c r="N250" s="95"/>
      <c r="O250" s="95">
        <f t="shared" si="72"/>
        <v>0</v>
      </c>
      <c r="P250" s="97"/>
      <c r="Q250" s="53">
        <v>0</v>
      </c>
      <c r="R250" s="60"/>
      <c r="S250" s="50"/>
    </row>
    <row r="251" spans="1:19" ht="12.75">
      <c r="A251" s="4" t="s">
        <v>100</v>
      </c>
      <c r="B251" s="91"/>
      <c r="C251" s="67">
        <f>C252+C291</f>
        <v>334369.7</v>
      </c>
      <c r="D251" s="67">
        <f>D252+D291</f>
        <v>4392672.67</v>
      </c>
      <c r="E251" s="67">
        <f>E252+E291</f>
        <v>727.7</v>
      </c>
      <c r="F251" s="67">
        <f>F252+F291</f>
        <v>4727770.07</v>
      </c>
      <c r="G251" s="68">
        <f aca="true" t="shared" si="73" ref="G251:P251">G252+G291</f>
        <v>65552.09999999999</v>
      </c>
      <c r="H251" s="68">
        <f t="shared" si="73"/>
        <v>0</v>
      </c>
      <c r="I251" s="68">
        <f t="shared" si="73"/>
        <v>4793322.17</v>
      </c>
      <c r="J251" s="67">
        <f t="shared" si="73"/>
        <v>53603.02</v>
      </c>
      <c r="K251" s="67">
        <f t="shared" si="73"/>
        <v>0</v>
      </c>
      <c r="L251" s="67">
        <f t="shared" si="73"/>
        <v>4846925.19</v>
      </c>
      <c r="M251" s="67">
        <f>M252+M291</f>
        <v>82000.57</v>
      </c>
      <c r="N251" s="67">
        <f>N252+N291</f>
        <v>23141.25</v>
      </c>
      <c r="O251" s="67">
        <f>O252+O291</f>
        <v>4952067.01</v>
      </c>
      <c r="P251" s="67">
        <f t="shared" si="73"/>
        <v>-32.879999999999995</v>
      </c>
      <c r="Q251" s="67">
        <f>Q252+Q291</f>
        <v>4952034.13</v>
      </c>
      <c r="R251" s="68">
        <f>R252+R291</f>
        <v>4951701.130000001</v>
      </c>
      <c r="S251" s="148">
        <f t="shared" si="61"/>
        <v>99.99327549061138</v>
      </c>
    </row>
    <row r="252" spans="1:19" ht="12.75">
      <c r="A252" s="13" t="s">
        <v>63</v>
      </c>
      <c r="B252" s="91"/>
      <c r="C252" s="88">
        <f>SUM(C254:C290)</f>
        <v>334369.7</v>
      </c>
      <c r="D252" s="88">
        <f>SUM(D254:D290)</f>
        <v>4392672.67</v>
      </c>
      <c r="E252" s="88">
        <f>SUM(E254:E290)</f>
        <v>727.7</v>
      </c>
      <c r="F252" s="88">
        <f>SUM(F254:F290)</f>
        <v>4727770.07</v>
      </c>
      <c r="G252" s="89">
        <f aca="true" t="shared" si="74" ref="G252:P252">SUM(G254:G290)</f>
        <v>65222.09999999999</v>
      </c>
      <c r="H252" s="89">
        <f t="shared" si="74"/>
        <v>0</v>
      </c>
      <c r="I252" s="89">
        <f t="shared" si="74"/>
        <v>4792992.17</v>
      </c>
      <c r="J252" s="88">
        <f t="shared" si="74"/>
        <v>53603.02</v>
      </c>
      <c r="K252" s="88">
        <f t="shared" si="74"/>
        <v>0</v>
      </c>
      <c r="L252" s="88">
        <f t="shared" si="74"/>
        <v>4846595.19</v>
      </c>
      <c r="M252" s="88">
        <f>SUM(M254:M290)</f>
        <v>78250.57</v>
      </c>
      <c r="N252" s="88">
        <f>SUM(N254:N290)</f>
        <v>23141.25</v>
      </c>
      <c r="O252" s="88">
        <f>SUM(O254:O290)</f>
        <v>4947987.01</v>
      </c>
      <c r="P252" s="88">
        <f t="shared" si="74"/>
        <v>-64.38</v>
      </c>
      <c r="Q252" s="88">
        <f>SUM(Q254:Q290)</f>
        <v>4947922.63</v>
      </c>
      <c r="R252" s="89">
        <f>SUM(R254:R290)</f>
        <v>4947589.630000001</v>
      </c>
      <c r="S252" s="150">
        <f t="shared" si="61"/>
        <v>99.99326990284811</v>
      </c>
    </row>
    <row r="253" spans="1:19" ht="12.75">
      <c r="A253" s="5" t="s">
        <v>34</v>
      </c>
      <c r="B253" s="90"/>
      <c r="C253" s="71"/>
      <c r="D253" s="71"/>
      <c r="E253" s="71"/>
      <c r="F253" s="71"/>
      <c r="G253" s="72"/>
      <c r="H253" s="72"/>
      <c r="I253" s="72"/>
      <c r="J253" s="71"/>
      <c r="K253" s="71"/>
      <c r="L253" s="71"/>
      <c r="M253" s="71"/>
      <c r="N253" s="71"/>
      <c r="O253" s="71"/>
      <c r="P253" s="76"/>
      <c r="Q253" s="60"/>
      <c r="R253" s="60"/>
      <c r="S253" s="50"/>
    </row>
    <row r="254" spans="1:19" ht="12.75">
      <c r="A254" s="11" t="s">
        <v>92</v>
      </c>
      <c r="B254" s="90"/>
      <c r="C254" s="71">
        <v>311920.7</v>
      </c>
      <c r="D254" s="71">
        <v>4740.5</v>
      </c>
      <c r="E254" s="71">
        <v>727.7</v>
      </c>
      <c r="F254" s="71">
        <f>C254+D254+E254</f>
        <v>317388.9</v>
      </c>
      <c r="G254" s="72">
        <f>500+131+2975.3+160</f>
        <v>3766.3</v>
      </c>
      <c r="H254" s="72"/>
      <c r="I254" s="72">
        <f>F254+G254+H254</f>
        <v>321155.2</v>
      </c>
      <c r="J254" s="71">
        <f>7077.8+1170</f>
        <v>8247.8</v>
      </c>
      <c r="K254" s="71"/>
      <c r="L254" s="71">
        <f>I254+J254+K254</f>
        <v>329403</v>
      </c>
      <c r="M254" s="71">
        <f>3184.2+473.3+200</f>
        <v>3857.5</v>
      </c>
      <c r="N254" s="71"/>
      <c r="O254" s="71">
        <f>L254+M254+N254</f>
        <v>333260.5</v>
      </c>
      <c r="P254" s="76">
        <f>74.5</f>
        <v>74.5</v>
      </c>
      <c r="Q254" s="60">
        <v>333335</v>
      </c>
      <c r="R254" s="60">
        <v>333335</v>
      </c>
      <c r="S254" s="50">
        <f t="shared" si="61"/>
        <v>100</v>
      </c>
    </row>
    <row r="255" spans="1:19" ht="12.75">
      <c r="A255" s="11" t="s">
        <v>101</v>
      </c>
      <c r="B255" s="90"/>
      <c r="C255" s="71"/>
      <c r="D255" s="71"/>
      <c r="E255" s="71"/>
      <c r="F255" s="71"/>
      <c r="G255" s="72"/>
      <c r="H255" s="72"/>
      <c r="I255" s="72"/>
      <c r="J255" s="71"/>
      <c r="K255" s="71"/>
      <c r="L255" s="71"/>
      <c r="M255" s="71"/>
      <c r="N255" s="71"/>
      <c r="O255" s="71"/>
      <c r="P255" s="76"/>
      <c r="Q255" s="60"/>
      <c r="R255" s="60"/>
      <c r="S255" s="50"/>
    </row>
    <row r="256" spans="1:19" ht="12.75">
      <c r="A256" s="11" t="s">
        <v>102</v>
      </c>
      <c r="B256" s="90">
        <v>33353</v>
      </c>
      <c r="C256" s="71"/>
      <c r="D256" s="71">
        <v>1485863</v>
      </c>
      <c r="E256" s="71"/>
      <c r="F256" s="71">
        <f aca="true" t="shared" si="75" ref="F256:F290">C256+D256+E256</f>
        <v>1485863</v>
      </c>
      <c r="G256" s="72"/>
      <c r="H256" s="72"/>
      <c r="I256" s="72">
        <f aca="true" t="shared" si="76" ref="I256:I290">F256+G256+H256</f>
        <v>1485863</v>
      </c>
      <c r="J256" s="71"/>
      <c r="K256" s="71"/>
      <c r="L256" s="71">
        <f aca="true" t="shared" si="77" ref="L256:L290">I256+J256+K256</f>
        <v>1485863</v>
      </c>
      <c r="M256" s="71"/>
      <c r="N256" s="71"/>
      <c r="O256" s="71">
        <f aca="true" t="shared" si="78" ref="O256:O290">L256+M256+N256</f>
        <v>1485863</v>
      </c>
      <c r="P256" s="76"/>
      <c r="Q256" s="60">
        <v>1485863</v>
      </c>
      <c r="R256" s="60">
        <v>1485863</v>
      </c>
      <c r="S256" s="50">
        <f t="shared" si="61"/>
        <v>100</v>
      </c>
    </row>
    <row r="257" spans="1:19" ht="12.75">
      <c r="A257" s="11" t="s">
        <v>103</v>
      </c>
      <c r="B257" s="90">
        <v>33155</v>
      </c>
      <c r="C257" s="71"/>
      <c r="D257" s="71">
        <v>47490</v>
      </c>
      <c r="E257" s="71"/>
      <c r="F257" s="71">
        <f t="shared" si="75"/>
        <v>47490</v>
      </c>
      <c r="G257" s="72">
        <v>47220</v>
      </c>
      <c r="H257" s="72"/>
      <c r="I257" s="72">
        <f t="shared" si="76"/>
        <v>94710</v>
      </c>
      <c r="J257" s="71">
        <v>47350</v>
      </c>
      <c r="K257" s="71"/>
      <c r="L257" s="71">
        <f t="shared" si="77"/>
        <v>142060</v>
      </c>
      <c r="M257" s="71">
        <v>46463</v>
      </c>
      <c r="N257" s="71"/>
      <c r="O257" s="71">
        <f t="shared" si="78"/>
        <v>188523</v>
      </c>
      <c r="P257" s="76">
        <f>-32.88</f>
        <v>-32.88</v>
      </c>
      <c r="Q257" s="60">
        <v>188490.12</v>
      </c>
      <c r="R257" s="60">
        <v>188490.12</v>
      </c>
      <c r="S257" s="50">
        <f t="shared" si="61"/>
        <v>100</v>
      </c>
    </row>
    <row r="258" spans="1:19" ht="12.75">
      <c r="A258" s="11" t="s">
        <v>104</v>
      </c>
      <c r="B258" s="90">
        <v>33353</v>
      </c>
      <c r="C258" s="71"/>
      <c r="D258" s="78">
        <v>2837348</v>
      </c>
      <c r="E258" s="71"/>
      <c r="F258" s="71">
        <f t="shared" si="75"/>
        <v>2837348</v>
      </c>
      <c r="G258" s="72"/>
      <c r="H258" s="72"/>
      <c r="I258" s="72">
        <f t="shared" si="76"/>
        <v>2837348</v>
      </c>
      <c r="J258" s="71"/>
      <c r="K258" s="71"/>
      <c r="L258" s="71">
        <f t="shared" si="77"/>
        <v>2837348</v>
      </c>
      <c r="M258" s="71"/>
      <c r="N258" s="71"/>
      <c r="O258" s="71">
        <f t="shared" si="78"/>
        <v>2837348</v>
      </c>
      <c r="P258" s="76"/>
      <c r="Q258" s="60">
        <v>2837348</v>
      </c>
      <c r="R258" s="60">
        <v>2837348</v>
      </c>
      <c r="S258" s="50">
        <f t="shared" si="61"/>
        <v>100</v>
      </c>
    </row>
    <row r="259" spans="1:19" ht="12.75">
      <c r="A259" s="11" t="s">
        <v>105</v>
      </c>
      <c r="B259" s="90">
        <v>33122</v>
      </c>
      <c r="C259" s="71"/>
      <c r="D259" s="71">
        <f>135.8+20.7</f>
        <v>156.5</v>
      </c>
      <c r="E259" s="71"/>
      <c r="F259" s="71">
        <f t="shared" si="75"/>
        <v>156.5</v>
      </c>
      <c r="G259" s="72"/>
      <c r="H259" s="72"/>
      <c r="I259" s="72">
        <f t="shared" si="76"/>
        <v>156.5</v>
      </c>
      <c r="J259" s="71"/>
      <c r="K259" s="71"/>
      <c r="L259" s="71">
        <f t="shared" si="77"/>
        <v>156.5</v>
      </c>
      <c r="M259" s="71"/>
      <c r="N259" s="71">
        <v>-0.89</v>
      </c>
      <c r="O259" s="71">
        <f t="shared" si="78"/>
        <v>155.61</v>
      </c>
      <c r="P259" s="76"/>
      <c r="Q259" s="60">
        <v>155.61</v>
      </c>
      <c r="R259" s="60">
        <v>155.61</v>
      </c>
      <c r="S259" s="50">
        <f t="shared" si="61"/>
        <v>100</v>
      </c>
    </row>
    <row r="260" spans="1:19" ht="12.75">
      <c r="A260" s="27" t="s">
        <v>336</v>
      </c>
      <c r="B260" s="90">
        <v>33047</v>
      </c>
      <c r="C260" s="71"/>
      <c r="D260" s="71"/>
      <c r="E260" s="71"/>
      <c r="F260" s="71">
        <f t="shared" si="75"/>
        <v>0</v>
      </c>
      <c r="G260" s="72"/>
      <c r="H260" s="72"/>
      <c r="I260" s="72">
        <f t="shared" si="76"/>
        <v>0</v>
      </c>
      <c r="J260" s="71">
        <v>1169.7</v>
      </c>
      <c r="K260" s="71"/>
      <c r="L260" s="71">
        <f t="shared" si="77"/>
        <v>1169.7</v>
      </c>
      <c r="M260" s="71"/>
      <c r="N260" s="71"/>
      <c r="O260" s="71">
        <f t="shared" si="78"/>
        <v>1169.7</v>
      </c>
      <c r="P260" s="76"/>
      <c r="Q260" s="60">
        <v>1169.7</v>
      </c>
      <c r="R260" s="60">
        <v>1169.7</v>
      </c>
      <c r="S260" s="50">
        <f t="shared" si="61"/>
        <v>100</v>
      </c>
    </row>
    <row r="261" spans="1:19" ht="12.75">
      <c r="A261" s="11" t="s">
        <v>337</v>
      </c>
      <c r="B261" s="90">
        <v>33050</v>
      </c>
      <c r="C261" s="71"/>
      <c r="D261" s="71"/>
      <c r="E261" s="71"/>
      <c r="F261" s="71">
        <f t="shared" si="75"/>
        <v>0</v>
      </c>
      <c r="G261" s="72"/>
      <c r="H261" s="72"/>
      <c r="I261" s="72">
        <f t="shared" si="76"/>
        <v>0</v>
      </c>
      <c r="J261" s="71">
        <v>2617.92</v>
      </c>
      <c r="K261" s="71"/>
      <c r="L261" s="71">
        <f t="shared" si="77"/>
        <v>2617.92</v>
      </c>
      <c r="M261" s="71"/>
      <c r="N261" s="71">
        <v>-91.74</v>
      </c>
      <c r="O261" s="71">
        <f t="shared" si="78"/>
        <v>2526.1800000000003</v>
      </c>
      <c r="P261" s="76"/>
      <c r="Q261" s="60">
        <v>2526.1800000000003</v>
      </c>
      <c r="R261" s="60">
        <v>2526.18</v>
      </c>
      <c r="S261" s="50">
        <f t="shared" si="61"/>
        <v>99.99999999999997</v>
      </c>
    </row>
    <row r="262" spans="1:19" ht="12.75" hidden="1">
      <c r="A262" s="11" t="s">
        <v>106</v>
      </c>
      <c r="B262" s="90"/>
      <c r="C262" s="71"/>
      <c r="D262" s="71"/>
      <c r="E262" s="71"/>
      <c r="F262" s="71">
        <f t="shared" si="75"/>
        <v>0</v>
      </c>
      <c r="G262" s="72"/>
      <c r="H262" s="72"/>
      <c r="I262" s="72">
        <f t="shared" si="76"/>
        <v>0</v>
      </c>
      <c r="J262" s="71"/>
      <c r="K262" s="71"/>
      <c r="L262" s="71">
        <f t="shared" si="77"/>
        <v>0</v>
      </c>
      <c r="M262" s="71"/>
      <c r="N262" s="71"/>
      <c r="O262" s="71">
        <f t="shared" si="78"/>
        <v>0</v>
      </c>
      <c r="P262" s="76"/>
      <c r="Q262" s="60">
        <v>0</v>
      </c>
      <c r="R262" s="60"/>
      <c r="S262" s="50" t="e">
        <f t="shared" si="61"/>
        <v>#DIV/0!</v>
      </c>
    </row>
    <row r="263" spans="1:19" ht="12.75" hidden="1">
      <c r="A263" s="11" t="s">
        <v>172</v>
      </c>
      <c r="B263" s="90"/>
      <c r="C263" s="71"/>
      <c r="D263" s="71"/>
      <c r="E263" s="71"/>
      <c r="F263" s="71">
        <f t="shared" si="75"/>
        <v>0</v>
      </c>
      <c r="G263" s="72"/>
      <c r="H263" s="72"/>
      <c r="I263" s="72">
        <f t="shared" si="76"/>
        <v>0</v>
      </c>
      <c r="J263" s="71"/>
      <c r="K263" s="71"/>
      <c r="L263" s="71">
        <f t="shared" si="77"/>
        <v>0</v>
      </c>
      <c r="M263" s="71"/>
      <c r="N263" s="71"/>
      <c r="O263" s="71">
        <f t="shared" si="78"/>
        <v>0</v>
      </c>
      <c r="P263" s="76"/>
      <c r="Q263" s="60">
        <v>0</v>
      </c>
      <c r="R263" s="60"/>
      <c r="S263" s="50" t="e">
        <f t="shared" si="61"/>
        <v>#DIV/0!</v>
      </c>
    </row>
    <row r="264" spans="1:19" ht="12.75">
      <c r="A264" s="11" t="s">
        <v>249</v>
      </c>
      <c r="B264" s="90">
        <v>33215</v>
      </c>
      <c r="C264" s="71"/>
      <c r="D264" s="71">
        <v>5743.51</v>
      </c>
      <c r="E264" s="71"/>
      <c r="F264" s="71">
        <f t="shared" si="75"/>
        <v>5743.51</v>
      </c>
      <c r="G264" s="72"/>
      <c r="H264" s="72"/>
      <c r="I264" s="72">
        <f t="shared" si="76"/>
        <v>5743.51</v>
      </c>
      <c r="J264" s="71"/>
      <c r="K264" s="71"/>
      <c r="L264" s="71">
        <f t="shared" si="77"/>
        <v>5743.51</v>
      </c>
      <c r="M264" s="71">
        <f>277.5</f>
        <v>277.5</v>
      </c>
      <c r="N264" s="71"/>
      <c r="O264" s="71">
        <f t="shared" si="78"/>
        <v>6021.01</v>
      </c>
      <c r="P264" s="76"/>
      <c r="Q264" s="60">
        <v>6021.01</v>
      </c>
      <c r="R264" s="60">
        <v>6021.01</v>
      </c>
      <c r="S264" s="50">
        <f t="shared" si="61"/>
        <v>100</v>
      </c>
    </row>
    <row r="265" spans="1:19" ht="12.75">
      <c r="A265" s="11" t="s">
        <v>250</v>
      </c>
      <c r="B265" s="90">
        <v>33457</v>
      </c>
      <c r="C265" s="71"/>
      <c r="D265" s="71">
        <f>434.52+9017.38</f>
        <v>9451.9</v>
      </c>
      <c r="E265" s="71"/>
      <c r="F265" s="71">
        <f t="shared" si="75"/>
        <v>9451.9</v>
      </c>
      <c r="G265" s="72"/>
      <c r="H265" s="72"/>
      <c r="I265" s="72">
        <f t="shared" si="76"/>
        <v>9451.9</v>
      </c>
      <c r="J265" s="71"/>
      <c r="K265" s="71"/>
      <c r="L265" s="71">
        <f t="shared" si="77"/>
        <v>9451.9</v>
      </c>
      <c r="M265" s="71">
        <f>54.32+948.7</f>
        <v>1003.0200000000001</v>
      </c>
      <c r="N265" s="78">
        <v>-189.56</v>
      </c>
      <c r="O265" s="71">
        <f t="shared" si="78"/>
        <v>10265.36</v>
      </c>
      <c r="P265" s="76"/>
      <c r="Q265" s="60">
        <v>10265.36</v>
      </c>
      <c r="R265" s="60">
        <v>10265.36</v>
      </c>
      <c r="S265" s="50">
        <f t="shared" si="61"/>
        <v>100</v>
      </c>
    </row>
    <row r="266" spans="1:19" ht="12.75">
      <c r="A266" s="11" t="s">
        <v>320</v>
      </c>
      <c r="B266" s="90">
        <v>33049</v>
      </c>
      <c r="C266" s="71"/>
      <c r="D266" s="71"/>
      <c r="E266" s="71"/>
      <c r="F266" s="71">
        <f t="shared" si="75"/>
        <v>0</v>
      </c>
      <c r="G266" s="72">
        <v>13685</v>
      </c>
      <c r="H266" s="72"/>
      <c r="I266" s="72">
        <f t="shared" si="76"/>
        <v>13685</v>
      </c>
      <c r="J266" s="71"/>
      <c r="K266" s="71"/>
      <c r="L266" s="71">
        <f t="shared" si="77"/>
        <v>13685</v>
      </c>
      <c r="M266" s="71"/>
      <c r="N266" s="71">
        <v>-1.59</v>
      </c>
      <c r="O266" s="71">
        <f t="shared" si="78"/>
        <v>13683.41</v>
      </c>
      <c r="P266" s="76"/>
      <c r="Q266" s="60">
        <v>13683.41</v>
      </c>
      <c r="R266" s="60">
        <v>13683.41</v>
      </c>
      <c r="S266" s="50">
        <f t="shared" si="61"/>
        <v>100</v>
      </c>
    </row>
    <row r="267" spans="1:19" ht="12.75">
      <c r="A267" s="27" t="s">
        <v>350</v>
      </c>
      <c r="B267" s="90">
        <v>33051</v>
      </c>
      <c r="C267" s="71"/>
      <c r="D267" s="71"/>
      <c r="E267" s="71"/>
      <c r="F267" s="71">
        <f t="shared" si="75"/>
        <v>0</v>
      </c>
      <c r="G267" s="72"/>
      <c r="H267" s="72"/>
      <c r="I267" s="72">
        <f t="shared" si="76"/>
        <v>0</v>
      </c>
      <c r="J267" s="71"/>
      <c r="K267" s="71"/>
      <c r="L267" s="71">
        <f t="shared" si="77"/>
        <v>0</v>
      </c>
      <c r="M267" s="71">
        <f>8540.48</f>
        <v>8540.48</v>
      </c>
      <c r="N267" s="71"/>
      <c r="O267" s="71">
        <f t="shared" si="78"/>
        <v>8540.48</v>
      </c>
      <c r="P267" s="76"/>
      <c r="Q267" s="60">
        <v>8540.48</v>
      </c>
      <c r="R267" s="60">
        <v>8540.48</v>
      </c>
      <c r="S267" s="50">
        <f aca="true" t="shared" si="79" ref="S267:S330">R267/Q267*100</f>
        <v>100</v>
      </c>
    </row>
    <row r="268" spans="1:19" ht="12.75">
      <c r="A268" s="27" t="s">
        <v>353</v>
      </c>
      <c r="B268" s="90">
        <v>33052</v>
      </c>
      <c r="C268" s="71"/>
      <c r="D268" s="71"/>
      <c r="E268" s="71"/>
      <c r="F268" s="71"/>
      <c r="G268" s="72"/>
      <c r="H268" s="72"/>
      <c r="I268" s="72"/>
      <c r="J268" s="71"/>
      <c r="K268" s="71"/>
      <c r="L268" s="71">
        <f t="shared" si="77"/>
        <v>0</v>
      </c>
      <c r="M268" s="71">
        <v>24134.51</v>
      </c>
      <c r="N268" s="71"/>
      <c r="O268" s="71">
        <f t="shared" si="78"/>
        <v>24134.51</v>
      </c>
      <c r="P268" s="76"/>
      <c r="Q268" s="60">
        <v>24134.51</v>
      </c>
      <c r="R268" s="60">
        <v>24134.51</v>
      </c>
      <c r="S268" s="50">
        <f t="shared" si="79"/>
        <v>100</v>
      </c>
    </row>
    <row r="269" spans="1:19" ht="12.75">
      <c r="A269" s="27" t="s">
        <v>212</v>
      </c>
      <c r="B269" s="90">
        <v>33034</v>
      </c>
      <c r="C269" s="71"/>
      <c r="D269" s="71"/>
      <c r="E269" s="71"/>
      <c r="F269" s="71">
        <f t="shared" si="75"/>
        <v>0</v>
      </c>
      <c r="G269" s="72"/>
      <c r="H269" s="72"/>
      <c r="I269" s="72">
        <f t="shared" si="76"/>
        <v>0</v>
      </c>
      <c r="J269" s="71"/>
      <c r="K269" s="71"/>
      <c r="L269" s="71">
        <f t="shared" si="77"/>
        <v>0</v>
      </c>
      <c r="M269" s="71">
        <f>152.49+605.83</f>
        <v>758.32</v>
      </c>
      <c r="N269" s="71">
        <v>-18.23</v>
      </c>
      <c r="O269" s="71">
        <f t="shared" si="78"/>
        <v>740.09</v>
      </c>
      <c r="P269" s="76"/>
      <c r="Q269" s="60">
        <v>740.09</v>
      </c>
      <c r="R269" s="60">
        <v>740.09</v>
      </c>
      <c r="S269" s="50">
        <f t="shared" si="79"/>
        <v>100</v>
      </c>
    </row>
    <row r="270" spans="1:19" ht="12.75">
      <c r="A270" s="11" t="s">
        <v>200</v>
      </c>
      <c r="B270" s="90">
        <v>33435</v>
      </c>
      <c r="C270" s="71"/>
      <c r="D270" s="71">
        <v>770.09</v>
      </c>
      <c r="E270" s="71"/>
      <c r="F270" s="71">
        <f t="shared" si="75"/>
        <v>770.09</v>
      </c>
      <c r="G270" s="72"/>
      <c r="H270" s="72"/>
      <c r="I270" s="72">
        <f t="shared" si="76"/>
        <v>770.09</v>
      </c>
      <c r="J270" s="71"/>
      <c r="K270" s="71"/>
      <c r="L270" s="71">
        <f t="shared" si="77"/>
        <v>770.09</v>
      </c>
      <c r="M270" s="71"/>
      <c r="N270" s="71"/>
      <c r="O270" s="71">
        <f t="shared" si="78"/>
        <v>770.09</v>
      </c>
      <c r="P270" s="76"/>
      <c r="Q270" s="60">
        <v>770.09</v>
      </c>
      <c r="R270" s="60">
        <v>770.09</v>
      </c>
      <c r="S270" s="50">
        <f t="shared" si="79"/>
        <v>100</v>
      </c>
    </row>
    <row r="271" spans="1:19" ht="12.75">
      <c r="A271" s="27" t="s">
        <v>321</v>
      </c>
      <c r="B271" s="90">
        <v>33024</v>
      </c>
      <c r="C271" s="71"/>
      <c r="D271" s="71"/>
      <c r="E271" s="71"/>
      <c r="F271" s="71">
        <f t="shared" si="75"/>
        <v>0</v>
      </c>
      <c r="G271" s="72">
        <v>74.74</v>
      </c>
      <c r="H271" s="72"/>
      <c r="I271" s="72">
        <f t="shared" si="76"/>
        <v>74.74</v>
      </c>
      <c r="J271" s="71"/>
      <c r="K271" s="71"/>
      <c r="L271" s="71">
        <f t="shared" si="77"/>
        <v>74.74</v>
      </c>
      <c r="M271" s="71"/>
      <c r="N271" s="71"/>
      <c r="O271" s="71">
        <f t="shared" si="78"/>
        <v>74.74</v>
      </c>
      <c r="P271" s="76"/>
      <c r="Q271" s="60">
        <v>74.74</v>
      </c>
      <c r="R271" s="60">
        <v>74.74</v>
      </c>
      <c r="S271" s="50">
        <f t="shared" si="79"/>
        <v>100</v>
      </c>
    </row>
    <row r="272" spans="1:19" ht="12.75">
      <c r="A272" s="27" t="s">
        <v>211</v>
      </c>
      <c r="B272" s="90">
        <v>33018</v>
      </c>
      <c r="C272" s="71"/>
      <c r="D272" s="71">
        <v>952.82</v>
      </c>
      <c r="E272" s="71"/>
      <c r="F272" s="71">
        <f t="shared" si="75"/>
        <v>952.82</v>
      </c>
      <c r="G272" s="72"/>
      <c r="H272" s="72"/>
      <c r="I272" s="72">
        <f t="shared" si="76"/>
        <v>952.82</v>
      </c>
      <c r="J272" s="71"/>
      <c r="K272" s="71"/>
      <c r="L272" s="71">
        <f t="shared" si="77"/>
        <v>952.82</v>
      </c>
      <c r="M272" s="71"/>
      <c r="N272" s="71"/>
      <c r="O272" s="71">
        <f t="shared" si="78"/>
        <v>952.82</v>
      </c>
      <c r="P272" s="76"/>
      <c r="Q272" s="60">
        <v>952.82</v>
      </c>
      <c r="R272" s="60">
        <v>952.82</v>
      </c>
      <c r="S272" s="50">
        <f t="shared" si="79"/>
        <v>100</v>
      </c>
    </row>
    <row r="273" spans="1:19" ht="12.75" hidden="1">
      <c r="A273" s="9" t="s">
        <v>213</v>
      </c>
      <c r="B273" s="90"/>
      <c r="C273" s="71"/>
      <c r="D273" s="71"/>
      <c r="E273" s="71"/>
      <c r="F273" s="71">
        <f t="shared" si="75"/>
        <v>0</v>
      </c>
      <c r="G273" s="72"/>
      <c r="H273" s="72"/>
      <c r="I273" s="72">
        <f t="shared" si="76"/>
        <v>0</v>
      </c>
      <c r="J273" s="71"/>
      <c r="K273" s="71"/>
      <c r="L273" s="71">
        <f t="shared" si="77"/>
        <v>0</v>
      </c>
      <c r="M273" s="71"/>
      <c r="N273" s="71"/>
      <c r="O273" s="71">
        <f t="shared" si="78"/>
        <v>0</v>
      </c>
      <c r="P273" s="76"/>
      <c r="Q273" s="60">
        <v>0</v>
      </c>
      <c r="R273" s="60"/>
      <c r="S273" s="50" t="e">
        <f t="shared" si="79"/>
        <v>#DIV/0!</v>
      </c>
    </row>
    <row r="274" spans="1:19" ht="12.75">
      <c r="A274" s="27" t="s">
        <v>251</v>
      </c>
      <c r="B274" s="90">
        <v>33160</v>
      </c>
      <c r="C274" s="71"/>
      <c r="D274" s="71">
        <v>190.2</v>
      </c>
      <c r="E274" s="71"/>
      <c r="F274" s="71">
        <f t="shared" si="75"/>
        <v>190.2</v>
      </c>
      <c r="G274" s="72"/>
      <c r="H274" s="72"/>
      <c r="I274" s="72">
        <f t="shared" si="76"/>
        <v>190.2</v>
      </c>
      <c r="J274" s="71"/>
      <c r="K274" s="71"/>
      <c r="L274" s="71">
        <f t="shared" si="77"/>
        <v>190.2</v>
      </c>
      <c r="M274" s="71">
        <f>118.3-112.16-4</f>
        <v>2.1400000000000006</v>
      </c>
      <c r="N274" s="71">
        <v>-12.7</v>
      </c>
      <c r="O274" s="71">
        <f t="shared" si="78"/>
        <v>179.64</v>
      </c>
      <c r="P274" s="76"/>
      <c r="Q274" s="60">
        <v>179.64</v>
      </c>
      <c r="R274" s="60">
        <v>179.64</v>
      </c>
      <c r="S274" s="50">
        <f t="shared" si="79"/>
        <v>100</v>
      </c>
    </row>
    <row r="275" spans="1:19" ht="12.75" hidden="1">
      <c r="A275" s="11" t="s">
        <v>185</v>
      </c>
      <c r="B275" s="90"/>
      <c r="C275" s="71"/>
      <c r="D275" s="71"/>
      <c r="E275" s="71"/>
      <c r="F275" s="71">
        <f t="shared" si="75"/>
        <v>0</v>
      </c>
      <c r="G275" s="72"/>
      <c r="H275" s="72"/>
      <c r="I275" s="72">
        <f t="shared" si="76"/>
        <v>0</v>
      </c>
      <c r="J275" s="71"/>
      <c r="K275" s="71"/>
      <c r="L275" s="71">
        <f t="shared" si="77"/>
        <v>0</v>
      </c>
      <c r="M275" s="71"/>
      <c r="N275" s="71"/>
      <c r="O275" s="71">
        <f t="shared" si="78"/>
        <v>0</v>
      </c>
      <c r="P275" s="76"/>
      <c r="Q275" s="60">
        <v>0</v>
      </c>
      <c r="R275" s="60"/>
      <c r="S275" s="50" t="e">
        <f t="shared" si="79"/>
        <v>#DIV/0!</v>
      </c>
    </row>
    <row r="276" spans="1:19" ht="12.75" hidden="1">
      <c r="A276" s="27" t="s">
        <v>166</v>
      </c>
      <c r="B276" s="90"/>
      <c r="C276" s="71"/>
      <c r="D276" s="71"/>
      <c r="E276" s="71"/>
      <c r="F276" s="71">
        <f t="shared" si="75"/>
        <v>0</v>
      </c>
      <c r="G276" s="72"/>
      <c r="H276" s="72"/>
      <c r="I276" s="72">
        <f t="shared" si="76"/>
        <v>0</v>
      </c>
      <c r="J276" s="71"/>
      <c r="K276" s="71"/>
      <c r="L276" s="71">
        <f t="shared" si="77"/>
        <v>0</v>
      </c>
      <c r="M276" s="71"/>
      <c r="N276" s="71"/>
      <c r="O276" s="71">
        <f t="shared" si="78"/>
        <v>0</v>
      </c>
      <c r="P276" s="76"/>
      <c r="Q276" s="60">
        <v>0</v>
      </c>
      <c r="R276" s="60"/>
      <c r="S276" s="50" t="e">
        <f t="shared" si="79"/>
        <v>#DIV/0!</v>
      </c>
    </row>
    <row r="277" spans="1:19" ht="12.75" hidden="1">
      <c r="A277" s="27" t="s">
        <v>354</v>
      </c>
      <c r="B277" s="90">
        <v>33264</v>
      </c>
      <c r="C277" s="71"/>
      <c r="D277" s="71"/>
      <c r="E277" s="71"/>
      <c r="F277" s="71">
        <f t="shared" si="75"/>
        <v>0</v>
      </c>
      <c r="G277" s="72"/>
      <c r="H277" s="72"/>
      <c r="I277" s="72">
        <f t="shared" si="76"/>
        <v>0</v>
      </c>
      <c r="J277" s="71"/>
      <c r="K277" s="71"/>
      <c r="L277" s="71">
        <f t="shared" si="77"/>
        <v>0</v>
      </c>
      <c r="M277" s="71"/>
      <c r="N277" s="71"/>
      <c r="O277" s="71">
        <f t="shared" si="78"/>
        <v>0</v>
      </c>
      <c r="P277" s="76"/>
      <c r="Q277" s="60">
        <v>0</v>
      </c>
      <c r="R277" s="60"/>
      <c r="S277" s="50" t="e">
        <f t="shared" si="79"/>
        <v>#DIV/0!</v>
      </c>
    </row>
    <row r="278" spans="1:19" ht="12.75">
      <c r="A278" s="11" t="s">
        <v>107</v>
      </c>
      <c r="B278" s="90">
        <v>33025</v>
      </c>
      <c r="C278" s="71"/>
      <c r="D278" s="71"/>
      <c r="E278" s="71"/>
      <c r="F278" s="71">
        <f t="shared" si="75"/>
        <v>0</v>
      </c>
      <c r="G278" s="72">
        <f>392+130</f>
        <v>522</v>
      </c>
      <c r="H278" s="72"/>
      <c r="I278" s="72">
        <f t="shared" si="76"/>
        <v>522</v>
      </c>
      <c r="J278" s="71"/>
      <c r="K278" s="71"/>
      <c r="L278" s="71">
        <f t="shared" si="77"/>
        <v>522</v>
      </c>
      <c r="M278" s="71"/>
      <c r="N278" s="71">
        <v>-16.5</v>
      </c>
      <c r="O278" s="71">
        <f t="shared" si="78"/>
        <v>505.5</v>
      </c>
      <c r="P278" s="76"/>
      <c r="Q278" s="60">
        <v>505.5</v>
      </c>
      <c r="R278" s="60">
        <v>505.5</v>
      </c>
      <c r="S278" s="50">
        <f t="shared" si="79"/>
        <v>100</v>
      </c>
    </row>
    <row r="279" spans="1:19" ht="12.75">
      <c r="A279" s="11" t="s">
        <v>222</v>
      </c>
      <c r="B279" s="90">
        <v>33038</v>
      </c>
      <c r="C279" s="71"/>
      <c r="D279" s="71"/>
      <c r="E279" s="71"/>
      <c r="F279" s="71">
        <f t="shared" si="75"/>
        <v>0</v>
      </c>
      <c r="G279" s="72">
        <v>1172.43</v>
      </c>
      <c r="H279" s="72"/>
      <c r="I279" s="72">
        <f t="shared" si="76"/>
        <v>1172.43</v>
      </c>
      <c r="J279" s="71">
        <v>8.1</v>
      </c>
      <c r="K279" s="71"/>
      <c r="L279" s="71">
        <f t="shared" si="77"/>
        <v>1180.53</v>
      </c>
      <c r="M279" s="71"/>
      <c r="N279" s="71"/>
      <c r="O279" s="71">
        <f t="shared" si="78"/>
        <v>1180.53</v>
      </c>
      <c r="P279" s="76"/>
      <c r="Q279" s="60">
        <v>1180.53</v>
      </c>
      <c r="R279" s="60">
        <v>1180.53</v>
      </c>
      <c r="S279" s="50">
        <f t="shared" si="79"/>
        <v>100</v>
      </c>
    </row>
    <row r="280" spans="1:19" ht="12.75">
      <c r="A280" s="11" t="s">
        <v>312</v>
      </c>
      <c r="B280" s="90">
        <v>33043</v>
      </c>
      <c r="C280" s="71"/>
      <c r="D280" s="71"/>
      <c r="E280" s="71"/>
      <c r="F280" s="71">
        <f t="shared" si="75"/>
        <v>0</v>
      </c>
      <c r="G280" s="72">
        <v>114.83</v>
      </c>
      <c r="H280" s="72"/>
      <c r="I280" s="72">
        <f t="shared" si="76"/>
        <v>114.83</v>
      </c>
      <c r="J280" s="71"/>
      <c r="K280" s="71"/>
      <c r="L280" s="71">
        <f t="shared" si="77"/>
        <v>114.83</v>
      </c>
      <c r="M280" s="71"/>
      <c r="N280" s="71"/>
      <c r="O280" s="71">
        <f t="shared" si="78"/>
        <v>114.83</v>
      </c>
      <c r="P280" s="76"/>
      <c r="Q280" s="60">
        <v>114.83</v>
      </c>
      <c r="R280" s="60">
        <v>114.83</v>
      </c>
      <c r="S280" s="50">
        <f t="shared" si="79"/>
        <v>100</v>
      </c>
    </row>
    <row r="281" spans="1:19" ht="12.75">
      <c r="A281" s="11" t="s">
        <v>313</v>
      </c>
      <c r="B281" s="90">
        <v>33044</v>
      </c>
      <c r="C281" s="71"/>
      <c r="D281" s="71"/>
      <c r="E281" s="71"/>
      <c r="F281" s="71">
        <f t="shared" si="75"/>
        <v>0</v>
      </c>
      <c r="G281" s="72">
        <v>716.26</v>
      </c>
      <c r="H281" s="72"/>
      <c r="I281" s="72">
        <f t="shared" si="76"/>
        <v>716.26</v>
      </c>
      <c r="J281" s="71"/>
      <c r="K281" s="71"/>
      <c r="L281" s="71">
        <f t="shared" si="77"/>
        <v>716.26</v>
      </c>
      <c r="M281" s="71"/>
      <c r="N281" s="71"/>
      <c r="O281" s="71">
        <f t="shared" si="78"/>
        <v>716.26</v>
      </c>
      <c r="P281" s="76"/>
      <c r="Q281" s="60">
        <v>716.26</v>
      </c>
      <c r="R281" s="60">
        <v>716.26</v>
      </c>
      <c r="S281" s="50">
        <f t="shared" si="79"/>
        <v>100</v>
      </c>
    </row>
    <row r="282" spans="1:19" ht="12.75" hidden="1">
      <c r="A282" s="11" t="s">
        <v>177</v>
      </c>
      <c r="B282" s="90">
        <v>33123</v>
      </c>
      <c r="C282" s="71"/>
      <c r="D282" s="71"/>
      <c r="E282" s="71"/>
      <c r="F282" s="71">
        <f t="shared" si="75"/>
        <v>0</v>
      </c>
      <c r="G282" s="72"/>
      <c r="H282" s="72"/>
      <c r="I282" s="72">
        <f t="shared" si="76"/>
        <v>0</v>
      </c>
      <c r="J282" s="71"/>
      <c r="K282" s="71"/>
      <c r="L282" s="71">
        <f t="shared" si="77"/>
        <v>0</v>
      </c>
      <c r="M282" s="71"/>
      <c r="N282" s="71"/>
      <c r="O282" s="71">
        <f t="shared" si="78"/>
        <v>0</v>
      </c>
      <c r="P282" s="76"/>
      <c r="Q282" s="60">
        <v>0</v>
      </c>
      <c r="R282" s="60"/>
      <c r="S282" s="50" t="e">
        <f t="shared" si="79"/>
        <v>#DIV/0!</v>
      </c>
    </row>
    <row r="283" spans="1:19" ht="12.75" hidden="1">
      <c r="A283" s="11" t="s">
        <v>221</v>
      </c>
      <c r="B283" s="90">
        <v>33031</v>
      </c>
      <c r="C283" s="71"/>
      <c r="D283" s="71"/>
      <c r="E283" s="71"/>
      <c r="F283" s="71">
        <f t="shared" si="75"/>
        <v>0</v>
      </c>
      <c r="G283" s="72"/>
      <c r="H283" s="72"/>
      <c r="I283" s="72">
        <f t="shared" si="76"/>
        <v>0</v>
      </c>
      <c r="J283" s="71"/>
      <c r="K283" s="71"/>
      <c r="L283" s="71">
        <f t="shared" si="77"/>
        <v>0</v>
      </c>
      <c r="M283" s="71"/>
      <c r="N283" s="71"/>
      <c r="O283" s="71">
        <f t="shared" si="78"/>
        <v>0</v>
      </c>
      <c r="P283" s="76"/>
      <c r="Q283" s="60">
        <v>0</v>
      </c>
      <c r="R283" s="60"/>
      <c r="S283" s="50" t="e">
        <f t="shared" si="79"/>
        <v>#DIV/0!</v>
      </c>
    </row>
    <row r="284" spans="1:19" ht="12.75" hidden="1">
      <c r="A284" s="11" t="s">
        <v>181</v>
      </c>
      <c r="B284" s="90">
        <v>33019</v>
      </c>
      <c r="C284" s="71"/>
      <c r="D284" s="71"/>
      <c r="E284" s="71"/>
      <c r="F284" s="71">
        <f t="shared" si="75"/>
        <v>0</v>
      </c>
      <c r="G284" s="72"/>
      <c r="H284" s="72"/>
      <c r="I284" s="72">
        <f t="shared" si="76"/>
        <v>0</v>
      </c>
      <c r="J284" s="71"/>
      <c r="K284" s="71"/>
      <c r="L284" s="71">
        <f t="shared" si="77"/>
        <v>0</v>
      </c>
      <c r="M284" s="71"/>
      <c r="N284" s="71"/>
      <c r="O284" s="71">
        <f t="shared" si="78"/>
        <v>0</v>
      </c>
      <c r="P284" s="76"/>
      <c r="Q284" s="60">
        <v>0</v>
      </c>
      <c r="R284" s="60"/>
      <c r="S284" s="50" t="e">
        <f t="shared" si="79"/>
        <v>#DIV/0!</v>
      </c>
    </row>
    <row r="285" spans="1:19" ht="12.75" hidden="1">
      <c r="A285" s="27" t="s">
        <v>183</v>
      </c>
      <c r="B285" s="90">
        <v>33019</v>
      </c>
      <c r="C285" s="71"/>
      <c r="D285" s="71"/>
      <c r="E285" s="71"/>
      <c r="F285" s="71">
        <f t="shared" si="75"/>
        <v>0</v>
      </c>
      <c r="G285" s="72"/>
      <c r="H285" s="72"/>
      <c r="I285" s="72">
        <f t="shared" si="76"/>
        <v>0</v>
      </c>
      <c r="J285" s="71"/>
      <c r="K285" s="71"/>
      <c r="L285" s="71">
        <f t="shared" si="77"/>
        <v>0</v>
      </c>
      <c r="M285" s="71"/>
      <c r="N285" s="71"/>
      <c r="O285" s="71">
        <f t="shared" si="78"/>
        <v>0</v>
      </c>
      <c r="P285" s="76"/>
      <c r="Q285" s="60">
        <v>0</v>
      </c>
      <c r="R285" s="60"/>
      <c r="S285" s="50" t="e">
        <f t="shared" si="79"/>
        <v>#DIV/0!</v>
      </c>
    </row>
    <row r="286" spans="1:19" ht="12.75">
      <c r="A286" s="11" t="s">
        <v>311</v>
      </c>
      <c r="B286" s="90">
        <v>33019</v>
      </c>
      <c r="C286" s="71"/>
      <c r="D286" s="71"/>
      <c r="E286" s="71"/>
      <c r="F286" s="71">
        <f t="shared" si="75"/>
        <v>0</v>
      </c>
      <c r="G286" s="72">
        <v>386.84</v>
      </c>
      <c r="H286" s="72"/>
      <c r="I286" s="72">
        <f t="shared" si="76"/>
        <v>386.84</v>
      </c>
      <c r="J286" s="71"/>
      <c r="K286" s="71"/>
      <c r="L286" s="71">
        <f t="shared" si="77"/>
        <v>386.84</v>
      </c>
      <c r="M286" s="71"/>
      <c r="N286" s="71"/>
      <c r="O286" s="71">
        <f t="shared" si="78"/>
        <v>386.84</v>
      </c>
      <c r="P286" s="76"/>
      <c r="Q286" s="60">
        <v>386.84</v>
      </c>
      <c r="R286" s="60">
        <v>386.84</v>
      </c>
      <c r="S286" s="50">
        <f t="shared" si="79"/>
        <v>100</v>
      </c>
    </row>
    <row r="287" spans="1:19" ht="12.75">
      <c r="A287" s="11" t="s">
        <v>358</v>
      </c>
      <c r="B287" s="90">
        <v>33019</v>
      </c>
      <c r="C287" s="71"/>
      <c r="D287" s="71"/>
      <c r="E287" s="71"/>
      <c r="F287" s="71"/>
      <c r="G287" s="72"/>
      <c r="H287" s="72"/>
      <c r="I287" s="72"/>
      <c r="J287" s="71"/>
      <c r="K287" s="71"/>
      <c r="L287" s="71">
        <f t="shared" si="77"/>
        <v>0</v>
      </c>
      <c r="M287" s="71"/>
      <c r="N287" s="71">
        <v>23472.46</v>
      </c>
      <c r="O287" s="71">
        <f t="shared" si="78"/>
        <v>23472.46</v>
      </c>
      <c r="P287" s="76"/>
      <c r="Q287" s="60">
        <v>23472.46</v>
      </c>
      <c r="R287" s="60">
        <v>23472.46</v>
      </c>
      <c r="S287" s="50">
        <f t="shared" si="79"/>
        <v>100</v>
      </c>
    </row>
    <row r="288" spans="1:19" ht="12.75">
      <c r="A288" s="11" t="s">
        <v>108</v>
      </c>
      <c r="B288" s="90"/>
      <c r="C288" s="71"/>
      <c r="D288" s="71">
        <v>350</v>
      </c>
      <c r="E288" s="71"/>
      <c r="F288" s="71">
        <f t="shared" si="75"/>
        <v>350</v>
      </c>
      <c r="G288" s="72"/>
      <c r="H288" s="72"/>
      <c r="I288" s="72">
        <f t="shared" si="76"/>
        <v>350</v>
      </c>
      <c r="J288" s="71"/>
      <c r="K288" s="71"/>
      <c r="L288" s="71">
        <f t="shared" si="77"/>
        <v>350</v>
      </c>
      <c r="M288" s="71"/>
      <c r="N288" s="71"/>
      <c r="O288" s="71">
        <f t="shared" si="78"/>
        <v>350</v>
      </c>
      <c r="P288" s="76"/>
      <c r="Q288" s="60">
        <v>350</v>
      </c>
      <c r="R288" s="60">
        <v>350</v>
      </c>
      <c r="S288" s="50">
        <f t="shared" si="79"/>
        <v>100</v>
      </c>
    </row>
    <row r="289" spans="1:19" ht="12.75">
      <c r="A289" s="11" t="s">
        <v>95</v>
      </c>
      <c r="B289" s="90"/>
      <c r="C289" s="71"/>
      <c r="D289" s="71">
        <f>349.37+2955.98</f>
        <v>3305.35</v>
      </c>
      <c r="E289" s="71"/>
      <c r="F289" s="71">
        <f t="shared" si="75"/>
        <v>3305.35</v>
      </c>
      <c r="G289" s="72">
        <v>-770</v>
      </c>
      <c r="H289" s="72"/>
      <c r="I289" s="72">
        <f t="shared" si="76"/>
        <v>2535.35</v>
      </c>
      <c r="J289" s="71">
        <f>252-252</f>
        <v>0</v>
      </c>
      <c r="K289" s="71"/>
      <c r="L289" s="71">
        <f t="shared" si="77"/>
        <v>2535.35</v>
      </c>
      <c r="M289" s="78">
        <f>-510</f>
        <v>-510</v>
      </c>
      <c r="N289" s="71"/>
      <c r="O289" s="71">
        <f t="shared" si="78"/>
        <v>2025.35</v>
      </c>
      <c r="P289" s="76"/>
      <c r="Q289" s="60">
        <v>2025.35</v>
      </c>
      <c r="R289" s="60">
        <v>1757</v>
      </c>
      <c r="S289" s="50">
        <f t="shared" si="79"/>
        <v>86.75043819586739</v>
      </c>
    </row>
    <row r="290" spans="1:19" ht="12.75">
      <c r="A290" s="11" t="s">
        <v>65</v>
      </c>
      <c r="B290" s="90"/>
      <c r="C290" s="71">
        <v>22449</v>
      </c>
      <c r="D290" s="71">
        <f>-4740.5+100+951.3</f>
        <v>-3689.2</v>
      </c>
      <c r="E290" s="71"/>
      <c r="F290" s="71">
        <f t="shared" si="75"/>
        <v>18759.8</v>
      </c>
      <c r="G290" s="72">
        <f>-191-2975.3+500+1000</f>
        <v>-1666.3000000000002</v>
      </c>
      <c r="H290" s="72"/>
      <c r="I290" s="72">
        <f t="shared" si="76"/>
        <v>17093.5</v>
      </c>
      <c r="J290" s="71">
        <f>-6620.5+830</f>
        <v>-5790.5</v>
      </c>
      <c r="K290" s="71"/>
      <c r="L290" s="71">
        <f t="shared" si="77"/>
        <v>11303</v>
      </c>
      <c r="M290" s="78">
        <f>-5620.5-570.6-200+115.2</f>
        <v>-6275.900000000001</v>
      </c>
      <c r="N290" s="71"/>
      <c r="O290" s="71">
        <f t="shared" si="78"/>
        <v>5027.099999999999</v>
      </c>
      <c r="P290" s="76">
        <f>-106</f>
        <v>-106</v>
      </c>
      <c r="Q290" s="60">
        <v>4921.099999999999</v>
      </c>
      <c r="R290" s="60">
        <v>4856.45</v>
      </c>
      <c r="S290" s="50">
        <f t="shared" si="79"/>
        <v>98.68626933002784</v>
      </c>
    </row>
    <row r="291" spans="1:19" ht="12.75">
      <c r="A291" s="14" t="s">
        <v>68</v>
      </c>
      <c r="B291" s="91"/>
      <c r="C291" s="92">
        <f aca="true" t="shared" si="80" ref="C291:R291">SUM(C293:C298)</f>
        <v>0</v>
      </c>
      <c r="D291" s="92">
        <f t="shared" si="80"/>
        <v>0</v>
      </c>
      <c r="E291" s="92"/>
      <c r="F291" s="92">
        <f t="shared" si="80"/>
        <v>0</v>
      </c>
      <c r="G291" s="93">
        <f t="shared" si="80"/>
        <v>330</v>
      </c>
      <c r="H291" s="93">
        <f t="shared" si="80"/>
        <v>0</v>
      </c>
      <c r="I291" s="93">
        <f t="shared" si="80"/>
        <v>330</v>
      </c>
      <c r="J291" s="92">
        <f t="shared" si="80"/>
        <v>0</v>
      </c>
      <c r="K291" s="92">
        <f t="shared" si="80"/>
        <v>0</v>
      </c>
      <c r="L291" s="92">
        <f t="shared" si="80"/>
        <v>330</v>
      </c>
      <c r="M291" s="92">
        <f t="shared" si="80"/>
        <v>3750</v>
      </c>
      <c r="N291" s="92">
        <f t="shared" si="80"/>
        <v>0</v>
      </c>
      <c r="O291" s="92">
        <f t="shared" si="80"/>
        <v>4080</v>
      </c>
      <c r="P291" s="92">
        <f t="shared" si="80"/>
        <v>31.5</v>
      </c>
      <c r="Q291" s="92">
        <f t="shared" si="80"/>
        <v>4111.5</v>
      </c>
      <c r="R291" s="93">
        <f t="shared" si="80"/>
        <v>4111.5</v>
      </c>
      <c r="S291" s="150">
        <f t="shared" si="79"/>
        <v>100</v>
      </c>
    </row>
    <row r="292" spans="1:19" ht="12.75">
      <c r="A292" s="9" t="s">
        <v>34</v>
      </c>
      <c r="B292" s="90"/>
      <c r="C292" s="71"/>
      <c r="D292" s="71"/>
      <c r="E292" s="71"/>
      <c r="F292" s="71"/>
      <c r="G292" s="72"/>
      <c r="H292" s="72"/>
      <c r="I292" s="68"/>
      <c r="J292" s="71"/>
      <c r="K292" s="71"/>
      <c r="L292" s="67"/>
      <c r="M292" s="71"/>
      <c r="N292" s="71"/>
      <c r="O292" s="67"/>
      <c r="P292" s="76"/>
      <c r="Q292" s="60"/>
      <c r="R292" s="60"/>
      <c r="S292" s="50"/>
    </row>
    <row r="293" spans="1:19" ht="12.75">
      <c r="A293" s="16" t="s">
        <v>109</v>
      </c>
      <c r="B293" s="94"/>
      <c r="C293" s="95"/>
      <c r="D293" s="95"/>
      <c r="E293" s="95"/>
      <c r="F293" s="95">
        <f aca="true" t="shared" si="81" ref="F293:F298">C293+D293+E293</f>
        <v>0</v>
      </c>
      <c r="G293" s="96">
        <f>270+60</f>
        <v>330</v>
      </c>
      <c r="H293" s="96"/>
      <c r="I293" s="96">
        <f aca="true" t="shared" si="82" ref="I293:I298">F293+G293+H293</f>
        <v>330</v>
      </c>
      <c r="J293" s="95"/>
      <c r="K293" s="95"/>
      <c r="L293" s="95">
        <f aca="true" t="shared" si="83" ref="L293:L298">I293+J293+K293</f>
        <v>330</v>
      </c>
      <c r="M293" s="103">
        <f>2820+930</f>
        <v>3750</v>
      </c>
      <c r="N293" s="95"/>
      <c r="O293" s="95">
        <f aca="true" t="shared" si="84" ref="O293:O298">L293+M293+N293</f>
        <v>4080</v>
      </c>
      <c r="P293" s="97">
        <f>31.5</f>
        <v>31.5</v>
      </c>
      <c r="Q293" s="53">
        <v>4111.5</v>
      </c>
      <c r="R293" s="53">
        <v>4111.5</v>
      </c>
      <c r="S293" s="52">
        <f t="shared" si="79"/>
        <v>100</v>
      </c>
    </row>
    <row r="294" spans="1:19" ht="12.75" hidden="1">
      <c r="A294" s="11" t="s">
        <v>84</v>
      </c>
      <c r="B294" s="90"/>
      <c r="C294" s="71"/>
      <c r="D294" s="71"/>
      <c r="E294" s="71"/>
      <c r="F294" s="71">
        <f t="shared" si="81"/>
        <v>0</v>
      </c>
      <c r="G294" s="72"/>
      <c r="H294" s="72"/>
      <c r="I294" s="72">
        <f t="shared" si="82"/>
        <v>0</v>
      </c>
      <c r="J294" s="71"/>
      <c r="K294" s="71"/>
      <c r="L294" s="71">
        <f t="shared" si="83"/>
        <v>0</v>
      </c>
      <c r="M294" s="71"/>
      <c r="N294" s="71"/>
      <c r="O294" s="71">
        <f t="shared" si="84"/>
        <v>0</v>
      </c>
      <c r="P294" s="76"/>
      <c r="Q294" s="60">
        <v>0</v>
      </c>
      <c r="R294" s="60"/>
      <c r="S294" s="50" t="e">
        <f t="shared" si="79"/>
        <v>#DIV/0!</v>
      </c>
    </row>
    <row r="295" spans="1:19" ht="12.75" hidden="1">
      <c r="A295" s="11" t="s">
        <v>110</v>
      </c>
      <c r="B295" s="90"/>
      <c r="C295" s="71"/>
      <c r="D295" s="71"/>
      <c r="E295" s="71"/>
      <c r="F295" s="71">
        <f t="shared" si="81"/>
        <v>0</v>
      </c>
      <c r="G295" s="72"/>
      <c r="H295" s="72"/>
      <c r="I295" s="72">
        <f t="shared" si="82"/>
        <v>0</v>
      </c>
      <c r="J295" s="71"/>
      <c r="K295" s="71"/>
      <c r="L295" s="71">
        <f t="shared" si="83"/>
        <v>0</v>
      </c>
      <c r="M295" s="71"/>
      <c r="N295" s="71"/>
      <c r="O295" s="71">
        <f t="shared" si="84"/>
        <v>0</v>
      </c>
      <c r="P295" s="76"/>
      <c r="Q295" s="60">
        <v>0</v>
      </c>
      <c r="R295" s="60"/>
      <c r="S295" s="50" t="e">
        <f t="shared" si="79"/>
        <v>#DIV/0!</v>
      </c>
    </row>
    <row r="296" spans="1:19" ht="12.75" hidden="1">
      <c r="A296" s="27" t="s">
        <v>183</v>
      </c>
      <c r="B296" s="90">
        <v>33910</v>
      </c>
      <c r="C296" s="71"/>
      <c r="D296" s="71"/>
      <c r="E296" s="71"/>
      <c r="F296" s="71">
        <f t="shared" si="81"/>
        <v>0</v>
      </c>
      <c r="G296" s="72"/>
      <c r="H296" s="72"/>
      <c r="I296" s="72">
        <f t="shared" si="82"/>
        <v>0</v>
      </c>
      <c r="J296" s="71"/>
      <c r="K296" s="71"/>
      <c r="L296" s="71">
        <f t="shared" si="83"/>
        <v>0</v>
      </c>
      <c r="M296" s="71"/>
      <c r="N296" s="71"/>
      <c r="O296" s="71">
        <f t="shared" si="84"/>
        <v>0</v>
      </c>
      <c r="P296" s="76"/>
      <c r="Q296" s="60">
        <v>0</v>
      </c>
      <c r="R296" s="60"/>
      <c r="S296" s="50" t="e">
        <f t="shared" si="79"/>
        <v>#DIV/0!</v>
      </c>
    </row>
    <row r="297" spans="1:19" ht="12.75" hidden="1">
      <c r="A297" s="11" t="s">
        <v>69</v>
      </c>
      <c r="B297" s="90"/>
      <c r="C297" s="71"/>
      <c r="D297" s="71"/>
      <c r="E297" s="71"/>
      <c r="F297" s="71">
        <f t="shared" si="81"/>
        <v>0</v>
      </c>
      <c r="G297" s="72"/>
      <c r="H297" s="72"/>
      <c r="I297" s="72">
        <f t="shared" si="82"/>
        <v>0</v>
      </c>
      <c r="J297" s="71"/>
      <c r="K297" s="78"/>
      <c r="L297" s="71">
        <f t="shared" si="83"/>
        <v>0</v>
      </c>
      <c r="M297" s="71"/>
      <c r="N297" s="71"/>
      <c r="O297" s="71">
        <f t="shared" si="84"/>
        <v>0</v>
      </c>
      <c r="P297" s="76"/>
      <c r="Q297" s="60">
        <v>0</v>
      </c>
      <c r="R297" s="60"/>
      <c r="S297" s="50" t="e">
        <f t="shared" si="79"/>
        <v>#DIV/0!</v>
      </c>
    </row>
    <row r="298" spans="1:19" ht="12.75" hidden="1">
      <c r="A298" s="16" t="s">
        <v>95</v>
      </c>
      <c r="B298" s="94"/>
      <c r="C298" s="95"/>
      <c r="D298" s="95"/>
      <c r="E298" s="95"/>
      <c r="F298" s="95">
        <f t="shared" si="81"/>
        <v>0</v>
      </c>
      <c r="G298" s="96"/>
      <c r="H298" s="96"/>
      <c r="I298" s="96">
        <f t="shared" si="82"/>
        <v>0</v>
      </c>
      <c r="J298" s="95"/>
      <c r="K298" s="104"/>
      <c r="L298" s="95">
        <f t="shared" si="83"/>
        <v>0</v>
      </c>
      <c r="M298" s="95"/>
      <c r="N298" s="95"/>
      <c r="O298" s="95">
        <f t="shared" si="84"/>
        <v>0</v>
      </c>
      <c r="P298" s="97"/>
      <c r="Q298" s="53">
        <v>0</v>
      </c>
      <c r="R298" s="60"/>
      <c r="S298" s="50" t="e">
        <f t="shared" si="79"/>
        <v>#DIV/0!</v>
      </c>
    </row>
    <row r="299" spans="1:19" ht="12.75">
      <c r="A299" s="4" t="s">
        <v>111</v>
      </c>
      <c r="B299" s="91"/>
      <c r="C299" s="67">
        <f>C300+C313</f>
        <v>456945.5</v>
      </c>
      <c r="D299" s="67">
        <f>D300+D313</f>
        <v>3693.72</v>
      </c>
      <c r="E299" s="67">
        <f>E300+E313</f>
        <v>0</v>
      </c>
      <c r="F299" s="67">
        <f>F300+F313</f>
        <v>460639.22000000003</v>
      </c>
      <c r="G299" s="68">
        <f aca="true" t="shared" si="85" ref="G299:P299">G300+G313</f>
        <v>1166.3799999999999</v>
      </c>
      <c r="H299" s="68">
        <f t="shared" si="85"/>
        <v>0</v>
      </c>
      <c r="I299" s="68">
        <f t="shared" si="85"/>
        <v>461805.60000000003</v>
      </c>
      <c r="J299" s="67">
        <f t="shared" si="85"/>
        <v>4657.29</v>
      </c>
      <c r="K299" s="67">
        <f t="shared" si="85"/>
        <v>0</v>
      </c>
      <c r="L299" s="67">
        <f t="shared" si="85"/>
        <v>466462.8900000001</v>
      </c>
      <c r="M299" s="67">
        <f>M300+M313</f>
        <v>-3274.42</v>
      </c>
      <c r="N299" s="67">
        <f>N300+N313</f>
        <v>-16000</v>
      </c>
      <c r="O299" s="67">
        <f>O300+O313</f>
        <v>447188.47000000003</v>
      </c>
      <c r="P299" s="67">
        <f t="shared" si="85"/>
        <v>-837.98</v>
      </c>
      <c r="Q299" s="67">
        <f>Q300+Q313</f>
        <v>446350.4900000001</v>
      </c>
      <c r="R299" s="68">
        <f>R300+R313</f>
        <v>424810.78</v>
      </c>
      <c r="S299" s="148">
        <f t="shared" si="79"/>
        <v>95.17426092665428</v>
      </c>
    </row>
    <row r="300" spans="1:19" ht="12.75">
      <c r="A300" s="13" t="s">
        <v>63</v>
      </c>
      <c r="B300" s="91"/>
      <c r="C300" s="88">
        <f>SUM(C302:C312)</f>
        <v>456945.5</v>
      </c>
      <c r="D300" s="88">
        <f>SUM(D302:D312)</f>
        <v>3059.08</v>
      </c>
      <c r="E300" s="88">
        <f>SUM(E302:E312)</f>
        <v>0</v>
      </c>
      <c r="F300" s="88">
        <f>SUM(F302:F312)</f>
        <v>460004.58</v>
      </c>
      <c r="G300" s="89">
        <f aca="true" t="shared" si="86" ref="G300:P300">SUM(G302:G312)</f>
        <v>832.6299999999999</v>
      </c>
      <c r="H300" s="89">
        <f t="shared" si="86"/>
        <v>0</v>
      </c>
      <c r="I300" s="89">
        <f t="shared" si="86"/>
        <v>460837.21</v>
      </c>
      <c r="J300" s="88">
        <f t="shared" si="86"/>
        <v>4991.04</v>
      </c>
      <c r="K300" s="88">
        <f t="shared" si="86"/>
        <v>0</v>
      </c>
      <c r="L300" s="88">
        <f t="shared" si="86"/>
        <v>465828.25000000006</v>
      </c>
      <c r="M300" s="88">
        <f>SUM(M302:M312)</f>
        <v>-3368.42</v>
      </c>
      <c r="N300" s="88">
        <f>SUM(N302:N312)</f>
        <v>-16000</v>
      </c>
      <c r="O300" s="88">
        <f>SUM(O302:O312)</f>
        <v>446459.83</v>
      </c>
      <c r="P300" s="88">
        <f t="shared" si="86"/>
        <v>-837.98</v>
      </c>
      <c r="Q300" s="88">
        <f>SUM(Q302:Q312)</f>
        <v>445621.8500000001</v>
      </c>
      <c r="R300" s="89">
        <f>SUM(R302:R312)</f>
        <v>424197.92000000004</v>
      </c>
      <c r="S300" s="150">
        <f t="shared" si="79"/>
        <v>95.19235199081912</v>
      </c>
    </row>
    <row r="301" spans="1:19" ht="12.75">
      <c r="A301" s="9" t="s">
        <v>34</v>
      </c>
      <c r="B301" s="90"/>
      <c r="C301" s="71"/>
      <c r="D301" s="71"/>
      <c r="E301" s="71"/>
      <c r="F301" s="67"/>
      <c r="G301" s="72"/>
      <c r="H301" s="72"/>
      <c r="I301" s="68"/>
      <c r="J301" s="71"/>
      <c r="K301" s="71"/>
      <c r="L301" s="67"/>
      <c r="M301" s="71"/>
      <c r="N301" s="71"/>
      <c r="O301" s="67"/>
      <c r="P301" s="76"/>
      <c r="Q301" s="60"/>
      <c r="R301" s="60"/>
      <c r="S301" s="50"/>
    </row>
    <row r="302" spans="1:19" ht="12.75">
      <c r="A302" s="6" t="s">
        <v>92</v>
      </c>
      <c r="B302" s="90"/>
      <c r="C302" s="71">
        <v>217926</v>
      </c>
      <c r="D302" s="71">
        <f>1000</f>
        <v>1000</v>
      </c>
      <c r="E302" s="71"/>
      <c r="F302" s="71">
        <f aca="true" t="shared" si="87" ref="F302:F312">C302+D302+E302</f>
        <v>218926</v>
      </c>
      <c r="G302" s="72"/>
      <c r="H302" s="72"/>
      <c r="I302" s="72">
        <f aca="true" t="shared" si="88" ref="I302:I312">F302+G302+H302</f>
        <v>218926</v>
      </c>
      <c r="J302" s="71"/>
      <c r="K302" s="71"/>
      <c r="L302" s="71">
        <f aca="true" t="shared" si="89" ref="L302:L312">I302+J302+K302</f>
        <v>218926</v>
      </c>
      <c r="M302" s="71">
        <f>-3135</f>
        <v>-3135</v>
      </c>
      <c r="N302" s="71">
        <v>-16000</v>
      </c>
      <c r="O302" s="71">
        <f aca="true" t="shared" si="90" ref="O302:O312">L302+M302+N302</f>
        <v>199791</v>
      </c>
      <c r="P302" s="76"/>
      <c r="Q302" s="60">
        <v>199791</v>
      </c>
      <c r="R302" s="60">
        <v>199791</v>
      </c>
      <c r="S302" s="50">
        <f t="shared" si="79"/>
        <v>100</v>
      </c>
    </row>
    <row r="303" spans="1:19" ht="12.75">
      <c r="A303" s="11" t="s">
        <v>79</v>
      </c>
      <c r="B303" s="90"/>
      <c r="C303" s="71">
        <v>176000</v>
      </c>
      <c r="D303" s="71"/>
      <c r="E303" s="71"/>
      <c r="F303" s="71">
        <f t="shared" si="87"/>
        <v>176000</v>
      </c>
      <c r="G303" s="72"/>
      <c r="H303" s="72">
        <v>50000</v>
      </c>
      <c r="I303" s="72">
        <f t="shared" si="88"/>
        <v>226000</v>
      </c>
      <c r="J303" s="71"/>
      <c r="K303" s="71"/>
      <c r="L303" s="71">
        <f t="shared" si="89"/>
        <v>226000</v>
      </c>
      <c r="M303" s="71"/>
      <c r="N303" s="71">
        <v>-16763.4</v>
      </c>
      <c r="O303" s="71">
        <f t="shared" si="90"/>
        <v>209236.6</v>
      </c>
      <c r="P303" s="76"/>
      <c r="Q303" s="60">
        <v>209236.6</v>
      </c>
      <c r="R303" s="60">
        <v>209236.6</v>
      </c>
      <c r="S303" s="50">
        <f t="shared" si="79"/>
        <v>100</v>
      </c>
    </row>
    <row r="304" spans="1:19" ht="12.75">
      <c r="A304" s="11" t="s">
        <v>234</v>
      </c>
      <c r="B304" s="90"/>
      <c r="C304" s="71">
        <v>50000</v>
      </c>
      <c r="D304" s="71"/>
      <c r="E304" s="71"/>
      <c r="F304" s="71">
        <f t="shared" si="87"/>
        <v>50000</v>
      </c>
      <c r="G304" s="72"/>
      <c r="H304" s="72">
        <v>-50000</v>
      </c>
      <c r="I304" s="72">
        <f t="shared" si="88"/>
        <v>0</v>
      </c>
      <c r="J304" s="71"/>
      <c r="K304" s="71"/>
      <c r="L304" s="71">
        <f t="shared" si="89"/>
        <v>0</v>
      </c>
      <c r="M304" s="71"/>
      <c r="N304" s="71">
        <v>16763.4</v>
      </c>
      <c r="O304" s="71">
        <f t="shared" si="90"/>
        <v>16763.4</v>
      </c>
      <c r="P304" s="76"/>
      <c r="Q304" s="60">
        <v>16763.4</v>
      </c>
      <c r="R304" s="60">
        <v>0</v>
      </c>
      <c r="S304" s="50">
        <f t="shared" si="79"/>
        <v>0</v>
      </c>
    </row>
    <row r="305" spans="1:19" ht="12.75">
      <c r="A305" s="11" t="s">
        <v>65</v>
      </c>
      <c r="B305" s="90"/>
      <c r="C305" s="78">
        <v>13019.5</v>
      </c>
      <c r="D305" s="71">
        <f>1705+209</f>
        <v>1914</v>
      </c>
      <c r="E305" s="71"/>
      <c r="F305" s="71">
        <f t="shared" si="87"/>
        <v>14933.5</v>
      </c>
      <c r="G305" s="72"/>
      <c r="H305" s="72"/>
      <c r="I305" s="72">
        <f t="shared" si="88"/>
        <v>14933.5</v>
      </c>
      <c r="J305" s="71"/>
      <c r="K305" s="71"/>
      <c r="L305" s="71">
        <f t="shared" si="89"/>
        <v>14933.5</v>
      </c>
      <c r="M305" s="71">
        <f>-100-94</f>
        <v>-194</v>
      </c>
      <c r="N305" s="71"/>
      <c r="O305" s="71">
        <f t="shared" si="90"/>
        <v>14739.5</v>
      </c>
      <c r="P305" s="76"/>
      <c r="Q305" s="60">
        <v>14739.5</v>
      </c>
      <c r="R305" s="60">
        <v>10078.97</v>
      </c>
      <c r="S305" s="50">
        <f t="shared" si="79"/>
        <v>68.38067777061637</v>
      </c>
    </row>
    <row r="306" spans="1:19" ht="12.75">
      <c r="A306" s="11" t="s">
        <v>96</v>
      </c>
      <c r="B306" s="90"/>
      <c r="C306" s="78"/>
      <c r="D306" s="71">
        <v>145.08</v>
      </c>
      <c r="E306" s="71"/>
      <c r="F306" s="71">
        <f t="shared" si="87"/>
        <v>145.08</v>
      </c>
      <c r="G306" s="72"/>
      <c r="H306" s="72"/>
      <c r="I306" s="72">
        <f t="shared" si="88"/>
        <v>145.08</v>
      </c>
      <c r="J306" s="71">
        <f>-123.31</f>
        <v>-123.31</v>
      </c>
      <c r="K306" s="71"/>
      <c r="L306" s="71">
        <f t="shared" si="89"/>
        <v>21.77000000000001</v>
      </c>
      <c r="M306" s="71"/>
      <c r="N306" s="71"/>
      <c r="O306" s="71">
        <f t="shared" si="90"/>
        <v>21.77000000000001</v>
      </c>
      <c r="P306" s="76"/>
      <c r="Q306" s="60">
        <v>21.77000000000001</v>
      </c>
      <c r="R306" s="60">
        <v>21.77</v>
      </c>
      <c r="S306" s="50">
        <f t="shared" si="79"/>
        <v>99.99999999999996</v>
      </c>
    </row>
    <row r="307" spans="1:19" ht="12.75">
      <c r="A307" s="11" t="s">
        <v>323</v>
      </c>
      <c r="B307" s="90"/>
      <c r="C307" s="78"/>
      <c r="D307" s="71"/>
      <c r="E307" s="71"/>
      <c r="F307" s="71">
        <f t="shared" si="87"/>
        <v>0</v>
      </c>
      <c r="G307" s="72">
        <v>432.65</v>
      </c>
      <c r="H307" s="72"/>
      <c r="I307" s="72">
        <f t="shared" si="88"/>
        <v>432.65</v>
      </c>
      <c r="J307" s="71"/>
      <c r="K307" s="71"/>
      <c r="L307" s="71">
        <f t="shared" si="89"/>
        <v>432.65</v>
      </c>
      <c r="M307" s="71">
        <f>-309.33</f>
        <v>-309.33</v>
      </c>
      <c r="N307" s="71"/>
      <c r="O307" s="71">
        <f t="shared" si="90"/>
        <v>123.32</v>
      </c>
      <c r="P307" s="76"/>
      <c r="Q307" s="60">
        <v>123.32</v>
      </c>
      <c r="R307" s="60">
        <v>123.32</v>
      </c>
      <c r="S307" s="50">
        <f t="shared" si="79"/>
        <v>100</v>
      </c>
    </row>
    <row r="308" spans="1:19" ht="12.75">
      <c r="A308" s="11" t="s">
        <v>112</v>
      </c>
      <c r="B308" s="90">
        <v>98335</v>
      </c>
      <c r="C308" s="71"/>
      <c r="D308" s="71"/>
      <c r="E308" s="71"/>
      <c r="F308" s="71">
        <f t="shared" si="87"/>
        <v>0</v>
      </c>
      <c r="G308" s="72">
        <v>163.79</v>
      </c>
      <c r="H308" s="72"/>
      <c r="I308" s="72">
        <f t="shared" si="88"/>
        <v>163.79</v>
      </c>
      <c r="J308" s="71">
        <v>165.45</v>
      </c>
      <c r="K308" s="71"/>
      <c r="L308" s="71">
        <f t="shared" si="89"/>
        <v>329.24</v>
      </c>
      <c r="M308" s="83">
        <v>168.48</v>
      </c>
      <c r="N308" s="71"/>
      <c r="O308" s="71">
        <f t="shared" si="90"/>
        <v>497.72</v>
      </c>
      <c r="P308" s="76">
        <f>167.21</f>
        <v>167.21</v>
      </c>
      <c r="Q308" s="60">
        <v>664.9300000000001</v>
      </c>
      <c r="R308" s="60">
        <v>664.93</v>
      </c>
      <c r="S308" s="50">
        <f t="shared" si="79"/>
        <v>99.99999999999997</v>
      </c>
    </row>
    <row r="309" spans="1:19" ht="13.5" thickBot="1">
      <c r="A309" s="159" t="s">
        <v>339</v>
      </c>
      <c r="B309" s="156">
        <v>13305</v>
      </c>
      <c r="C309" s="101"/>
      <c r="D309" s="101"/>
      <c r="E309" s="101"/>
      <c r="F309" s="101"/>
      <c r="G309" s="102"/>
      <c r="H309" s="102"/>
      <c r="I309" s="102">
        <f t="shared" si="88"/>
        <v>0</v>
      </c>
      <c r="J309" s="101">
        <v>3159</v>
      </c>
      <c r="K309" s="101"/>
      <c r="L309" s="101">
        <f t="shared" si="89"/>
        <v>3159</v>
      </c>
      <c r="M309" s="160"/>
      <c r="N309" s="101"/>
      <c r="O309" s="101">
        <f t="shared" si="90"/>
        <v>3159</v>
      </c>
      <c r="P309" s="132">
        <v>-1012.6</v>
      </c>
      <c r="Q309" s="154">
        <v>2146.4</v>
      </c>
      <c r="R309" s="154">
        <v>2146.4</v>
      </c>
      <c r="S309" s="157">
        <f t="shared" si="79"/>
        <v>100</v>
      </c>
    </row>
    <row r="310" spans="1:19" ht="12.75">
      <c r="A310" s="11" t="s">
        <v>335</v>
      </c>
      <c r="B310" s="90">
        <v>35018</v>
      </c>
      <c r="C310" s="71"/>
      <c r="D310" s="71"/>
      <c r="E310" s="71"/>
      <c r="F310" s="71"/>
      <c r="G310" s="72"/>
      <c r="H310" s="72"/>
      <c r="I310" s="72">
        <f t="shared" si="88"/>
        <v>0</v>
      </c>
      <c r="J310" s="71">
        <v>1679.09</v>
      </c>
      <c r="K310" s="71"/>
      <c r="L310" s="71">
        <f t="shared" si="89"/>
        <v>1679.09</v>
      </c>
      <c r="M310" s="83"/>
      <c r="N310" s="71"/>
      <c r="O310" s="71">
        <f t="shared" si="90"/>
        <v>1679.09</v>
      </c>
      <c r="P310" s="76"/>
      <c r="Q310" s="60">
        <v>1679.09</v>
      </c>
      <c r="R310" s="60">
        <v>1679.09</v>
      </c>
      <c r="S310" s="50">
        <f t="shared" si="79"/>
        <v>100</v>
      </c>
    </row>
    <row r="311" spans="1:19" ht="12.75" hidden="1">
      <c r="A311" s="11" t="s">
        <v>113</v>
      </c>
      <c r="B311" s="90"/>
      <c r="C311" s="71"/>
      <c r="D311" s="71"/>
      <c r="E311" s="71"/>
      <c r="F311" s="71">
        <f t="shared" si="87"/>
        <v>0</v>
      </c>
      <c r="G311" s="72"/>
      <c r="H311" s="72"/>
      <c r="I311" s="72">
        <f t="shared" si="88"/>
        <v>0</v>
      </c>
      <c r="J311" s="71"/>
      <c r="K311" s="71"/>
      <c r="L311" s="71">
        <f t="shared" si="89"/>
        <v>0</v>
      </c>
      <c r="M311" s="71"/>
      <c r="N311" s="71"/>
      <c r="O311" s="71">
        <f t="shared" si="90"/>
        <v>0</v>
      </c>
      <c r="P311" s="76"/>
      <c r="Q311" s="60">
        <v>0</v>
      </c>
      <c r="R311" s="60">
        <v>0</v>
      </c>
      <c r="S311" s="50" t="e">
        <f t="shared" si="79"/>
        <v>#DIV/0!</v>
      </c>
    </row>
    <row r="312" spans="1:19" ht="12.75">
      <c r="A312" s="11" t="s">
        <v>114</v>
      </c>
      <c r="B312" s="90">
        <v>98297</v>
      </c>
      <c r="C312" s="71"/>
      <c r="D312" s="71"/>
      <c r="E312" s="71"/>
      <c r="F312" s="71">
        <f t="shared" si="87"/>
        <v>0</v>
      </c>
      <c r="G312" s="72">
        <f>142.17+94.02</f>
        <v>236.19</v>
      </c>
      <c r="H312" s="72"/>
      <c r="I312" s="72">
        <f t="shared" si="88"/>
        <v>236.19</v>
      </c>
      <c r="J312" s="71">
        <f>110.81</f>
        <v>110.81</v>
      </c>
      <c r="K312" s="71"/>
      <c r="L312" s="71">
        <f t="shared" si="89"/>
        <v>347</v>
      </c>
      <c r="M312" s="71">
        <v>101.43</v>
      </c>
      <c r="N312" s="71"/>
      <c r="O312" s="71">
        <f t="shared" si="90"/>
        <v>448.43</v>
      </c>
      <c r="P312" s="76">
        <f>7.41</f>
        <v>7.41</v>
      </c>
      <c r="Q312" s="60">
        <v>455.84000000000003</v>
      </c>
      <c r="R312" s="60">
        <v>455.84</v>
      </c>
      <c r="S312" s="50">
        <f t="shared" si="79"/>
        <v>99.99999999999999</v>
      </c>
    </row>
    <row r="313" spans="1:19" ht="12.75">
      <c r="A313" s="13" t="s">
        <v>68</v>
      </c>
      <c r="B313" s="91"/>
      <c r="C313" s="88">
        <f>SUM(C315:C318)</f>
        <v>0</v>
      </c>
      <c r="D313" s="88">
        <f>SUM(D315:D318)</f>
        <v>634.64</v>
      </c>
      <c r="E313" s="88">
        <f>SUM(E315:E318)</f>
        <v>0</v>
      </c>
      <c r="F313" s="88">
        <f>SUM(F315:F318)</f>
        <v>634.64</v>
      </c>
      <c r="G313" s="89">
        <f aca="true" t="shared" si="91" ref="G313:R313">SUM(G315:G318)</f>
        <v>333.75</v>
      </c>
      <c r="H313" s="89">
        <f t="shared" si="91"/>
        <v>0</v>
      </c>
      <c r="I313" s="89">
        <f t="shared" si="91"/>
        <v>968.39</v>
      </c>
      <c r="J313" s="88">
        <f t="shared" si="91"/>
        <v>-333.75</v>
      </c>
      <c r="K313" s="88">
        <f t="shared" si="91"/>
        <v>0</v>
      </c>
      <c r="L313" s="88">
        <f t="shared" si="91"/>
        <v>634.64</v>
      </c>
      <c r="M313" s="88">
        <f t="shared" si="91"/>
        <v>94</v>
      </c>
      <c r="N313" s="88">
        <f t="shared" si="91"/>
        <v>0</v>
      </c>
      <c r="O313" s="88">
        <f t="shared" si="91"/>
        <v>728.64</v>
      </c>
      <c r="P313" s="88">
        <f t="shared" si="91"/>
        <v>0</v>
      </c>
      <c r="Q313" s="88">
        <f t="shared" si="91"/>
        <v>728.64</v>
      </c>
      <c r="R313" s="89">
        <f t="shared" si="91"/>
        <v>612.86</v>
      </c>
      <c r="S313" s="150">
        <f t="shared" si="79"/>
        <v>84.11012296881863</v>
      </c>
    </row>
    <row r="314" spans="1:19" ht="12.75">
      <c r="A314" s="9" t="s">
        <v>34</v>
      </c>
      <c r="B314" s="90"/>
      <c r="C314" s="71"/>
      <c r="D314" s="71"/>
      <c r="E314" s="71"/>
      <c r="F314" s="71"/>
      <c r="G314" s="72"/>
      <c r="H314" s="72"/>
      <c r="I314" s="72"/>
      <c r="J314" s="71"/>
      <c r="K314" s="71"/>
      <c r="L314" s="71"/>
      <c r="M314" s="71"/>
      <c r="N314" s="71"/>
      <c r="O314" s="71"/>
      <c r="P314" s="76"/>
      <c r="Q314" s="60"/>
      <c r="R314" s="60"/>
      <c r="S314" s="50"/>
    </row>
    <row r="315" spans="1:19" ht="12.75">
      <c r="A315" s="11" t="s">
        <v>69</v>
      </c>
      <c r="B315" s="90"/>
      <c r="C315" s="71"/>
      <c r="D315" s="71">
        <v>242</v>
      </c>
      <c r="E315" s="71"/>
      <c r="F315" s="71">
        <f>C315+D315+E315</f>
        <v>242</v>
      </c>
      <c r="G315" s="72"/>
      <c r="H315" s="72"/>
      <c r="I315" s="72">
        <f>F315+G315+H315</f>
        <v>242</v>
      </c>
      <c r="J315" s="71"/>
      <c r="K315" s="71"/>
      <c r="L315" s="71">
        <f>I315+J315+K315</f>
        <v>242</v>
      </c>
      <c r="M315" s="71"/>
      <c r="N315" s="71"/>
      <c r="O315" s="71">
        <f>L315+M315+N315</f>
        <v>242</v>
      </c>
      <c r="P315" s="76"/>
      <c r="Q315" s="60">
        <v>242</v>
      </c>
      <c r="R315" s="60">
        <v>126.4</v>
      </c>
      <c r="S315" s="50">
        <f t="shared" si="79"/>
        <v>52.231404958677686</v>
      </c>
    </row>
    <row r="316" spans="1:19" ht="12.75">
      <c r="A316" s="11" t="s">
        <v>84</v>
      </c>
      <c r="B316" s="90"/>
      <c r="C316" s="71"/>
      <c r="D316" s="71"/>
      <c r="E316" s="71"/>
      <c r="F316" s="71">
        <f>C316+D316+E316</f>
        <v>0</v>
      </c>
      <c r="G316" s="72"/>
      <c r="H316" s="72"/>
      <c r="I316" s="72">
        <f>F316+G316+H316</f>
        <v>0</v>
      </c>
      <c r="J316" s="71"/>
      <c r="K316" s="71"/>
      <c r="L316" s="71">
        <f>I316+J316+K316</f>
        <v>0</v>
      </c>
      <c r="M316" s="71">
        <v>94</v>
      </c>
      <c r="N316" s="71"/>
      <c r="O316" s="71">
        <f>L316+M316+N316</f>
        <v>94</v>
      </c>
      <c r="P316" s="76"/>
      <c r="Q316" s="60">
        <v>94</v>
      </c>
      <c r="R316" s="60">
        <v>93.82</v>
      </c>
      <c r="S316" s="50">
        <f t="shared" si="79"/>
        <v>99.80851063829786</v>
      </c>
    </row>
    <row r="317" spans="1:19" ht="12.75">
      <c r="A317" s="11" t="s">
        <v>323</v>
      </c>
      <c r="B317" s="90"/>
      <c r="C317" s="71"/>
      <c r="D317" s="71"/>
      <c r="E317" s="71"/>
      <c r="F317" s="71">
        <f>C317+D317+E317</f>
        <v>0</v>
      </c>
      <c r="G317" s="72">
        <v>333.75</v>
      </c>
      <c r="H317" s="72"/>
      <c r="I317" s="72">
        <f>F317+G317+H317</f>
        <v>333.75</v>
      </c>
      <c r="J317" s="71"/>
      <c r="K317" s="71"/>
      <c r="L317" s="71">
        <f>I317+J317+K317</f>
        <v>333.75</v>
      </c>
      <c r="M317" s="71"/>
      <c r="N317" s="71"/>
      <c r="O317" s="71">
        <f>L317+M317+N317</f>
        <v>333.75</v>
      </c>
      <c r="P317" s="76"/>
      <c r="Q317" s="60">
        <v>333.75</v>
      </c>
      <c r="R317" s="60">
        <v>333.75</v>
      </c>
      <c r="S317" s="50">
        <f t="shared" si="79"/>
        <v>100</v>
      </c>
    </row>
    <row r="318" spans="1:19" ht="12.75">
      <c r="A318" s="10" t="s">
        <v>96</v>
      </c>
      <c r="B318" s="94"/>
      <c r="C318" s="95"/>
      <c r="D318" s="95">
        <v>392.64</v>
      </c>
      <c r="E318" s="95"/>
      <c r="F318" s="95">
        <f>C318+D318+E318</f>
        <v>392.64</v>
      </c>
      <c r="G318" s="96"/>
      <c r="H318" s="96"/>
      <c r="I318" s="96">
        <f>F318+G318+H318</f>
        <v>392.64</v>
      </c>
      <c r="J318" s="95">
        <f>-333.75</f>
        <v>-333.75</v>
      </c>
      <c r="K318" s="95"/>
      <c r="L318" s="95">
        <f>I318+J318+K318</f>
        <v>58.889999999999986</v>
      </c>
      <c r="M318" s="95"/>
      <c r="N318" s="95"/>
      <c r="O318" s="95">
        <f>L318+M318+N318</f>
        <v>58.889999999999986</v>
      </c>
      <c r="P318" s="97"/>
      <c r="Q318" s="53">
        <v>58.889999999999986</v>
      </c>
      <c r="R318" s="53">
        <v>58.89</v>
      </c>
      <c r="S318" s="52">
        <f t="shared" si="79"/>
        <v>100.00000000000003</v>
      </c>
    </row>
    <row r="319" spans="1:19" ht="12.75">
      <c r="A319" s="17" t="s">
        <v>115</v>
      </c>
      <c r="B319" s="105"/>
      <c r="C319" s="79">
        <f>C320+C330</f>
        <v>140239.6</v>
      </c>
      <c r="D319" s="79">
        <f>D320+D330</f>
        <v>730</v>
      </c>
      <c r="E319" s="79">
        <f>E320+E330</f>
        <v>500</v>
      </c>
      <c r="F319" s="79">
        <f>F320+F330</f>
        <v>141469.6</v>
      </c>
      <c r="G319" s="80">
        <f aca="true" t="shared" si="92" ref="G319:P319">G320+G330</f>
        <v>1986.5</v>
      </c>
      <c r="H319" s="80">
        <f t="shared" si="92"/>
        <v>-300</v>
      </c>
      <c r="I319" s="80">
        <f t="shared" si="92"/>
        <v>143156.1</v>
      </c>
      <c r="J319" s="79">
        <f t="shared" si="92"/>
        <v>3642.4</v>
      </c>
      <c r="K319" s="79">
        <f t="shared" si="92"/>
        <v>0</v>
      </c>
      <c r="L319" s="79">
        <f t="shared" si="92"/>
        <v>146798.5</v>
      </c>
      <c r="M319" s="79">
        <f>M320+M330</f>
        <v>510</v>
      </c>
      <c r="N319" s="79">
        <f>N320+N330</f>
        <v>0</v>
      </c>
      <c r="O319" s="79">
        <f>O320+O330</f>
        <v>147308.5</v>
      </c>
      <c r="P319" s="79">
        <f t="shared" si="92"/>
        <v>97</v>
      </c>
      <c r="Q319" s="79">
        <f>Q320+Q330</f>
        <v>147405.5</v>
      </c>
      <c r="R319" s="80">
        <f>R320+R330</f>
        <v>147354.88</v>
      </c>
      <c r="S319" s="148">
        <f t="shared" si="79"/>
        <v>99.96565935463738</v>
      </c>
    </row>
    <row r="320" spans="1:19" ht="12.75">
      <c r="A320" s="13" t="s">
        <v>63</v>
      </c>
      <c r="B320" s="91"/>
      <c r="C320" s="88">
        <f>SUM(C322:C329)</f>
        <v>140239.6</v>
      </c>
      <c r="D320" s="88">
        <f>SUM(D322:D329)</f>
        <v>730</v>
      </c>
      <c r="E320" s="88">
        <f>SUM(E322:E329)</f>
        <v>0</v>
      </c>
      <c r="F320" s="88">
        <f>SUM(F322:F329)</f>
        <v>140969.6</v>
      </c>
      <c r="G320" s="89">
        <f aca="true" t="shared" si="93" ref="G320:P320">SUM(G322:G329)</f>
        <v>1986.5</v>
      </c>
      <c r="H320" s="89">
        <f t="shared" si="93"/>
        <v>-300</v>
      </c>
      <c r="I320" s="89">
        <f t="shared" si="93"/>
        <v>142656.1</v>
      </c>
      <c r="J320" s="88">
        <f t="shared" si="93"/>
        <v>3599.4</v>
      </c>
      <c r="K320" s="88">
        <f t="shared" si="93"/>
        <v>0</v>
      </c>
      <c r="L320" s="88">
        <f t="shared" si="93"/>
        <v>146255.5</v>
      </c>
      <c r="M320" s="88">
        <f>SUM(M322:M329)</f>
        <v>510</v>
      </c>
      <c r="N320" s="88">
        <f>SUM(N322:N329)</f>
        <v>0</v>
      </c>
      <c r="O320" s="88">
        <f>SUM(O322:O329)</f>
        <v>146765.5</v>
      </c>
      <c r="P320" s="88">
        <f t="shared" si="93"/>
        <v>97</v>
      </c>
      <c r="Q320" s="88">
        <f>SUM(Q322:Q329)</f>
        <v>146862.5</v>
      </c>
      <c r="R320" s="89">
        <f>SUM(R322:R329)</f>
        <v>146811.88</v>
      </c>
      <c r="S320" s="150">
        <f t="shared" si="79"/>
        <v>99.96553238573496</v>
      </c>
    </row>
    <row r="321" spans="1:19" ht="12.75">
      <c r="A321" s="9" t="s">
        <v>34</v>
      </c>
      <c r="B321" s="90"/>
      <c r="C321" s="71"/>
      <c r="D321" s="71"/>
      <c r="E321" s="71"/>
      <c r="F321" s="71"/>
      <c r="G321" s="72"/>
      <c r="H321" s="72"/>
      <c r="I321" s="72"/>
      <c r="J321" s="71"/>
      <c r="K321" s="71"/>
      <c r="L321" s="71"/>
      <c r="M321" s="71"/>
      <c r="N321" s="71"/>
      <c r="O321" s="71"/>
      <c r="P321" s="76"/>
      <c r="Q321" s="60"/>
      <c r="R321" s="60"/>
      <c r="S321" s="50"/>
    </row>
    <row r="322" spans="1:19" ht="12.75">
      <c r="A322" s="11" t="s">
        <v>92</v>
      </c>
      <c r="B322" s="90"/>
      <c r="C322" s="71">
        <v>120771.1</v>
      </c>
      <c r="D322" s="71">
        <f>100+300</f>
        <v>400</v>
      </c>
      <c r="E322" s="71"/>
      <c r="F322" s="71">
        <f>C322+D322+E322</f>
        <v>121171.1</v>
      </c>
      <c r="G322" s="72">
        <v>350</v>
      </c>
      <c r="H322" s="72"/>
      <c r="I322" s="72">
        <f>F322+G322+H322</f>
        <v>121521.1</v>
      </c>
      <c r="J322" s="71">
        <f>3111.4+117+270</f>
        <v>3498.4</v>
      </c>
      <c r="K322" s="71"/>
      <c r="L322" s="71">
        <f>I322+J322+K322</f>
        <v>125019.5</v>
      </c>
      <c r="M322" s="71">
        <f>35+796+200</f>
        <v>1031</v>
      </c>
      <c r="N322" s="71"/>
      <c r="O322" s="71">
        <f>L322+M322+N322</f>
        <v>126050.5</v>
      </c>
      <c r="P322" s="76">
        <f>50</f>
        <v>50</v>
      </c>
      <c r="Q322" s="60">
        <v>126100.5</v>
      </c>
      <c r="R322" s="60">
        <v>126100.5</v>
      </c>
      <c r="S322" s="50">
        <f t="shared" si="79"/>
        <v>100</v>
      </c>
    </row>
    <row r="323" spans="1:19" ht="12.75">
      <c r="A323" s="11" t="s">
        <v>65</v>
      </c>
      <c r="B323" s="90"/>
      <c r="C323" s="71">
        <v>16222.5</v>
      </c>
      <c r="D323" s="71">
        <f>-670-3858+500+130-300</f>
        <v>-4198</v>
      </c>
      <c r="E323" s="71"/>
      <c r="F323" s="71">
        <f aca="true" t="shared" si="94" ref="F323:F329">C323+D323+E323</f>
        <v>12024.5</v>
      </c>
      <c r="G323" s="72">
        <f>291.5+200</f>
        <v>491.5</v>
      </c>
      <c r="H323" s="72"/>
      <c r="I323" s="72">
        <f aca="true" t="shared" si="95" ref="I323:I329">F323+G323+H323</f>
        <v>12516</v>
      </c>
      <c r="J323" s="71">
        <f>-117</f>
        <v>-117</v>
      </c>
      <c r="K323" s="71"/>
      <c r="L323" s="71">
        <f aca="true" t="shared" si="96" ref="L323:L329">I323+J323+K323</f>
        <v>12399</v>
      </c>
      <c r="M323" s="71">
        <f>-796+200</f>
        <v>-596</v>
      </c>
      <c r="N323" s="71"/>
      <c r="O323" s="71">
        <f aca="true" t="shared" si="97" ref="O323:O329">L323+M323+N323</f>
        <v>11803</v>
      </c>
      <c r="P323" s="76">
        <f>50</f>
        <v>50</v>
      </c>
      <c r="Q323" s="60">
        <v>11853</v>
      </c>
      <c r="R323" s="60">
        <v>11852.38</v>
      </c>
      <c r="S323" s="50">
        <f t="shared" si="79"/>
        <v>99.99476925672825</v>
      </c>
    </row>
    <row r="324" spans="1:19" ht="12.75">
      <c r="A324" s="11" t="s">
        <v>164</v>
      </c>
      <c r="B324" s="90"/>
      <c r="C324" s="71">
        <v>3246</v>
      </c>
      <c r="D324" s="71"/>
      <c r="E324" s="71"/>
      <c r="F324" s="71">
        <f t="shared" si="94"/>
        <v>3246</v>
      </c>
      <c r="G324" s="72"/>
      <c r="H324" s="72"/>
      <c r="I324" s="72">
        <f t="shared" si="95"/>
        <v>3246</v>
      </c>
      <c r="J324" s="71"/>
      <c r="K324" s="71"/>
      <c r="L324" s="71">
        <f t="shared" si="96"/>
        <v>3246</v>
      </c>
      <c r="M324" s="71"/>
      <c r="N324" s="71"/>
      <c r="O324" s="71">
        <f t="shared" si="97"/>
        <v>3246</v>
      </c>
      <c r="P324" s="76"/>
      <c r="Q324" s="60">
        <v>3246</v>
      </c>
      <c r="R324" s="60">
        <v>3196</v>
      </c>
      <c r="S324" s="50">
        <f t="shared" si="79"/>
        <v>98.4596426370918</v>
      </c>
    </row>
    <row r="325" spans="1:19" ht="12.75">
      <c r="A325" s="11" t="s">
        <v>80</v>
      </c>
      <c r="B325" s="90"/>
      <c r="C325" s="71"/>
      <c r="D325" s="71">
        <f>670+3858</f>
        <v>4528</v>
      </c>
      <c r="E325" s="71"/>
      <c r="F325" s="71">
        <f t="shared" si="94"/>
        <v>4528</v>
      </c>
      <c r="G325" s="72">
        <v>300</v>
      </c>
      <c r="H325" s="72">
        <v>-300</v>
      </c>
      <c r="I325" s="72">
        <f t="shared" si="95"/>
        <v>4528</v>
      </c>
      <c r="J325" s="71"/>
      <c r="K325" s="71"/>
      <c r="L325" s="71">
        <f t="shared" si="96"/>
        <v>4528</v>
      </c>
      <c r="M325" s="71"/>
      <c r="N325" s="71"/>
      <c r="O325" s="71">
        <f t="shared" si="97"/>
        <v>4528</v>
      </c>
      <c r="P325" s="76"/>
      <c r="Q325" s="60">
        <v>4528</v>
      </c>
      <c r="R325" s="60">
        <v>4528</v>
      </c>
      <c r="S325" s="50">
        <f t="shared" si="79"/>
        <v>100</v>
      </c>
    </row>
    <row r="326" spans="1:19" ht="12.75">
      <c r="A326" s="11" t="s">
        <v>116</v>
      </c>
      <c r="B326" s="90">
        <v>34070</v>
      </c>
      <c r="C326" s="71"/>
      <c r="D326" s="71"/>
      <c r="E326" s="71"/>
      <c r="F326" s="71">
        <f t="shared" si="94"/>
        <v>0</v>
      </c>
      <c r="G326" s="72">
        <f>92+100+280</f>
        <v>472</v>
      </c>
      <c r="H326" s="72"/>
      <c r="I326" s="72">
        <f t="shared" si="95"/>
        <v>472</v>
      </c>
      <c r="J326" s="71">
        <f>12+120+31</f>
        <v>163</v>
      </c>
      <c r="K326" s="71"/>
      <c r="L326" s="71">
        <f t="shared" si="96"/>
        <v>635</v>
      </c>
      <c r="M326" s="71"/>
      <c r="N326" s="71"/>
      <c r="O326" s="71">
        <f t="shared" si="97"/>
        <v>635</v>
      </c>
      <c r="P326" s="76"/>
      <c r="Q326" s="60">
        <v>635</v>
      </c>
      <c r="R326" s="60">
        <v>635</v>
      </c>
      <c r="S326" s="50">
        <f t="shared" si="79"/>
        <v>100</v>
      </c>
    </row>
    <row r="327" spans="1:19" ht="12.75">
      <c r="A327" s="11" t="s">
        <v>117</v>
      </c>
      <c r="B327" s="90">
        <v>34053</v>
      </c>
      <c r="C327" s="71"/>
      <c r="D327" s="71"/>
      <c r="E327" s="71"/>
      <c r="F327" s="71">
        <f t="shared" si="94"/>
        <v>0</v>
      </c>
      <c r="G327" s="72">
        <f>64+277+32</f>
        <v>373</v>
      </c>
      <c r="H327" s="72"/>
      <c r="I327" s="72">
        <f t="shared" si="95"/>
        <v>373</v>
      </c>
      <c r="J327" s="71">
        <v>32</v>
      </c>
      <c r="K327" s="71"/>
      <c r="L327" s="71">
        <f t="shared" si="96"/>
        <v>405</v>
      </c>
      <c r="M327" s="71"/>
      <c r="N327" s="71"/>
      <c r="O327" s="71">
        <f>L327+M327+N327</f>
        <v>405</v>
      </c>
      <c r="P327" s="76"/>
      <c r="Q327" s="60">
        <v>405</v>
      </c>
      <c r="R327" s="60">
        <v>405</v>
      </c>
      <c r="S327" s="50">
        <f t="shared" si="79"/>
        <v>100</v>
      </c>
    </row>
    <row r="328" spans="1:19" ht="12.75">
      <c r="A328" s="11" t="s">
        <v>344</v>
      </c>
      <c r="B328" s="90">
        <v>34013</v>
      </c>
      <c r="C328" s="71"/>
      <c r="D328" s="71"/>
      <c r="E328" s="71"/>
      <c r="F328" s="71"/>
      <c r="G328" s="72"/>
      <c r="H328" s="72"/>
      <c r="I328" s="72">
        <f t="shared" si="95"/>
        <v>0</v>
      </c>
      <c r="J328" s="71">
        <v>23</v>
      </c>
      <c r="K328" s="71"/>
      <c r="L328" s="71">
        <f t="shared" si="96"/>
        <v>23</v>
      </c>
      <c r="M328" s="71">
        <f>28+21+26</f>
        <v>75</v>
      </c>
      <c r="N328" s="71"/>
      <c r="O328" s="71">
        <f>L328+M328+N328</f>
        <v>98</v>
      </c>
      <c r="P328" s="76">
        <v>-3</v>
      </c>
      <c r="Q328" s="60">
        <v>95</v>
      </c>
      <c r="R328" s="60">
        <v>95</v>
      </c>
      <c r="S328" s="50">
        <f t="shared" si="79"/>
        <v>100</v>
      </c>
    </row>
    <row r="329" spans="1:19" ht="12.75" hidden="1">
      <c r="A329" s="11" t="s">
        <v>96</v>
      </c>
      <c r="B329" s="90"/>
      <c r="C329" s="71"/>
      <c r="D329" s="71"/>
      <c r="E329" s="71"/>
      <c r="F329" s="71">
        <f t="shared" si="94"/>
        <v>0</v>
      </c>
      <c r="G329" s="72"/>
      <c r="H329" s="72"/>
      <c r="I329" s="72">
        <f t="shared" si="95"/>
        <v>0</v>
      </c>
      <c r="J329" s="71"/>
      <c r="K329" s="71"/>
      <c r="L329" s="71">
        <f t="shared" si="96"/>
        <v>0</v>
      </c>
      <c r="M329" s="71"/>
      <c r="N329" s="71"/>
      <c r="O329" s="71">
        <f t="shared" si="97"/>
        <v>0</v>
      </c>
      <c r="P329" s="76"/>
      <c r="Q329" s="60">
        <v>0</v>
      </c>
      <c r="R329" s="60"/>
      <c r="S329" s="50" t="e">
        <f t="shared" si="79"/>
        <v>#DIV/0!</v>
      </c>
    </row>
    <row r="330" spans="1:19" ht="12.75">
      <c r="A330" s="13" t="s">
        <v>68</v>
      </c>
      <c r="B330" s="91"/>
      <c r="C330" s="88">
        <f>SUM(C332:C335)</f>
        <v>0</v>
      </c>
      <c r="D330" s="88">
        <f>SUM(D332:D335)</f>
        <v>0</v>
      </c>
      <c r="E330" s="88">
        <f>SUM(E332:E335)</f>
        <v>500</v>
      </c>
      <c r="F330" s="88">
        <f>SUM(F332:F335)</f>
        <v>500</v>
      </c>
      <c r="G330" s="89">
        <f aca="true" t="shared" si="98" ref="G330:R330">SUM(G332:G335)</f>
        <v>0</v>
      </c>
      <c r="H330" s="89">
        <f t="shared" si="98"/>
        <v>0</v>
      </c>
      <c r="I330" s="89">
        <f t="shared" si="98"/>
        <v>500</v>
      </c>
      <c r="J330" s="88">
        <f t="shared" si="98"/>
        <v>43</v>
      </c>
      <c r="K330" s="88">
        <f t="shared" si="98"/>
        <v>0</v>
      </c>
      <c r="L330" s="88">
        <f t="shared" si="98"/>
        <v>543</v>
      </c>
      <c r="M330" s="88">
        <f t="shared" si="98"/>
        <v>0</v>
      </c>
      <c r="N330" s="88">
        <f t="shared" si="98"/>
        <v>0</v>
      </c>
      <c r="O330" s="88">
        <f t="shared" si="98"/>
        <v>543</v>
      </c>
      <c r="P330" s="88">
        <f t="shared" si="98"/>
        <v>0</v>
      </c>
      <c r="Q330" s="88">
        <f t="shared" si="98"/>
        <v>543</v>
      </c>
      <c r="R330" s="89">
        <f t="shared" si="98"/>
        <v>543</v>
      </c>
      <c r="S330" s="150">
        <f t="shared" si="79"/>
        <v>100</v>
      </c>
    </row>
    <row r="331" spans="1:19" ht="12.75">
      <c r="A331" s="9" t="s">
        <v>34</v>
      </c>
      <c r="B331" s="90"/>
      <c r="C331" s="71"/>
      <c r="D331" s="71"/>
      <c r="E331" s="71"/>
      <c r="F331" s="71"/>
      <c r="G331" s="72"/>
      <c r="H331" s="72"/>
      <c r="I331" s="72"/>
      <c r="J331" s="71"/>
      <c r="K331" s="71"/>
      <c r="L331" s="71"/>
      <c r="M331" s="71"/>
      <c r="N331" s="71"/>
      <c r="O331" s="71"/>
      <c r="P331" s="76"/>
      <c r="Q331" s="60"/>
      <c r="R331" s="60"/>
      <c r="S331" s="50"/>
    </row>
    <row r="332" spans="1:19" ht="12.75">
      <c r="A332" s="11" t="s">
        <v>117</v>
      </c>
      <c r="B332" s="90">
        <v>34544</v>
      </c>
      <c r="C332" s="71"/>
      <c r="D332" s="71"/>
      <c r="E332" s="71"/>
      <c r="F332" s="71">
        <f>C332+D332+E332</f>
        <v>0</v>
      </c>
      <c r="G332" s="72"/>
      <c r="H332" s="72"/>
      <c r="I332" s="72">
        <f>F332+G332+H332</f>
        <v>0</v>
      </c>
      <c r="J332" s="71">
        <v>43</v>
      </c>
      <c r="K332" s="71"/>
      <c r="L332" s="71">
        <f>I332+J332+K332</f>
        <v>43</v>
      </c>
      <c r="M332" s="71"/>
      <c r="N332" s="71"/>
      <c r="O332" s="71">
        <f>L332+M332+N332</f>
        <v>43</v>
      </c>
      <c r="P332" s="76"/>
      <c r="Q332" s="60">
        <v>43</v>
      </c>
      <c r="R332" s="60">
        <v>43</v>
      </c>
      <c r="S332" s="50">
        <f aca="true" t="shared" si="99" ref="S332:S392">R332/Q332*100</f>
        <v>100</v>
      </c>
    </row>
    <row r="333" spans="1:19" ht="12.75" hidden="1">
      <c r="A333" s="27" t="s">
        <v>84</v>
      </c>
      <c r="B333" s="90"/>
      <c r="C333" s="71"/>
      <c r="D333" s="71"/>
      <c r="E333" s="71"/>
      <c r="F333" s="71">
        <f>C333+D333+E333</f>
        <v>0</v>
      </c>
      <c r="G333" s="72"/>
      <c r="H333" s="72"/>
      <c r="I333" s="72">
        <f>F333+G333+H333</f>
        <v>0</v>
      </c>
      <c r="J333" s="71"/>
      <c r="K333" s="71"/>
      <c r="L333" s="71">
        <f>I333+J333+K333</f>
        <v>0</v>
      </c>
      <c r="M333" s="71"/>
      <c r="N333" s="71"/>
      <c r="O333" s="71">
        <f>L333+M333+N333</f>
        <v>0</v>
      </c>
      <c r="P333" s="76"/>
      <c r="Q333" s="60">
        <v>0</v>
      </c>
      <c r="R333" s="60"/>
      <c r="S333" s="50" t="e">
        <f t="shared" si="99"/>
        <v>#DIV/0!</v>
      </c>
    </row>
    <row r="334" spans="1:19" ht="12.75">
      <c r="A334" s="106" t="s">
        <v>69</v>
      </c>
      <c r="B334" s="94"/>
      <c r="C334" s="95"/>
      <c r="D334" s="95"/>
      <c r="E334" s="95">
        <v>500</v>
      </c>
      <c r="F334" s="95">
        <f>C334+D334+E334</f>
        <v>500</v>
      </c>
      <c r="G334" s="96"/>
      <c r="H334" s="96"/>
      <c r="I334" s="96">
        <f>F334+G334+H334</f>
        <v>500</v>
      </c>
      <c r="J334" s="95"/>
      <c r="K334" s="95"/>
      <c r="L334" s="95">
        <f>I334+J334+K334</f>
        <v>500</v>
      </c>
      <c r="M334" s="95"/>
      <c r="N334" s="95"/>
      <c r="O334" s="95">
        <f>L334+M334+N334</f>
        <v>500</v>
      </c>
      <c r="P334" s="97"/>
      <c r="Q334" s="53">
        <v>500</v>
      </c>
      <c r="R334" s="53">
        <v>500</v>
      </c>
      <c r="S334" s="52">
        <f t="shared" si="99"/>
        <v>100</v>
      </c>
    </row>
    <row r="335" spans="1:19" ht="12.75" hidden="1">
      <c r="A335" s="16" t="s">
        <v>96</v>
      </c>
      <c r="B335" s="94"/>
      <c r="C335" s="95"/>
      <c r="D335" s="95"/>
      <c r="E335" s="95"/>
      <c r="F335" s="95">
        <f>C335+D335+E335</f>
        <v>0</v>
      </c>
      <c r="G335" s="96"/>
      <c r="H335" s="96"/>
      <c r="I335" s="96">
        <f>F335+G335+H335</f>
        <v>0</v>
      </c>
      <c r="J335" s="95"/>
      <c r="K335" s="95"/>
      <c r="L335" s="95">
        <f>I335+J335+K335</f>
        <v>0</v>
      </c>
      <c r="M335" s="104"/>
      <c r="N335" s="95"/>
      <c r="O335" s="95">
        <f>L335+M335+N335</f>
        <v>0</v>
      </c>
      <c r="P335" s="97"/>
      <c r="Q335" s="53">
        <v>0</v>
      </c>
      <c r="R335" s="60"/>
      <c r="S335" s="50" t="e">
        <f t="shared" si="99"/>
        <v>#DIV/0!</v>
      </c>
    </row>
    <row r="336" spans="1:19" ht="12.75">
      <c r="A336" s="17" t="s">
        <v>223</v>
      </c>
      <c r="B336" s="105"/>
      <c r="C336" s="67">
        <f>C337+C360</f>
        <v>267594.8</v>
      </c>
      <c r="D336" s="67">
        <f>D337+D360</f>
        <v>473047.02</v>
      </c>
      <c r="E336" s="67">
        <f>E337+E360</f>
        <v>-1000</v>
      </c>
      <c r="F336" s="67">
        <f>F337+F360</f>
        <v>739641.82</v>
      </c>
      <c r="G336" s="68">
        <f aca="true" t="shared" si="100" ref="G336:P336">G337+G360</f>
        <v>133947.54</v>
      </c>
      <c r="H336" s="68">
        <f t="shared" si="100"/>
        <v>-28000</v>
      </c>
      <c r="I336" s="68">
        <f t="shared" si="100"/>
        <v>845589.36</v>
      </c>
      <c r="J336" s="67">
        <f t="shared" si="100"/>
        <v>101628.22000000002</v>
      </c>
      <c r="K336" s="67">
        <f t="shared" si="100"/>
        <v>0</v>
      </c>
      <c r="L336" s="67">
        <f t="shared" si="100"/>
        <v>947217.5800000002</v>
      </c>
      <c r="M336" s="67">
        <f>M337+M360</f>
        <v>303187.83999999997</v>
      </c>
      <c r="N336" s="67">
        <f>N337+N360</f>
        <v>0</v>
      </c>
      <c r="O336" s="67">
        <f>O337+O360</f>
        <v>1250405.4200000002</v>
      </c>
      <c r="P336" s="67">
        <f t="shared" si="100"/>
        <v>82218.28999999995</v>
      </c>
      <c r="Q336" s="67">
        <f>Q337+Q360</f>
        <v>1332623.72</v>
      </c>
      <c r="R336" s="68">
        <f>R337+R360</f>
        <v>795552.61</v>
      </c>
      <c r="S336" s="148">
        <f t="shared" si="99"/>
        <v>59.69821773846259</v>
      </c>
    </row>
    <row r="337" spans="1:19" ht="12.75">
      <c r="A337" s="13" t="s">
        <v>63</v>
      </c>
      <c r="B337" s="91"/>
      <c r="C337" s="88">
        <f>SUM(C339:C352)</f>
        <v>43625.5</v>
      </c>
      <c r="D337" s="88">
        <f>SUM(D339:D352)</f>
        <v>19193.629999999997</v>
      </c>
      <c r="E337" s="88">
        <f>SUM(E339:E352)</f>
        <v>0</v>
      </c>
      <c r="F337" s="88">
        <f>SUM(F339:F352)</f>
        <v>62819.13</v>
      </c>
      <c r="G337" s="89">
        <f aca="true" t="shared" si="101" ref="G337:P337">SUM(G339:G352)</f>
        <v>8758.960000000001</v>
      </c>
      <c r="H337" s="89">
        <f t="shared" si="101"/>
        <v>0</v>
      </c>
      <c r="I337" s="89">
        <f t="shared" si="101"/>
        <v>71578.09</v>
      </c>
      <c r="J337" s="88">
        <f t="shared" si="101"/>
        <v>39119.409999999996</v>
      </c>
      <c r="K337" s="88">
        <f t="shared" si="101"/>
        <v>700</v>
      </c>
      <c r="L337" s="88">
        <f t="shared" si="101"/>
        <v>111397.5</v>
      </c>
      <c r="M337" s="88">
        <f>SUM(M339:M352)</f>
        <v>2641.7199999999993</v>
      </c>
      <c r="N337" s="88">
        <f>SUM(N339:N352)</f>
        <v>0</v>
      </c>
      <c r="O337" s="88">
        <f>SUM(O339:O352)</f>
        <v>114039.22</v>
      </c>
      <c r="P337" s="88">
        <f t="shared" si="101"/>
        <v>2121.62</v>
      </c>
      <c r="Q337" s="88">
        <f>SUM(Q339:Q352)</f>
        <v>116160.84</v>
      </c>
      <c r="R337" s="89">
        <f>SUM(R339:R352)</f>
        <v>90228.16</v>
      </c>
      <c r="S337" s="150">
        <f t="shared" si="99"/>
        <v>77.67519587496096</v>
      </c>
    </row>
    <row r="338" spans="1:19" ht="12.75">
      <c r="A338" s="9" t="s">
        <v>34</v>
      </c>
      <c r="B338" s="90"/>
      <c r="C338" s="88"/>
      <c r="D338" s="107"/>
      <c r="E338" s="88"/>
      <c r="F338" s="88"/>
      <c r="G338" s="72"/>
      <c r="H338" s="72"/>
      <c r="I338" s="72"/>
      <c r="J338" s="71"/>
      <c r="K338" s="71"/>
      <c r="L338" s="71"/>
      <c r="M338" s="78"/>
      <c r="N338" s="71"/>
      <c r="O338" s="71"/>
      <c r="P338" s="76"/>
      <c r="Q338" s="60"/>
      <c r="R338" s="60"/>
      <c r="S338" s="50"/>
    </row>
    <row r="339" spans="1:19" ht="12.75">
      <c r="A339" s="11" t="s">
        <v>65</v>
      </c>
      <c r="B339" s="90"/>
      <c r="C339" s="71">
        <v>582</v>
      </c>
      <c r="D339" s="78">
        <f>694.23+60.5</f>
        <v>754.73</v>
      </c>
      <c r="E339" s="71"/>
      <c r="F339" s="71">
        <f aca="true" t="shared" si="102" ref="F339:F359">C339+D339+E339</f>
        <v>1336.73</v>
      </c>
      <c r="G339" s="72">
        <f>349.2+63.32</f>
        <v>412.52</v>
      </c>
      <c r="H339" s="72"/>
      <c r="I339" s="72">
        <f>F339+G339+H339</f>
        <v>1749.25</v>
      </c>
      <c r="J339" s="71"/>
      <c r="K339" s="71"/>
      <c r="L339" s="71">
        <f aca="true" t="shared" si="103" ref="L339:L359">I339+J339+K339</f>
        <v>1749.25</v>
      </c>
      <c r="M339" s="78">
        <v>95.87</v>
      </c>
      <c r="N339" s="71"/>
      <c r="O339" s="71">
        <f>L339+M339+N339</f>
        <v>1845.12</v>
      </c>
      <c r="P339" s="76"/>
      <c r="Q339" s="60">
        <v>1845.12</v>
      </c>
      <c r="R339" s="82">
        <v>82.98</v>
      </c>
      <c r="S339" s="50">
        <f t="shared" si="99"/>
        <v>4.497268470343393</v>
      </c>
    </row>
    <row r="340" spans="1:19" ht="12.75">
      <c r="A340" s="11" t="s">
        <v>235</v>
      </c>
      <c r="B340" s="90"/>
      <c r="C340" s="71">
        <v>1300</v>
      </c>
      <c r="D340" s="78">
        <f>500+169.5</f>
        <v>669.5</v>
      </c>
      <c r="E340" s="71"/>
      <c r="F340" s="71">
        <f t="shared" si="102"/>
        <v>1969.5</v>
      </c>
      <c r="G340" s="72"/>
      <c r="H340" s="72"/>
      <c r="I340" s="72">
        <f aca="true" t="shared" si="104" ref="I340:I359">F340+G340+H340</f>
        <v>1969.5</v>
      </c>
      <c r="J340" s="71"/>
      <c r="K340" s="71"/>
      <c r="L340" s="71">
        <f t="shared" si="103"/>
        <v>1969.5</v>
      </c>
      <c r="M340" s="78"/>
      <c r="N340" s="71"/>
      <c r="O340" s="71">
        <f aca="true" t="shared" si="105" ref="O340:O359">L340+M340+N340</f>
        <v>1969.5</v>
      </c>
      <c r="P340" s="76">
        <v>2000</v>
      </c>
      <c r="Q340" s="60">
        <v>3969.5</v>
      </c>
      <c r="R340" s="82">
        <v>1594.3</v>
      </c>
      <c r="S340" s="50">
        <f t="shared" si="99"/>
        <v>40.163748582944955</v>
      </c>
    </row>
    <row r="341" spans="1:19" ht="12.75">
      <c r="A341" s="11" t="s">
        <v>236</v>
      </c>
      <c r="B341" s="90"/>
      <c r="C341" s="71">
        <v>3861.2</v>
      </c>
      <c r="D341" s="78">
        <v>937.02</v>
      </c>
      <c r="E341" s="71">
        <v>200</v>
      </c>
      <c r="F341" s="71">
        <f t="shared" si="102"/>
        <v>4998.219999999999</v>
      </c>
      <c r="G341" s="72"/>
      <c r="H341" s="72"/>
      <c r="I341" s="72">
        <f t="shared" si="104"/>
        <v>4998.219999999999</v>
      </c>
      <c r="J341" s="71"/>
      <c r="K341" s="71"/>
      <c r="L341" s="71">
        <f t="shared" si="103"/>
        <v>4998.219999999999</v>
      </c>
      <c r="M341" s="78"/>
      <c r="N341" s="71"/>
      <c r="O341" s="71">
        <f t="shared" si="105"/>
        <v>4998.219999999999</v>
      </c>
      <c r="P341" s="76"/>
      <c r="Q341" s="60">
        <v>4998.219999999999</v>
      </c>
      <c r="R341" s="82">
        <v>3880.03</v>
      </c>
      <c r="S341" s="50">
        <f t="shared" si="99"/>
        <v>77.62823565189208</v>
      </c>
    </row>
    <row r="342" spans="1:19" ht="12.75">
      <c r="A342" s="33" t="s">
        <v>99</v>
      </c>
      <c r="B342" s="90"/>
      <c r="C342" s="71">
        <v>850</v>
      </c>
      <c r="D342" s="78"/>
      <c r="E342" s="71"/>
      <c r="F342" s="71">
        <f t="shared" si="102"/>
        <v>850</v>
      </c>
      <c r="G342" s="72"/>
      <c r="H342" s="72"/>
      <c r="I342" s="72">
        <f t="shared" si="104"/>
        <v>850</v>
      </c>
      <c r="J342" s="71"/>
      <c r="K342" s="71"/>
      <c r="L342" s="71">
        <f t="shared" si="103"/>
        <v>850</v>
      </c>
      <c r="M342" s="78"/>
      <c r="N342" s="71"/>
      <c r="O342" s="71">
        <f t="shared" si="105"/>
        <v>850</v>
      </c>
      <c r="P342" s="76"/>
      <c r="Q342" s="60">
        <v>850</v>
      </c>
      <c r="R342" s="82">
        <v>850</v>
      </c>
      <c r="S342" s="50">
        <f t="shared" si="99"/>
        <v>100</v>
      </c>
    </row>
    <row r="343" spans="1:19" ht="12.75">
      <c r="A343" s="7" t="s">
        <v>267</v>
      </c>
      <c r="B343" s="90"/>
      <c r="C343" s="71">
        <v>5357.3</v>
      </c>
      <c r="D343" s="78"/>
      <c r="E343" s="71"/>
      <c r="F343" s="71">
        <f t="shared" si="102"/>
        <v>5357.3</v>
      </c>
      <c r="G343" s="98">
        <f>700</f>
        <v>700</v>
      </c>
      <c r="H343" s="72"/>
      <c r="I343" s="72">
        <f t="shared" si="104"/>
        <v>6057.3</v>
      </c>
      <c r="J343" s="71"/>
      <c r="K343" s="71"/>
      <c r="L343" s="71">
        <f t="shared" si="103"/>
        <v>6057.3</v>
      </c>
      <c r="M343" s="78"/>
      <c r="N343" s="71"/>
      <c r="O343" s="71">
        <f t="shared" si="105"/>
        <v>6057.3</v>
      </c>
      <c r="P343" s="76"/>
      <c r="Q343" s="60">
        <v>6057.3</v>
      </c>
      <c r="R343" s="82">
        <v>6057.3</v>
      </c>
      <c r="S343" s="50">
        <f t="shared" si="99"/>
        <v>100</v>
      </c>
    </row>
    <row r="344" spans="1:19" ht="12.75">
      <c r="A344" s="11" t="s">
        <v>268</v>
      </c>
      <c r="B344" s="90"/>
      <c r="C344" s="71">
        <v>3500</v>
      </c>
      <c r="D344" s="78"/>
      <c r="E344" s="71"/>
      <c r="F344" s="71">
        <f t="shared" si="102"/>
        <v>3500</v>
      </c>
      <c r="G344" s="72"/>
      <c r="H344" s="72"/>
      <c r="I344" s="72">
        <f t="shared" si="104"/>
        <v>3500</v>
      </c>
      <c r="J344" s="71"/>
      <c r="K344" s="71"/>
      <c r="L344" s="71">
        <f t="shared" si="103"/>
        <v>3500</v>
      </c>
      <c r="M344" s="78"/>
      <c r="N344" s="71"/>
      <c r="O344" s="71">
        <f t="shared" si="105"/>
        <v>3500</v>
      </c>
      <c r="P344" s="76"/>
      <c r="Q344" s="60">
        <v>3500</v>
      </c>
      <c r="R344" s="82">
        <v>3500</v>
      </c>
      <c r="S344" s="50">
        <f t="shared" si="99"/>
        <v>100</v>
      </c>
    </row>
    <row r="345" spans="1:19" ht="12.75" hidden="1">
      <c r="A345" s="11" t="s">
        <v>258</v>
      </c>
      <c r="B345" s="90">
        <v>3000</v>
      </c>
      <c r="C345" s="71"/>
      <c r="D345" s="78">
        <v>1561.56</v>
      </c>
      <c r="E345" s="71"/>
      <c r="F345" s="71">
        <f t="shared" si="102"/>
        <v>1561.56</v>
      </c>
      <c r="G345" s="72"/>
      <c r="H345" s="72"/>
      <c r="I345" s="72">
        <f t="shared" si="104"/>
        <v>1561.56</v>
      </c>
      <c r="J345" s="71"/>
      <c r="K345" s="71"/>
      <c r="L345" s="71">
        <f t="shared" si="103"/>
        <v>1561.56</v>
      </c>
      <c r="M345" s="78">
        <f>-315.29</f>
        <v>-315.29</v>
      </c>
      <c r="N345" s="71"/>
      <c r="O345" s="71">
        <f t="shared" si="105"/>
        <v>1246.27</v>
      </c>
      <c r="P345" s="76"/>
      <c r="Q345" s="60"/>
      <c r="R345" s="82"/>
      <c r="S345" s="50" t="e">
        <f t="shared" si="99"/>
        <v>#DIV/0!</v>
      </c>
    </row>
    <row r="346" spans="1:19" ht="12.75">
      <c r="A346" s="11" t="s">
        <v>308</v>
      </c>
      <c r="B346" s="90">
        <v>3000</v>
      </c>
      <c r="C346" s="71"/>
      <c r="D346" s="78"/>
      <c r="E346" s="71"/>
      <c r="F346" s="71"/>
      <c r="G346" s="72">
        <v>650</v>
      </c>
      <c r="H346" s="72"/>
      <c r="I346" s="72">
        <f t="shared" si="104"/>
        <v>650</v>
      </c>
      <c r="J346" s="71">
        <f>2156.21</f>
        <v>2156.21</v>
      </c>
      <c r="K346" s="71"/>
      <c r="L346" s="71">
        <f t="shared" si="103"/>
        <v>2806.21</v>
      </c>
      <c r="M346" s="78">
        <f>-2156.21</f>
        <v>-2156.21</v>
      </c>
      <c r="N346" s="71"/>
      <c r="O346" s="71">
        <f t="shared" si="105"/>
        <v>650</v>
      </c>
      <c r="P346" s="76">
        <f>-40</f>
        <v>-40</v>
      </c>
      <c r="Q346" s="60">
        <f>610+1246.27</f>
        <v>1856.27</v>
      </c>
      <c r="R346" s="82">
        <v>1753.12</v>
      </c>
      <c r="S346" s="50">
        <f t="shared" si="99"/>
        <v>94.44315751480119</v>
      </c>
    </row>
    <row r="347" spans="1:19" ht="12.75">
      <c r="A347" s="11" t="s">
        <v>355</v>
      </c>
      <c r="B347" s="90">
        <v>13003</v>
      </c>
      <c r="C347" s="71"/>
      <c r="D347" s="78"/>
      <c r="E347" s="71"/>
      <c r="F347" s="71"/>
      <c r="G347" s="72"/>
      <c r="H347" s="72"/>
      <c r="I347" s="72"/>
      <c r="J347" s="71"/>
      <c r="K347" s="71"/>
      <c r="L347" s="71"/>
      <c r="M347" s="78"/>
      <c r="N347" s="71"/>
      <c r="O347" s="71">
        <f t="shared" si="105"/>
        <v>0</v>
      </c>
      <c r="P347" s="76">
        <v>161.62</v>
      </c>
      <c r="Q347" s="60">
        <v>161.62</v>
      </c>
      <c r="R347" s="82">
        <v>161.62</v>
      </c>
      <c r="S347" s="50">
        <f t="shared" si="99"/>
        <v>100</v>
      </c>
    </row>
    <row r="348" spans="1:19" ht="12.75">
      <c r="A348" s="11" t="s">
        <v>309</v>
      </c>
      <c r="B348" s="90"/>
      <c r="C348" s="71"/>
      <c r="D348" s="78"/>
      <c r="E348" s="71"/>
      <c r="F348" s="71"/>
      <c r="G348" s="72">
        <v>1650.41</v>
      </c>
      <c r="H348" s="72"/>
      <c r="I348" s="72">
        <f t="shared" si="104"/>
        <v>1650.41</v>
      </c>
      <c r="J348" s="71"/>
      <c r="K348" s="71"/>
      <c r="L348" s="71">
        <f t="shared" si="103"/>
        <v>1650.41</v>
      </c>
      <c r="M348" s="78"/>
      <c r="N348" s="71"/>
      <c r="O348" s="71">
        <f t="shared" si="105"/>
        <v>1650.41</v>
      </c>
      <c r="P348" s="76"/>
      <c r="Q348" s="60">
        <v>1650.41</v>
      </c>
      <c r="R348" s="82">
        <v>1650.41</v>
      </c>
      <c r="S348" s="50">
        <f t="shared" si="99"/>
        <v>100</v>
      </c>
    </row>
    <row r="349" spans="1:19" ht="12.75" hidden="1">
      <c r="A349" s="7" t="s">
        <v>204</v>
      </c>
      <c r="B349" s="90" t="s">
        <v>279</v>
      </c>
      <c r="C349" s="71"/>
      <c r="D349" s="78"/>
      <c r="E349" s="71"/>
      <c r="F349" s="71">
        <f t="shared" si="102"/>
        <v>0</v>
      </c>
      <c r="G349" s="72"/>
      <c r="H349" s="72"/>
      <c r="I349" s="72">
        <f t="shared" si="104"/>
        <v>0</v>
      </c>
      <c r="J349" s="71"/>
      <c r="K349" s="71"/>
      <c r="L349" s="71">
        <f t="shared" si="103"/>
        <v>0</v>
      </c>
      <c r="M349" s="78"/>
      <c r="N349" s="71"/>
      <c r="O349" s="71">
        <f t="shared" si="105"/>
        <v>0</v>
      </c>
      <c r="P349" s="76"/>
      <c r="Q349" s="60">
        <v>0</v>
      </c>
      <c r="R349" s="82"/>
      <c r="S349" s="50" t="e">
        <f t="shared" si="99"/>
        <v>#DIV/0!</v>
      </c>
    </row>
    <row r="350" spans="1:19" ht="12.75">
      <c r="A350" s="11" t="s">
        <v>228</v>
      </c>
      <c r="B350" s="90" t="s">
        <v>259</v>
      </c>
      <c r="C350" s="71"/>
      <c r="D350" s="78">
        <v>1262.83</v>
      </c>
      <c r="E350" s="71"/>
      <c r="F350" s="71">
        <f t="shared" si="102"/>
        <v>1262.83</v>
      </c>
      <c r="G350" s="98"/>
      <c r="H350" s="72"/>
      <c r="I350" s="72">
        <f t="shared" si="104"/>
        <v>1262.83</v>
      </c>
      <c r="J350" s="71"/>
      <c r="K350" s="71"/>
      <c r="L350" s="71">
        <f t="shared" si="103"/>
        <v>1262.83</v>
      </c>
      <c r="M350" s="78"/>
      <c r="N350" s="71"/>
      <c r="O350" s="71">
        <f t="shared" si="105"/>
        <v>1262.83</v>
      </c>
      <c r="P350" s="76"/>
      <c r="Q350" s="60">
        <v>1262.83</v>
      </c>
      <c r="R350" s="82">
        <v>603.86</v>
      </c>
      <c r="S350" s="50">
        <f t="shared" si="99"/>
        <v>47.81799608815122</v>
      </c>
    </row>
    <row r="351" spans="1:19" ht="12.75">
      <c r="A351" s="11" t="s">
        <v>346</v>
      </c>
      <c r="B351" s="90"/>
      <c r="C351" s="71"/>
      <c r="D351" s="78"/>
      <c r="E351" s="71"/>
      <c r="F351" s="71"/>
      <c r="G351" s="98"/>
      <c r="H351" s="72"/>
      <c r="I351" s="72"/>
      <c r="J351" s="71"/>
      <c r="K351" s="71">
        <v>700</v>
      </c>
      <c r="L351" s="71">
        <f t="shared" si="103"/>
        <v>700</v>
      </c>
      <c r="M351" s="78"/>
      <c r="N351" s="71"/>
      <c r="O351" s="71">
        <f t="shared" si="105"/>
        <v>700</v>
      </c>
      <c r="P351" s="76"/>
      <c r="Q351" s="60">
        <v>700</v>
      </c>
      <c r="R351" s="82">
        <v>304.58</v>
      </c>
      <c r="S351" s="50">
        <f t="shared" si="99"/>
        <v>43.51142857142857</v>
      </c>
    </row>
    <row r="352" spans="1:19" ht="12.75">
      <c r="A352" s="7" t="s">
        <v>96</v>
      </c>
      <c r="B352" s="90"/>
      <c r="C352" s="78">
        <f>SUM(C353:C359)</f>
        <v>28175</v>
      </c>
      <c r="D352" s="78">
        <f aca="true" t="shared" si="106" ref="D352:R352">SUM(D353:D359)</f>
        <v>14007.99</v>
      </c>
      <c r="E352" s="78">
        <f t="shared" si="106"/>
        <v>-200</v>
      </c>
      <c r="F352" s="78">
        <f t="shared" si="106"/>
        <v>41982.99</v>
      </c>
      <c r="G352" s="78">
        <f t="shared" si="106"/>
        <v>5346.030000000001</v>
      </c>
      <c r="H352" s="78">
        <f t="shared" si="106"/>
        <v>0</v>
      </c>
      <c r="I352" s="78">
        <f t="shared" si="106"/>
        <v>47329.02</v>
      </c>
      <c r="J352" s="78">
        <f t="shared" si="106"/>
        <v>36963.2</v>
      </c>
      <c r="K352" s="78">
        <f t="shared" si="106"/>
        <v>0</v>
      </c>
      <c r="L352" s="78">
        <f t="shared" si="106"/>
        <v>84292.22</v>
      </c>
      <c r="M352" s="78">
        <f t="shared" si="106"/>
        <v>5017.349999999999</v>
      </c>
      <c r="N352" s="78">
        <f t="shared" si="106"/>
        <v>0</v>
      </c>
      <c r="O352" s="78">
        <f t="shared" si="106"/>
        <v>89309.57</v>
      </c>
      <c r="P352" s="78">
        <f t="shared" si="106"/>
        <v>0</v>
      </c>
      <c r="Q352" s="78">
        <f t="shared" si="106"/>
        <v>89309.57</v>
      </c>
      <c r="R352" s="78">
        <f t="shared" si="106"/>
        <v>69789.96</v>
      </c>
      <c r="S352" s="50">
        <f t="shared" si="99"/>
        <v>78.1438764065262</v>
      </c>
    </row>
    <row r="353" spans="1:19" ht="12.75">
      <c r="A353" s="7" t="s">
        <v>256</v>
      </c>
      <c r="B353" s="90"/>
      <c r="C353" s="78">
        <v>27500</v>
      </c>
      <c r="D353" s="78">
        <f>10828.07-529.95</f>
        <v>10298.119999999999</v>
      </c>
      <c r="E353" s="71">
        <v>-200</v>
      </c>
      <c r="F353" s="71">
        <f t="shared" si="102"/>
        <v>37598.119999999995</v>
      </c>
      <c r="G353" s="98">
        <f>543.52+400+1600</f>
        <v>2543.52</v>
      </c>
      <c r="H353" s="72"/>
      <c r="I353" s="72">
        <f t="shared" si="104"/>
        <v>40141.63999999999</v>
      </c>
      <c r="J353" s="71"/>
      <c r="K353" s="71"/>
      <c r="L353" s="71">
        <f t="shared" si="103"/>
        <v>40141.63999999999</v>
      </c>
      <c r="M353" s="78"/>
      <c r="N353" s="71"/>
      <c r="O353" s="71">
        <f t="shared" si="105"/>
        <v>40141.63999999999</v>
      </c>
      <c r="P353" s="76"/>
      <c r="Q353" s="60">
        <v>40141.63999999999</v>
      </c>
      <c r="R353" s="82">
        <v>25777.27</v>
      </c>
      <c r="S353" s="50">
        <f t="shared" si="99"/>
        <v>64.2157868985921</v>
      </c>
    </row>
    <row r="354" spans="1:19" ht="12.75">
      <c r="A354" s="7" t="s">
        <v>255</v>
      </c>
      <c r="B354" s="90"/>
      <c r="C354" s="78">
        <v>375</v>
      </c>
      <c r="D354" s="78">
        <f>484+291.3</f>
        <v>775.3</v>
      </c>
      <c r="E354" s="71"/>
      <c r="F354" s="71">
        <f t="shared" si="102"/>
        <v>1150.3</v>
      </c>
      <c r="G354" s="72">
        <f>-363+451.5</f>
        <v>88.5</v>
      </c>
      <c r="H354" s="72"/>
      <c r="I354" s="72">
        <f t="shared" si="104"/>
        <v>1238.8</v>
      </c>
      <c r="J354" s="71">
        <f>35863.1-250-375</f>
        <v>35238.1</v>
      </c>
      <c r="K354" s="71"/>
      <c r="L354" s="71">
        <f t="shared" si="103"/>
        <v>36476.9</v>
      </c>
      <c r="M354" s="78">
        <f>56.85-384.71+53.18+123.65+56.85+309.33</f>
        <v>215.15000000000003</v>
      </c>
      <c r="N354" s="71"/>
      <c r="O354" s="71">
        <f t="shared" si="105"/>
        <v>36692.05</v>
      </c>
      <c r="P354" s="76"/>
      <c r="Q354" s="60">
        <v>36692.05</v>
      </c>
      <c r="R354" s="82">
        <v>32831.44</v>
      </c>
      <c r="S354" s="50">
        <f t="shared" si="99"/>
        <v>89.47834748944253</v>
      </c>
    </row>
    <row r="355" spans="1:19" ht="12.75">
      <c r="A355" s="7" t="s">
        <v>254</v>
      </c>
      <c r="B355" s="90"/>
      <c r="C355" s="78"/>
      <c r="D355" s="78">
        <f>13.95+69.84+38.07+83.23+30.25+3.03</f>
        <v>238.37000000000003</v>
      </c>
      <c r="E355" s="71"/>
      <c r="F355" s="71">
        <f t="shared" si="102"/>
        <v>238.37000000000003</v>
      </c>
      <c r="G355" s="72">
        <f>363+72.6+3890.39</f>
        <v>4325.99</v>
      </c>
      <c r="H355" s="72"/>
      <c r="I355" s="72">
        <f t="shared" si="104"/>
        <v>4564.36</v>
      </c>
      <c r="J355" s="71">
        <f>1330.39+388.71</f>
        <v>1719.1000000000001</v>
      </c>
      <c r="K355" s="71"/>
      <c r="L355" s="71">
        <f t="shared" si="103"/>
        <v>6283.46</v>
      </c>
      <c r="M355" s="78">
        <f>148.04+241.88+80+418.51+141.75+716.26+118.6+67.16+500+56.36+174.36+74.93+433.2+123.42+469.48+725.09+127.96</f>
        <v>4617</v>
      </c>
      <c r="N355" s="71"/>
      <c r="O355" s="71">
        <f t="shared" si="105"/>
        <v>10900.46</v>
      </c>
      <c r="P355" s="76"/>
      <c r="Q355" s="60">
        <v>10900.46</v>
      </c>
      <c r="R355" s="60">
        <v>10845</v>
      </c>
      <c r="S355" s="50">
        <f t="shared" si="99"/>
        <v>99.49121413224763</v>
      </c>
    </row>
    <row r="356" spans="1:19" ht="12.75">
      <c r="A356" s="7" t="s">
        <v>269</v>
      </c>
      <c r="B356" s="90"/>
      <c r="C356" s="78"/>
      <c r="D356" s="78">
        <f>286.04+1721.06</f>
        <v>2007.1</v>
      </c>
      <c r="E356" s="71"/>
      <c r="F356" s="71">
        <f t="shared" si="102"/>
        <v>2007.1</v>
      </c>
      <c r="G356" s="72">
        <f>-250-1591.98</f>
        <v>-1841.98</v>
      </c>
      <c r="H356" s="72"/>
      <c r="I356" s="72">
        <f t="shared" si="104"/>
        <v>165.1199999999999</v>
      </c>
      <c r="J356" s="71">
        <v>6</v>
      </c>
      <c r="K356" s="71"/>
      <c r="L356" s="71">
        <f t="shared" si="103"/>
        <v>171.1199999999999</v>
      </c>
      <c r="M356" s="78">
        <f>22.73</f>
        <v>22.73</v>
      </c>
      <c r="N356" s="71"/>
      <c r="O356" s="71">
        <f t="shared" si="105"/>
        <v>193.84999999999988</v>
      </c>
      <c r="P356" s="76"/>
      <c r="Q356" s="60">
        <v>193.84999999999988</v>
      </c>
      <c r="R356" s="60">
        <v>149.41</v>
      </c>
      <c r="S356" s="50">
        <f t="shared" si="99"/>
        <v>77.07505803456284</v>
      </c>
    </row>
    <row r="357" spans="1:19" ht="12.75">
      <c r="A357" s="7" t="s">
        <v>287</v>
      </c>
      <c r="B357" s="90"/>
      <c r="C357" s="78"/>
      <c r="D357" s="78">
        <v>89.1</v>
      </c>
      <c r="E357" s="71"/>
      <c r="F357" s="71">
        <f t="shared" si="102"/>
        <v>89.1</v>
      </c>
      <c r="G357" s="72"/>
      <c r="H357" s="72"/>
      <c r="I357" s="72">
        <f t="shared" si="104"/>
        <v>89.1</v>
      </c>
      <c r="J357" s="71"/>
      <c r="K357" s="71"/>
      <c r="L357" s="71">
        <f t="shared" si="103"/>
        <v>89.1</v>
      </c>
      <c r="M357" s="78"/>
      <c r="N357" s="71"/>
      <c r="O357" s="71">
        <f t="shared" si="105"/>
        <v>89.1</v>
      </c>
      <c r="P357" s="76"/>
      <c r="Q357" s="60">
        <v>89.1</v>
      </c>
      <c r="R357" s="60">
        <v>0</v>
      </c>
      <c r="S357" s="50">
        <f t="shared" si="99"/>
        <v>0</v>
      </c>
    </row>
    <row r="358" spans="1:19" ht="12.75">
      <c r="A358" s="7" t="s">
        <v>285</v>
      </c>
      <c r="B358" s="90"/>
      <c r="C358" s="78"/>
      <c r="D358" s="78"/>
      <c r="E358" s="71"/>
      <c r="F358" s="71">
        <f t="shared" si="102"/>
        <v>0</v>
      </c>
      <c r="G358" s="72">
        <v>230</v>
      </c>
      <c r="H358" s="72"/>
      <c r="I358" s="72">
        <f t="shared" si="104"/>
        <v>230</v>
      </c>
      <c r="J358" s="71"/>
      <c r="K358" s="83"/>
      <c r="L358" s="71">
        <f t="shared" si="103"/>
        <v>230</v>
      </c>
      <c r="M358" s="78">
        <f>162.47</f>
        <v>162.47</v>
      </c>
      <c r="N358" s="71"/>
      <c r="O358" s="71">
        <f t="shared" si="105"/>
        <v>392.47</v>
      </c>
      <c r="P358" s="76"/>
      <c r="Q358" s="60">
        <v>392.47</v>
      </c>
      <c r="R358" s="60">
        <v>186.84</v>
      </c>
      <c r="S358" s="50">
        <f t="shared" si="99"/>
        <v>47.6061864601116</v>
      </c>
    </row>
    <row r="359" spans="1:19" ht="12.75">
      <c r="A359" s="7" t="s">
        <v>241</v>
      </c>
      <c r="B359" s="90"/>
      <c r="C359" s="78">
        <v>300</v>
      </c>
      <c r="D359" s="78">
        <v>600</v>
      </c>
      <c r="E359" s="71"/>
      <c r="F359" s="71">
        <f t="shared" si="102"/>
        <v>900</v>
      </c>
      <c r="G359" s="72"/>
      <c r="H359" s="72"/>
      <c r="I359" s="72">
        <f t="shared" si="104"/>
        <v>900</v>
      </c>
      <c r="J359" s="71"/>
      <c r="K359" s="71"/>
      <c r="L359" s="71">
        <f t="shared" si="103"/>
        <v>900</v>
      </c>
      <c r="M359" s="78"/>
      <c r="N359" s="71"/>
      <c r="O359" s="71">
        <f t="shared" si="105"/>
        <v>900</v>
      </c>
      <c r="P359" s="76"/>
      <c r="Q359" s="60">
        <v>900</v>
      </c>
      <c r="R359" s="60">
        <v>0</v>
      </c>
      <c r="S359" s="50">
        <f t="shared" si="99"/>
        <v>0</v>
      </c>
    </row>
    <row r="360" spans="1:19" ht="12.75">
      <c r="A360" s="13" t="s">
        <v>68</v>
      </c>
      <c r="B360" s="91"/>
      <c r="C360" s="88">
        <f aca="true" t="shared" si="107" ref="C360:R360">SUM(C362:C376)</f>
        <v>223969.3</v>
      </c>
      <c r="D360" s="88">
        <f t="shared" si="107"/>
        <v>453853.39</v>
      </c>
      <c r="E360" s="88">
        <f t="shared" si="107"/>
        <v>-1000</v>
      </c>
      <c r="F360" s="88">
        <f t="shared" si="107"/>
        <v>676822.69</v>
      </c>
      <c r="G360" s="89">
        <f t="shared" si="107"/>
        <v>125188.58000000002</v>
      </c>
      <c r="H360" s="89">
        <f t="shared" si="107"/>
        <v>-28000</v>
      </c>
      <c r="I360" s="89">
        <f t="shared" si="107"/>
        <v>774011.27</v>
      </c>
      <c r="J360" s="88">
        <f t="shared" si="107"/>
        <v>62508.81000000002</v>
      </c>
      <c r="K360" s="88">
        <f t="shared" si="107"/>
        <v>-700</v>
      </c>
      <c r="L360" s="88">
        <f t="shared" si="107"/>
        <v>835820.0800000002</v>
      </c>
      <c r="M360" s="88">
        <f t="shared" si="107"/>
        <v>300546.12</v>
      </c>
      <c r="N360" s="88">
        <f t="shared" si="107"/>
        <v>0</v>
      </c>
      <c r="O360" s="88">
        <f t="shared" si="107"/>
        <v>1136366.2000000002</v>
      </c>
      <c r="P360" s="88">
        <f t="shared" si="107"/>
        <v>80096.66999999995</v>
      </c>
      <c r="Q360" s="88">
        <f t="shared" si="107"/>
        <v>1216462.88</v>
      </c>
      <c r="R360" s="89">
        <f t="shared" si="107"/>
        <v>705324.45</v>
      </c>
      <c r="S360" s="150">
        <f t="shared" si="99"/>
        <v>57.981584279826116</v>
      </c>
    </row>
    <row r="361" spans="1:19" ht="12.75">
      <c r="A361" s="11" t="s">
        <v>34</v>
      </c>
      <c r="B361" s="90"/>
      <c r="C361" s="71"/>
      <c r="D361" s="71"/>
      <c r="E361" s="71"/>
      <c r="F361" s="71"/>
      <c r="G361" s="72"/>
      <c r="H361" s="72"/>
      <c r="I361" s="72"/>
      <c r="J361" s="71"/>
      <c r="K361" s="71"/>
      <c r="L361" s="71"/>
      <c r="M361" s="78"/>
      <c r="N361" s="71"/>
      <c r="O361" s="71"/>
      <c r="P361" s="76"/>
      <c r="Q361" s="60"/>
      <c r="R361" s="60"/>
      <c r="S361" s="50"/>
    </row>
    <row r="362" spans="1:19" ht="12.75">
      <c r="A362" s="11" t="s">
        <v>237</v>
      </c>
      <c r="B362" s="90"/>
      <c r="C362" s="71">
        <v>2100</v>
      </c>
      <c r="D362" s="71"/>
      <c r="E362" s="71"/>
      <c r="F362" s="71">
        <f>C362+D362+E362</f>
        <v>2100</v>
      </c>
      <c r="G362" s="72"/>
      <c r="H362" s="72"/>
      <c r="I362" s="72">
        <f aca="true" t="shared" si="108" ref="I362:I387">F362+G362+H362</f>
        <v>2100</v>
      </c>
      <c r="J362" s="71"/>
      <c r="K362" s="71"/>
      <c r="L362" s="71">
        <f aca="true" t="shared" si="109" ref="L362:L375">I362+J362+K362</f>
        <v>2100</v>
      </c>
      <c r="M362" s="78"/>
      <c r="N362" s="71"/>
      <c r="O362" s="71">
        <f aca="true" t="shared" si="110" ref="O362:O375">L362+M362+N362</f>
        <v>2100</v>
      </c>
      <c r="P362" s="76">
        <v>-2000</v>
      </c>
      <c r="Q362" s="60">
        <v>100</v>
      </c>
      <c r="R362" s="60">
        <v>0</v>
      </c>
      <c r="S362" s="50">
        <f t="shared" si="99"/>
        <v>0</v>
      </c>
    </row>
    <row r="363" spans="1:19" ht="12.75">
      <c r="A363" s="11" t="s">
        <v>236</v>
      </c>
      <c r="B363" s="90"/>
      <c r="C363" s="71">
        <v>4364.3</v>
      </c>
      <c r="D363" s="71">
        <v>1339.35</v>
      </c>
      <c r="E363" s="71"/>
      <c r="F363" s="71">
        <f>C363+D363+E363</f>
        <v>5703.65</v>
      </c>
      <c r="G363" s="72"/>
      <c r="H363" s="72"/>
      <c r="I363" s="72">
        <f t="shared" si="108"/>
        <v>5703.65</v>
      </c>
      <c r="J363" s="71"/>
      <c r="K363" s="71"/>
      <c r="L363" s="71">
        <f t="shared" si="109"/>
        <v>5703.65</v>
      </c>
      <c r="M363" s="78"/>
      <c r="N363" s="71"/>
      <c r="O363" s="71">
        <f t="shared" si="110"/>
        <v>5703.65</v>
      </c>
      <c r="P363" s="76"/>
      <c r="Q363" s="60">
        <v>5703.65</v>
      </c>
      <c r="R363" s="60">
        <v>4465.05</v>
      </c>
      <c r="S363" s="50">
        <f t="shared" si="99"/>
        <v>78.28408124621954</v>
      </c>
    </row>
    <row r="364" spans="1:19" ht="12.75">
      <c r="A364" s="11" t="s">
        <v>227</v>
      </c>
      <c r="B364" s="90"/>
      <c r="C364" s="71">
        <v>13580</v>
      </c>
      <c r="D364" s="71"/>
      <c r="E364" s="71"/>
      <c r="F364" s="71">
        <f>C364+D364+E364</f>
        <v>13580</v>
      </c>
      <c r="G364" s="72"/>
      <c r="H364" s="72"/>
      <c r="I364" s="72">
        <f t="shared" si="108"/>
        <v>13580</v>
      </c>
      <c r="J364" s="71"/>
      <c r="K364" s="71"/>
      <c r="L364" s="71">
        <f t="shared" si="109"/>
        <v>13580</v>
      </c>
      <c r="M364" s="78"/>
      <c r="N364" s="71"/>
      <c r="O364" s="71">
        <f t="shared" si="110"/>
        <v>13580</v>
      </c>
      <c r="P364" s="76"/>
      <c r="Q364" s="60">
        <v>13580</v>
      </c>
      <c r="R364" s="60">
        <v>9423.38</v>
      </c>
      <c r="S364" s="50">
        <f t="shared" si="99"/>
        <v>69.39160530191457</v>
      </c>
    </row>
    <row r="365" spans="1:19" ht="12.75" hidden="1">
      <c r="A365" s="11" t="s">
        <v>258</v>
      </c>
      <c r="B365" s="90">
        <v>3000</v>
      </c>
      <c r="C365" s="71"/>
      <c r="D365" s="78">
        <v>17295.76</v>
      </c>
      <c r="E365" s="71"/>
      <c r="F365" s="71">
        <f>C365+D365+E365</f>
        <v>17295.76</v>
      </c>
      <c r="G365" s="72"/>
      <c r="H365" s="72"/>
      <c r="I365" s="72">
        <f t="shared" si="108"/>
        <v>17295.76</v>
      </c>
      <c r="J365" s="71"/>
      <c r="K365" s="71"/>
      <c r="L365" s="71">
        <f t="shared" si="109"/>
        <v>17295.76</v>
      </c>
      <c r="M365" s="78"/>
      <c r="N365" s="71"/>
      <c r="O365" s="71">
        <f t="shared" si="110"/>
        <v>17295.76</v>
      </c>
      <c r="P365" s="76"/>
      <c r="Q365" s="60"/>
      <c r="R365" s="60"/>
      <c r="S365" s="50" t="e">
        <f t="shared" si="99"/>
        <v>#DIV/0!</v>
      </c>
    </row>
    <row r="366" spans="1:19" ht="12.75">
      <c r="A366" s="11" t="s">
        <v>308</v>
      </c>
      <c r="B366" s="90">
        <v>3000</v>
      </c>
      <c r="C366" s="71"/>
      <c r="D366" s="78"/>
      <c r="E366" s="71"/>
      <c r="F366" s="71"/>
      <c r="G366" s="72">
        <v>7300</v>
      </c>
      <c r="H366" s="72"/>
      <c r="I366" s="72">
        <f t="shared" si="108"/>
        <v>7300</v>
      </c>
      <c r="J366" s="71">
        <f>15000+28024.13</f>
        <v>43024.130000000005</v>
      </c>
      <c r="K366" s="71"/>
      <c r="L366" s="71">
        <f t="shared" si="109"/>
        <v>50324.130000000005</v>
      </c>
      <c r="M366" s="78">
        <f>-1917.89</f>
        <v>-1917.89</v>
      </c>
      <c r="N366" s="71"/>
      <c r="O366" s="71">
        <f t="shared" si="110"/>
        <v>48406.240000000005</v>
      </c>
      <c r="P366" s="76">
        <f>-60</f>
        <v>-60</v>
      </c>
      <c r="Q366" s="60">
        <f>48346.24+17295.76</f>
        <v>65642</v>
      </c>
      <c r="R366" s="60">
        <v>61648.03</v>
      </c>
      <c r="S366" s="50">
        <f t="shared" si="99"/>
        <v>93.91552664452637</v>
      </c>
    </row>
    <row r="367" spans="1:19" ht="12.75">
      <c r="A367" s="11" t="s">
        <v>355</v>
      </c>
      <c r="B367" s="90">
        <v>13899</v>
      </c>
      <c r="C367" s="71"/>
      <c r="D367" s="78"/>
      <c r="E367" s="71"/>
      <c r="F367" s="71"/>
      <c r="G367" s="72"/>
      <c r="H367" s="72"/>
      <c r="I367" s="72">
        <f t="shared" si="108"/>
        <v>0</v>
      </c>
      <c r="J367" s="71">
        <v>17.82</v>
      </c>
      <c r="K367" s="71"/>
      <c r="L367" s="71">
        <f t="shared" si="109"/>
        <v>17.82</v>
      </c>
      <c r="M367" s="78">
        <v>16.94</v>
      </c>
      <c r="N367" s="71"/>
      <c r="O367" s="71">
        <f t="shared" si="110"/>
        <v>34.760000000000005</v>
      </c>
      <c r="P367" s="76">
        <f>12.1+204.49+304.31</f>
        <v>520.9</v>
      </c>
      <c r="Q367" s="60">
        <v>555.66</v>
      </c>
      <c r="R367" s="60">
        <v>555.66</v>
      </c>
      <c r="S367" s="50">
        <f t="shared" si="99"/>
        <v>100</v>
      </c>
    </row>
    <row r="368" spans="1:19" ht="12.75">
      <c r="A368" s="11" t="s">
        <v>356</v>
      </c>
      <c r="B368" s="90">
        <v>13899</v>
      </c>
      <c r="C368" s="71"/>
      <c r="D368" s="78"/>
      <c r="E368" s="71"/>
      <c r="F368" s="71"/>
      <c r="G368" s="72"/>
      <c r="H368" s="72"/>
      <c r="I368" s="72"/>
      <c r="J368" s="71"/>
      <c r="K368" s="71"/>
      <c r="L368" s="71">
        <f t="shared" si="109"/>
        <v>0</v>
      </c>
      <c r="M368" s="78">
        <v>93.42</v>
      </c>
      <c r="N368" s="71"/>
      <c r="O368" s="71">
        <f t="shared" si="110"/>
        <v>93.42</v>
      </c>
      <c r="P368" s="76"/>
      <c r="Q368" s="60">
        <v>93.42</v>
      </c>
      <c r="R368" s="60">
        <v>93.42</v>
      </c>
      <c r="S368" s="50">
        <f t="shared" si="99"/>
        <v>100</v>
      </c>
    </row>
    <row r="369" spans="1:19" ht="12.75">
      <c r="A369" s="11" t="s">
        <v>309</v>
      </c>
      <c r="B369" s="90"/>
      <c r="C369" s="71"/>
      <c r="D369" s="78"/>
      <c r="E369" s="71"/>
      <c r="F369" s="71"/>
      <c r="G369" s="71">
        <v>14430.5</v>
      </c>
      <c r="H369" s="72"/>
      <c r="I369" s="72">
        <f t="shared" si="108"/>
        <v>14430.5</v>
      </c>
      <c r="J369" s="71"/>
      <c r="K369" s="71"/>
      <c r="L369" s="71">
        <f t="shared" si="109"/>
        <v>14430.5</v>
      </c>
      <c r="M369" s="78"/>
      <c r="N369" s="71"/>
      <c r="O369" s="71">
        <f t="shared" si="110"/>
        <v>14430.5</v>
      </c>
      <c r="P369" s="76"/>
      <c r="Q369" s="60">
        <v>14430.5</v>
      </c>
      <c r="R369" s="60">
        <v>14430.5</v>
      </c>
      <c r="S369" s="50">
        <f t="shared" si="99"/>
        <v>100</v>
      </c>
    </row>
    <row r="370" spans="1:19" ht="12.75">
      <c r="A370" s="11" t="s">
        <v>378</v>
      </c>
      <c r="B370" s="90"/>
      <c r="C370" s="71">
        <v>100000</v>
      </c>
      <c r="D370" s="108">
        <f>50000+48500</f>
        <v>98500</v>
      </c>
      <c r="E370" s="71">
        <v>-97600</v>
      </c>
      <c r="F370" s="71">
        <f aca="true" t="shared" si="111" ref="F370:F387">C370+D370+E370</f>
        <v>100900</v>
      </c>
      <c r="G370" s="72"/>
      <c r="H370" s="72">
        <v>-8000</v>
      </c>
      <c r="I370" s="72">
        <f t="shared" si="108"/>
        <v>92900</v>
      </c>
      <c r="J370" s="71">
        <v>8000</v>
      </c>
      <c r="K370" s="71">
        <v>-20000</v>
      </c>
      <c r="L370" s="71">
        <f t="shared" si="109"/>
        <v>80900</v>
      </c>
      <c r="M370" s="78">
        <f>20000</f>
        <v>20000</v>
      </c>
      <c r="N370" s="71"/>
      <c r="O370" s="71">
        <f t="shared" si="110"/>
        <v>100900</v>
      </c>
      <c r="P370" s="76"/>
      <c r="Q370" s="60">
        <v>100900</v>
      </c>
      <c r="R370" s="60">
        <v>45336.42</v>
      </c>
      <c r="S370" s="50">
        <f t="shared" si="99"/>
        <v>44.93203171456888</v>
      </c>
    </row>
    <row r="371" spans="1:19" ht="12.75">
      <c r="A371" s="11" t="s">
        <v>257</v>
      </c>
      <c r="B371" s="90" t="s">
        <v>260</v>
      </c>
      <c r="C371" s="71"/>
      <c r="D371" s="78">
        <v>923.92</v>
      </c>
      <c r="E371" s="71"/>
      <c r="F371" s="71">
        <f t="shared" si="111"/>
        <v>923.92</v>
      </c>
      <c r="G371" s="72"/>
      <c r="H371" s="72"/>
      <c r="I371" s="72">
        <f t="shared" si="108"/>
        <v>923.92</v>
      </c>
      <c r="J371" s="71"/>
      <c r="K371" s="71">
        <v>-700</v>
      </c>
      <c r="L371" s="71">
        <f t="shared" si="109"/>
        <v>223.91999999999996</v>
      </c>
      <c r="M371" s="78"/>
      <c r="N371" s="71"/>
      <c r="O371" s="71">
        <f t="shared" si="110"/>
        <v>223.91999999999996</v>
      </c>
      <c r="P371" s="76"/>
      <c r="Q371" s="60">
        <v>223.91999999999996</v>
      </c>
      <c r="R371" s="60">
        <v>0</v>
      </c>
      <c r="S371" s="50">
        <f t="shared" si="99"/>
        <v>0</v>
      </c>
    </row>
    <row r="372" spans="1:19" ht="12.75" hidden="1">
      <c r="A372" s="11" t="s">
        <v>346</v>
      </c>
      <c r="B372" s="90"/>
      <c r="C372" s="71"/>
      <c r="D372" s="78"/>
      <c r="E372" s="71"/>
      <c r="F372" s="71"/>
      <c r="G372" s="72"/>
      <c r="H372" s="72"/>
      <c r="I372" s="72">
        <f t="shared" si="108"/>
        <v>0</v>
      </c>
      <c r="J372" s="71"/>
      <c r="K372" s="71"/>
      <c r="L372" s="71">
        <f t="shared" si="109"/>
        <v>0</v>
      </c>
      <c r="M372" s="78"/>
      <c r="N372" s="71"/>
      <c r="O372" s="71">
        <f t="shared" si="110"/>
        <v>0</v>
      </c>
      <c r="P372" s="76"/>
      <c r="Q372" s="60">
        <v>0</v>
      </c>
      <c r="R372" s="60"/>
      <c r="S372" s="50" t="e">
        <f t="shared" si="99"/>
        <v>#DIV/0!</v>
      </c>
    </row>
    <row r="373" spans="1:19" ht="12.75">
      <c r="A373" s="11" t="s">
        <v>228</v>
      </c>
      <c r="B373" s="90" t="s">
        <v>259</v>
      </c>
      <c r="C373" s="71">
        <v>9000</v>
      </c>
      <c r="D373" s="78">
        <f>36084.02-1699.9</f>
        <v>34384.119999999995</v>
      </c>
      <c r="E373" s="71"/>
      <c r="F373" s="71">
        <f t="shared" si="111"/>
        <v>43384.119999999995</v>
      </c>
      <c r="G373" s="72"/>
      <c r="H373" s="72"/>
      <c r="I373" s="72">
        <f t="shared" si="108"/>
        <v>43384.119999999995</v>
      </c>
      <c r="J373" s="71"/>
      <c r="K373" s="71"/>
      <c r="L373" s="71">
        <f t="shared" si="109"/>
        <v>43384.119999999995</v>
      </c>
      <c r="M373" s="78">
        <v>18000</v>
      </c>
      <c r="N373" s="71"/>
      <c r="O373" s="71">
        <f t="shared" si="110"/>
        <v>61384.119999999995</v>
      </c>
      <c r="P373" s="76">
        <v>-1061.25</v>
      </c>
      <c r="Q373" s="60">
        <v>60322.869999999995</v>
      </c>
      <c r="R373" s="60">
        <v>21209.72</v>
      </c>
      <c r="S373" s="50">
        <f t="shared" si="99"/>
        <v>35.16032973895308</v>
      </c>
    </row>
    <row r="374" spans="1:19" ht="12.75">
      <c r="A374" s="11" t="s">
        <v>357</v>
      </c>
      <c r="B374" s="90"/>
      <c r="C374" s="71"/>
      <c r="D374" s="78"/>
      <c r="E374" s="71"/>
      <c r="F374" s="71"/>
      <c r="G374" s="72"/>
      <c r="H374" s="72"/>
      <c r="I374" s="72"/>
      <c r="J374" s="71"/>
      <c r="K374" s="71"/>
      <c r="L374" s="71"/>
      <c r="M374" s="78">
        <v>45312.97</v>
      </c>
      <c r="N374" s="71"/>
      <c r="O374" s="71">
        <f t="shared" si="110"/>
        <v>45312.97</v>
      </c>
      <c r="P374" s="76"/>
      <c r="Q374" s="60">
        <v>45312.97</v>
      </c>
      <c r="R374" s="60">
        <v>45312.97</v>
      </c>
      <c r="S374" s="50">
        <f t="shared" si="99"/>
        <v>100</v>
      </c>
    </row>
    <row r="375" spans="1:19" ht="12.75">
      <c r="A375" s="11" t="s">
        <v>284</v>
      </c>
      <c r="B375" s="90"/>
      <c r="C375" s="71">
        <v>9000</v>
      </c>
      <c r="D375" s="78">
        <v>1699.9</v>
      </c>
      <c r="E375" s="71"/>
      <c r="F375" s="71">
        <f t="shared" si="111"/>
        <v>10699.9</v>
      </c>
      <c r="G375" s="72">
        <v>-9000</v>
      </c>
      <c r="H375" s="72"/>
      <c r="I375" s="72">
        <f t="shared" si="108"/>
        <v>1699.8999999999996</v>
      </c>
      <c r="J375" s="71"/>
      <c r="K375" s="71"/>
      <c r="L375" s="71">
        <f t="shared" si="109"/>
        <v>1699.8999999999996</v>
      </c>
      <c r="M375" s="78">
        <f>-1143.78</f>
        <v>-1143.78</v>
      </c>
      <c r="N375" s="71"/>
      <c r="O375" s="71">
        <f t="shared" si="110"/>
        <v>556.1199999999997</v>
      </c>
      <c r="P375" s="76"/>
      <c r="Q375" s="60">
        <v>556.1199999999997</v>
      </c>
      <c r="R375" s="60">
        <v>556.12</v>
      </c>
      <c r="S375" s="50">
        <f t="shared" si="99"/>
        <v>100.00000000000007</v>
      </c>
    </row>
    <row r="376" spans="1:19" ht="12.75">
      <c r="A376" s="11" t="s">
        <v>229</v>
      </c>
      <c r="B376" s="90"/>
      <c r="C376" s="71">
        <f>SUM(C377:C387)</f>
        <v>85925</v>
      </c>
      <c r="D376" s="78">
        <f>SUM(D377:D387)</f>
        <v>299710.34</v>
      </c>
      <c r="E376" s="78">
        <f>SUM(E377:E387)</f>
        <v>96600</v>
      </c>
      <c r="F376" s="78">
        <f aca="true" t="shared" si="112" ref="F376:R376">SUM(F377:F387)</f>
        <v>482235.33999999997</v>
      </c>
      <c r="G376" s="98">
        <f t="shared" si="112"/>
        <v>112458.08000000002</v>
      </c>
      <c r="H376" s="98">
        <f t="shared" si="112"/>
        <v>-20000</v>
      </c>
      <c r="I376" s="98">
        <f t="shared" si="112"/>
        <v>574693.42</v>
      </c>
      <c r="J376" s="78">
        <f t="shared" si="112"/>
        <v>11466.860000000015</v>
      </c>
      <c r="K376" s="78">
        <f t="shared" si="112"/>
        <v>20000</v>
      </c>
      <c r="L376" s="71">
        <f t="shared" si="112"/>
        <v>606160.2800000001</v>
      </c>
      <c r="M376" s="71">
        <f t="shared" si="112"/>
        <v>220184.46</v>
      </c>
      <c r="N376" s="71">
        <f t="shared" si="112"/>
        <v>0</v>
      </c>
      <c r="O376" s="71">
        <f t="shared" si="112"/>
        <v>826344.7400000001</v>
      </c>
      <c r="P376" s="78">
        <f t="shared" si="112"/>
        <v>82697.01999999996</v>
      </c>
      <c r="Q376" s="71">
        <f>SUM(Q377:Q387)</f>
        <v>909041.77</v>
      </c>
      <c r="R376" s="98">
        <f t="shared" si="112"/>
        <v>502293.18</v>
      </c>
      <c r="S376" s="50">
        <f t="shared" si="99"/>
        <v>55.255236511299145</v>
      </c>
    </row>
    <row r="377" spans="1:19" ht="12.75">
      <c r="A377" s="11" t="s">
        <v>230</v>
      </c>
      <c r="B377" s="90"/>
      <c r="C377" s="71">
        <v>23125</v>
      </c>
      <c r="D377" s="78">
        <f>439.83+18000+1000+356.12+15945.03+1622.09</f>
        <v>37363.07</v>
      </c>
      <c r="E377" s="71">
        <v>-1000</v>
      </c>
      <c r="F377" s="71">
        <f t="shared" si="111"/>
        <v>59488.07</v>
      </c>
      <c r="G377" s="72">
        <f>-1476.16+19.55-36000</f>
        <v>-37456.61</v>
      </c>
      <c r="H377" s="72">
        <v>-350</v>
      </c>
      <c r="I377" s="72">
        <f t="shared" si="108"/>
        <v>21681.46</v>
      </c>
      <c r="J377" s="71">
        <f>-3.03+375</f>
        <v>371.97</v>
      </c>
      <c r="K377" s="71"/>
      <c r="L377" s="71">
        <f aca="true" t="shared" si="113" ref="L377:L387">I377+J377+K377</f>
        <v>22053.43</v>
      </c>
      <c r="M377" s="78">
        <f>-53.18-123.65-56.85+33.88+1143.78</f>
        <v>943.98</v>
      </c>
      <c r="N377" s="71"/>
      <c r="O377" s="71">
        <f aca="true" t="shared" si="114" ref="O377:O387">L377+M377+N377</f>
        <v>22997.41</v>
      </c>
      <c r="P377" s="76"/>
      <c r="Q377" s="60">
        <v>22997.41</v>
      </c>
      <c r="R377" s="60">
        <v>755.89</v>
      </c>
      <c r="S377" s="50">
        <f t="shared" si="99"/>
        <v>3.2868483885794095</v>
      </c>
    </row>
    <row r="378" spans="1:19" ht="13.5" thickBot="1">
      <c r="A378" s="161" t="s">
        <v>291</v>
      </c>
      <c r="B378" s="156"/>
      <c r="C378" s="101">
        <v>1000</v>
      </c>
      <c r="D378" s="162"/>
      <c r="E378" s="101"/>
      <c r="F378" s="101">
        <f t="shared" si="111"/>
        <v>1000</v>
      </c>
      <c r="G378" s="102"/>
      <c r="H378" s="102"/>
      <c r="I378" s="102">
        <f t="shared" si="108"/>
        <v>1000</v>
      </c>
      <c r="J378" s="101"/>
      <c r="K378" s="101"/>
      <c r="L378" s="101">
        <f t="shared" si="113"/>
        <v>1000</v>
      </c>
      <c r="M378" s="162"/>
      <c r="N378" s="101"/>
      <c r="O378" s="101">
        <f t="shared" si="114"/>
        <v>1000</v>
      </c>
      <c r="P378" s="132"/>
      <c r="Q378" s="154">
        <v>1000</v>
      </c>
      <c r="R378" s="154">
        <v>1000</v>
      </c>
      <c r="S378" s="157">
        <f t="shared" si="99"/>
        <v>100</v>
      </c>
    </row>
    <row r="379" spans="1:19" ht="12.75">
      <c r="A379" s="11" t="s">
        <v>238</v>
      </c>
      <c r="B379" s="90"/>
      <c r="C379" s="71">
        <v>4000</v>
      </c>
      <c r="D379" s="78"/>
      <c r="E379" s="71"/>
      <c r="F379" s="71">
        <f t="shared" si="111"/>
        <v>4000</v>
      </c>
      <c r="G379" s="72"/>
      <c r="H379" s="72"/>
      <c r="I379" s="72">
        <f t="shared" si="108"/>
        <v>4000</v>
      </c>
      <c r="J379" s="71"/>
      <c r="K379" s="71"/>
      <c r="L379" s="71">
        <f t="shared" si="113"/>
        <v>4000</v>
      </c>
      <c r="M379" s="78"/>
      <c r="N379" s="71"/>
      <c r="O379" s="71">
        <f t="shared" si="114"/>
        <v>4000</v>
      </c>
      <c r="P379" s="76"/>
      <c r="Q379" s="60">
        <v>4000</v>
      </c>
      <c r="R379" s="60">
        <v>0</v>
      </c>
      <c r="S379" s="50">
        <f t="shared" si="99"/>
        <v>0</v>
      </c>
    </row>
    <row r="380" spans="1:19" ht="12.75">
      <c r="A380" s="11" t="s">
        <v>329</v>
      </c>
      <c r="B380" s="90"/>
      <c r="C380" s="71"/>
      <c r="D380" s="78"/>
      <c r="E380" s="71"/>
      <c r="F380" s="71">
        <f t="shared" si="111"/>
        <v>0</v>
      </c>
      <c r="G380" s="72">
        <v>35000</v>
      </c>
      <c r="H380" s="72"/>
      <c r="I380" s="72">
        <f t="shared" si="108"/>
        <v>35000</v>
      </c>
      <c r="J380" s="71"/>
      <c r="K380" s="71"/>
      <c r="L380" s="71">
        <f t="shared" si="113"/>
        <v>35000</v>
      </c>
      <c r="M380" s="78"/>
      <c r="N380" s="71"/>
      <c r="O380" s="71">
        <f t="shared" si="114"/>
        <v>35000</v>
      </c>
      <c r="P380" s="76"/>
      <c r="Q380" s="60">
        <v>35000</v>
      </c>
      <c r="R380" s="60">
        <v>4048.81</v>
      </c>
      <c r="S380" s="50">
        <f t="shared" si="99"/>
        <v>11.56802857142857</v>
      </c>
    </row>
    <row r="381" spans="1:19" ht="12.75">
      <c r="A381" s="11" t="s">
        <v>231</v>
      </c>
      <c r="B381" s="90"/>
      <c r="C381" s="71">
        <v>20000</v>
      </c>
      <c r="D381" s="78">
        <f>12706.44+77.86+346.55+36524.2</f>
        <v>49655.049999999996</v>
      </c>
      <c r="E381" s="71"/>
      <c r="F381" s="71">
        <f t="shared" si="111"/>
        <v>69655.04999999999</v>
      </c>
      <c r="G381" s="71">
        <f>1189.89+2883.73+3186.46+6.53+121.71+36975.8+5.05</f>
        <v>44369.170000000006</v>
      </c>
      <c r="H381" s="72"/>
      <c r="I381" s="72">
        <f t="shared" si="108"/>
        <v>114024.22</v>
      </c>
      <c r="J381" s="71">
        <f>2852.61+20914.97+12.47+33.27+3502.89+6575.53+62910.27</f>
        <v>96802.01000000001</v>
      </c>
      <c r="K381" s="71">
        <v>20000</v>
      </c>
      <c r="L381" s="71">
        <f t="shared" si="113"/>
        <v>230826.23</v>
      </c>
      <c r="M381" s="78">
        <f>8974.85+31672.92+2866.48+4121.05+1918.65+2093.82+31280.59+12540.21+4664.33+30004.17+17485.11+7689.59+24401.91+26172.22-20000</f>
        <v>185885.9</v>
      </c>
      <c r="N381" s="71"/>
      <c r="O381" s="71">
        <f t="shared" si="114"/>
        <v>416712.13</v>
      </c>
      <c r="P381" s="76">
        <f>43410.13+0.06</f>
        <v>43410.189999999995</v>
      </c>
      <c r="Q381" s="60">
        <v>460122.32</v>
      </c>
      <c r="R381" s="60">
        <v>393406.75</v>
      </c>
      <c r="S381" s="50">
        <f t="shared" si="99"/>
        <v>85.50047083132155</v>
      </c>
    </row>
    <row r="382" spans="1:19" ht="12.75">
      <c r="A382" s="11" t="s">
        <v>232</v>
      </c>
      <c r="B382" s="90"/>
      <c r="C382" s="71">
        <v>2500</v>
      </c>
      <c r="D382" s="78">
        <f>2332.28+20635.07+275.91+2689.85+639.06+26.2+10.77+36-3.03+97.88</f>
        <v>26739.99</v>
      </c>
      <c r="E382" s="71"/>
      <c r="F382" s="71">
        <f t="shared" si="111"/>
        <v>29239.99</v>
      </c>
      <c r="G382" s="72">
        <f>921.45+369.78+2842.36+800.87+333.96+606.49+897.22+1413.57+319.32+114.08</f>
        <v>8619.1</v>
      </c>
      <c r="H382" s="72"/>
      <c r="I382" s="72">
        <f t="shared" si="108"/>
        <v>37859.090000000004</v>
      </c>
      <c r="J382" s="71">
        <f>955.3+798.22+993.52+85+1236.61+1736.81+400+1265.54+1299.41+3.03</f>
        <v>8773.44</v>
      </c>
      <c r="K382" s="71"/>
      <c r="L382" s="71">
        <f t="shared" si="113"/>
        <v>46632.530000000006</v>
      </c>
      <c r="M382" s="78">
        <f>63.53+382.78+829.46+321.07+1581.49+3000+3110.91+2030.3+2084.81+1318.9+2172.35-2312.06-2151.25+571.43+1737.96+101.27-211.96+3158.89+974.86+1588.05+2066.8+2309.36+726.61+924.33-33.88+13057.84+2304.32+2971.87</f>
        <v>44680.04000000001</v>
      </c>
      <c r="N382" s="71"/>
      <c r="O382" s="71">
        <f t="shared" si="114"/>
        <v>91312.57</v>
      </c>
      <c r="P382" s="76">
        <f>391.02+652.02+1990.33+1922.27+38.91+139.15+967.3-1671.59-4168.84</f>
        <v>260.5699999999988</v>
      </c>
      <c r="Q382" s="60">
        <v>91583.94</v>
      </c>
      <c r="R382" s="60">
        <v>79302.81</v>
      </c>
      <c r="S382" s="50">
        <f t="shared" si="99"/>
        <v>86.59030174941151</v>
      </c>
    </row>
    <row r="383" spans="1:19" ht="12.75">
      <c r="A383" s="11" t="s">
        <v>239</v>
      </c>
      <c r="B383" s="90"/>
      <c r="C383" s="71">
        <v>25000</v>
      </c>
      <c r="D383" s="78">
        <f>1625+479.61+9710.52+1</f>
        <v>11816.130000000001</v>
      </c>
      <c r="E383" s="71"/>
      <c r="F383" s="71">
        <f t="shared" si="111"/>
        <v>36816.130000000005</v>
      </c>
      <c r="G383" s="72">
        <f>250-8982.23</f>
        <v>-8732.23</v>
      </c>
      <c r="H383" s="72">
        <v>350</v>
      </c>
      <c r="I383" s="72">
        <f t="shared" si="108"/>
        <v>28433.900000000005</v>
      </c>
      <c r="J383" s="71">
        <v>250</v>
      </c>
      <c r="K383" s="71"/>
      <c r="L383" s="71">
        <f t="shared" si="113"/>
        <v>28683.900000000005</v>
      </c>
      <c r="M383" s="78">
        <f>315.29+384.71</f>
        <v>700</v>
      </c>
      <c r="N383" s="71"/>
      <c r="O383" s="71">
        <f t="shared" si="114"/>
        <v>29383.900000000005</v>
      </c>
      <c r="P383" s="76"/>
      <c r="Q383" s="60">
        <v>29383.900000000005</v>
      </c>
      <c r="R383" s="60">
        <v>7895.16</v>
      </c>
      <c r="S383" s="50">
        <f t="shared" si="99"/>
        <v>26.868999690306588</v>
      </c>
    </row>
    <row r="384" spans="1:19" ht="12.75">
      <c r="A384" s="11" t="s">
        <v>286</v>
      </c>
      <c r="B384" s="90"/>
      <c r="C384" s="71"/>
      <c r="D384" s="78">
        <f>10.28+87.2</f>
        <v>97.48</v>
      </c>
      <c r="E384" s="71"/>
      <c r="F384" s="71">
        <f t="shared" si="111"/>
        <v>97.48</v>
      </c>
      <c r="G384" s="72">
        <f>554.71</f>
        <v>554.71</v>
      </c>
      <c r="H384" s="72"/>
      <c r="I384" s="72">
        <f t="shared" si="108"/>
        <v>652.19</v>
      </c>
      <c r="J384" s="71">
        <v>36.3</v>
      </c>
      <c r="K384" s="71">
        <f>4074.16</f>
        <v>4074.16</v>
      </c>
      <c r="L384" s="71">
        <f t="shared" si="113"/>
        <v>4762.65</v>
      </c>
      <c r="M384" s="78">
        <f>363.85+1483.56+41.14</f>
        <v>1888.55</v>
      </c>
      <c r="N384" s="71"/>
      <c r="O384" s="71">
        <f t="shared" si="114"/>
        <v>6651.2</v>
      </c>
      <c r="P384" s="76">
        <f>2742.69+4395.34+10.8+3797.52</f>
        <v>10946.35</v>
      </c>
      <c r="Q384" s="60">
        <v>17586.75</v>
      </c>
      <c r="R384" s="60">
        <v>14840.74</v>
      </c>
      <c r="S384" s="50">
        <f t="shared" si="99"/>
        <v>84.3859155330007</v>
      </c>
    </row>
    <row r="385" spans="1:19" ht="12.75">
      <c r="A385" s="11" t="s">
        <v>233</v>
      </c>
      <c r="B385" s="90"/>
      <c r="C385" s="71">
        <v>300</v>
      </c>
      <c r="D385" s="71">
        <f>59.98+80+1375.02</f>
        <v>1515</v>
      </c>
      <c r="E385" s="71"/>
      <c r="F385" s="71">
        <f>C385+D385+E385</f>
        <v>1815</v>
      </c>
      <c r="G385" s="72">
        <v>-230</v>
      </c>
      <c r="H385" s="72"/>
      <c r="I385" s="72">
        <f t="shared" si="108"/>
        <v>1585</v>
      </c>
      <c r="J385" s="71"/>
      <c r="K385" s="83">
        <f>216.35+649.04</f>
        <v>865.39</v>
      </c>
      <c r="L385" s="71">
        <f t="shared" si="113"/>
        <v>2450.39</v>
      </c>
      <c r="M385" s="78">
        <f>429.75-162.47</f>
        <v>267.28</v>
      </c>
      <c r="N385" s="71"/>
      <c r="O385" s="71">
        <f t="shared" si="114"/>
        <v>2717.67</v>
      </c>
      <c r="P385" s="76"/>
      <c r="Q385" s="60">
        <v>2717.67</v>
      </c>
      <c r="R385" s="60">
        <v>1043.02</v>
      </c>
      <c r="S385" s="50">
        <f t="shared" si="99"/>
        <v>38.37919982926551</v>
      </c>
    </row>
    <row r="386" spans="1:19" ht="12.75">
      <c r="A386" s="11" t="s">
        <v>292</v>
      </c>
      <c r="B386" s="90"/>
      <c r="C386" s="71"/>
      <c r="D386" s="71"/>
      <c r="E386" s="71">
        <v>97600</v>
      </c>
      <c r="F386" s="71">
        <f>C386+D386+E386</f>
        <v>97600</v>
      </c>
      <c r="G386" s="72"/>
      <c r="H386" s="72"/>
      <c r="I386" s="72">
        <f t="shared" si="108"/>
        <v>97600</v>
      </c>
      <c r="J386" s="71">
        <v>-6575.53</v>
      </c>
      <c r="K386" s="71"/>
      <c r="L386" s="71">
        <f t="shared" si="113"/>
        <v>91024.47</v>
      </c>
      <c r="M386" s="78">
        <f>-31672.92-17485.11</f>
        <v>-49158.03</v>
      </c>
      <c r="N386" s="71"/>
      <c r="O386" s="71">
        <f t="shared" si="114"/>
        <v>41866.44</v>
      </c>
      <c r="P386" s="76">
        <f>13322.68-13577.23</f>
        <v>-254.54999999999927</v>
      </c>
      <c r="Q386" s="60">
        <v>41611.89</v>
      </c>
      <c r="R386" s="60">
        <v>0</v>
      </c>
      <c r="S386" s="50">
        <f t="shared" si="99"/>
        <v>0</v>
      </c>
    </row>
    <row r="387" spans="1:19" ht="12.75">
      <c r="A387" s="16" t="s">
        <v>240</v>
      </c>
      <c r="B387" s="94"/>
      <c r="C387" s="95">
        <v>10000</v>
      </c>
      <c r="D387" s="95">
        <f>-1982.44-349.84-13.95+72533.23+84329.85-1200-77.86-313.98-2689.85-752.54-457.06-80.66-1247.28-22.27-3.93+36975.8-11431.58-600+5.86-97.88</f>
        <v>172523.62000000002</v>
      </c>
      <c r="E387" s="95"/>
      <c r="F387" s="95">
        <f t="shared" si="111"/>
        <v>182523.62000000002</v>
      </c>
      <c r="G387" s="95">
        <f>929.33+1862.38+16317.62+48524.99+118.19-6.53-314.31-55.47+115.81-72.6-121.71-2842.36-680.74-120.13+300-333.96-1000-4496.88-598.95-298.27-1441.81-1201.53-212.04-271.42-47.9-114.08+500-36975.8+36000+16080.91+796.25-5.05</f>
        <v>70333.94</v>
      </c>
      <c r="H387" s="96">
        <f>-20000</f>
        <v>-20000</v>
      </c>
      <c r="I387" s="96">
        <f t="shared" si="108"/>
        <v>232857.56000000003</v>
      </c>
      <c r="J387" s="95">
        <f>50.46+91.47+2924.11+529.42+654.88+156.47+457.06-796.25+797.85+31650.67-514.25-90.75-2285.69-678.49-119.73-1891.41-333.78-542.85-95.8-354.87-85-12.47-1381.52-243.8-3305.42-8000-1200-1736.81-400+26.51+404.85+21.31-1265.54+696.7+57.43+1791.98+449.9-950.56-167.75-181.1-3502.89-35863.1-6-36.3-62910.27</f>
        <v>-88191.33</v>
      </c>
      <c r="K387" s="95">
        <f>-4074.16-216.35-649.04</f>
        <v>-4939.55</v>
      </c>
      <c r="L387" s="95">
        <f t="shared" si="113"/>
        <v>139726.68000000005</v>
      </c>
      <c r="M387" s="104">
        <f>3091.37+90.26+8800.9+517.7+787.18+18810.69+990.04+1008.34+1324.5-63.53-531.61-93.82-47.91-8.45-382.78+2671.54-762.64-214.86-386.25-176.7-80-1600-400-2400-741.75-2393.86-717.05-2197.25-549.31-1762.73-440.68-1055.12-263.78-1791.61-447.9-398-363.85+2312.06-56.85+400+2151.25+211.96-2866.48-4121.05+765+2660.91+9900.99+12889.58+16132.62+1697.37+50005.84+3313.06+194.89-1483.56-571.43-4664.33-30004.17-7689.59-1737.96-101.27-699.79-123.49-958.76-169.19+600-2591.1-742.15-790.47-259.32-1270.44-317.61-1984-516-1943.32-489.46-905.97-290.12-739.46-184.87-179.44-41.14+400+1200-13782.93-2432.28-2118.82-373.91-479.14</f>
        <v>34976.73999999999</v>
      </c>
      <c r="N387" s="95"/>
      <c r="O387" s="95">
        <f t="shared" si="114"/>
        <v>174703.42000000004</v>
      </c>
      <c r="P387" s="97">
        <f>1918.57+5262.6+309.56+16557.01+4454.22+9724.63+13275.89+3955.97+232.7+2856.06+168+3632.51+170.47+378.1+8.97+19.9-391.02-21.02-631-1990.33-2742.69-4395.34-1864.16-328.97-10.8-1730.04-192.23-38.91-46.98-92.17-870.57-96.73-1934.12-1863.4-29832.9-0.06+1671.59+6019.7+49.79+6645+96.66</f>
        <v>28334.45999999997</v>
      </c>
      <c r="Q387" s="53">
        <v>203037.89</v>
      </c>
      <c r="R387" s="53">
        <v>0</v>
      </c>
      <c r="S387" s="52">
        <f t="shared" si="99"/>
        <v>0</v>
      </c>
    </row>
    <row r="388" spans="1:19" ht="12.75">
      <c r="A388" s="4" t="s">
        <v>118</v>
      </c>
      <c r="B388" s="91"/>
      <c r="C388" s="67">
        <f aca="true" t="shared" si="115" ref="C388:R388">C389+C415</f>
        <v>163493.2</v>
      </c>
      <c r="D388" s="67">
        <f t="shared" si="115"/>
        <v>29359.05</v>
      </c>
      <c r="E388" s="67">
        <f t="shared" si="115"/>
        <v>0</v>
      </c>
      <c r="F388" s="67">
        <f t="shared" si="115"/>
        <v>192852.25000000003</v>
      </c>
      <c r="G388" s="68">
        <f t="shared" si="115"/>
        <v>61957.17</v>
      </c>
      <c r="H388" s="68">
        <f t="shared" si="115"/>
        <v>0</v>
      </c>
      <c r="I388" s="68">
        <f t="shared" si="115"/>
        <v>254809.42000000004</v>
      </c>
      <c r="J388" s="67">
        <f t="shared" si="115"/>
        <v>187955.66</v>
      </c>
      <c r="K388" s="67">
        <f t="shared" si="115"/>
        <v>0</v>
      </c>
      <c r="L388" s="67">
        <f t="shared" si="115"/>
        <v>442765.0800000001</v>
      </c>
      <c r="M388" s="67">
        <f t="shared" si="115"/>
        <v>22010.7</v>
      </c>
      <c r="N388" s="67">
        <f t="shared" si="115"/>
        <v>0</v>
      </c>
      <c r="O388" s="67">
        <f t="shared" si="115"/>
        <v>464775.78</v>
      </c>
      <c r="P388" s="67">
        <f t="shared" si="115"/>
        <v>-67422.09999999999</v>
      </c>
      <c r="Q388" s="67">
        <f t="shared" si="115"/>
        <v>397353.67999999993</v>
      </c>
      <c r="R388" s="68">
        <f t="shared" si="115"/>
        <v>361386.79999999993</v>
      </c>
      <c r="S388" s="148">
        <f t="shared" si="99"/>
        <v>90.94839640090913</v>
      </c>
    </row>
    <row r="389" spans="1:19" ht="12.75">
      <c r="A389" s="13" t="s">
        <v>63</v>
      </c>
      <c r="B389" s="91"/>
      <c r="C389" s="88">
        <f>SUM(C391:C414)</f>
        <v>163493.2</v>
      </c>
      <c r="D389" s="88">
        <f>SUM(D391:D414)</f>
        <v>29359.05</v>
      </c>
      <c r="E389" s="88">
        <f>SUM(E391:E414)</f>
        <v>0</v>
      </c>
      <c r="F389" s="88">
        <f>SUM(F391:F414)</f>
        <v>192852.25000000003</v>
      </c>
      <c r="G389" s="89">
        <f aca="true" t="shared" si="116" ref="G389:P389">SUM(G391:G414)</f>
        <v>61957.17</v>
      </c>
      <c r="H389" s="89">
        <f t="shared" si="116"/>
        <v>0</v>
      </c>
      <c r="I389" s="89">
        <f t="shared" si="116"/>
        <v>254809.42000000004</v>
      </c>
      <c r="J389" s="88">
        <f t="shared" si="116"/>
        <v>187955.66</v>
      </c>
      <c r="K389" s="88">
        <f t="shared" si="116"/>
        <v>0</v>
      </c>
      <c r="L389" s="88">
        <f t="shared" si="116"/>
        <v>442765.0800000001</v>
      </c>
      <c r="M389" s="88">
        <f>SUM(M391:M414)</f>
        <v>22010.7</v>
      </c>
      <c r="N389" s="88">
        <f>SUM(N391:N414)</f>
        <v>-245.10000000000002</v>
      </c>
      <c r="O389" s="88">
        <f>SUM(O391:O414)</f>
        <v>464530.68000000005</v>
      </c>
      <c r="P389" s="88">
        <f t="shared" si="116"/>
        <v>-67422.09999999999</v>
      </c>
      <c r="Q389" s="88">
        <f>SUM(Q391:Q414)</f>
        <v>397108.57999999996</v>
      </c>
      <c r="R389" s="89">
        <f>SUM(R391:R414)</f>
        <v>361141.69999999995</v>
      </c>
      <c r="S389" s="150">
        <f t="shared" si="99"/>
        <v>90.94280964667144</v>
      </c>
    </row>
    <row r="390" spans="1:19" ht="12.75">
      <c r="A390" s="9" t="s">
        <v>34</v>
      </c>
      <c r="B390" s="90"/>
      <c r="C390" s="71"/>
      <c r="D390" s="71"/>
      <c r="E390" s="71"/>
      <c r="F390" s="71"/>
      <c r="G390" s="72"/>
      <c r="H390" s="72"/>
      <c r="I390" s="72"/>
      <c r="J390" s="71"/>
      <c r="K390" s="71"/>
      <c r="L390" s="71"/>
      <c r="M390" s="71"/>
      <c r="N390" s="71"/>
      <c r="O390" s="71"/>
      <c r="P390" s="76"/>
      <c r="Q390" s="60"/>
      <c r="R390" s="60"/>
      <c r="S390" s="50"/>
    </row>
    <row r="391" spans="1:19" ht="12.75">
      <c r="A391" s="18" t="s">
        <v>119</v>
      </c>
      <c r="B391" s="109"/>
      <c r="C391" s="71">
        <v>129589.6</v>
      </c>
      <c r="D391" s="71"/>
      <c r="E391" s="71"/>
      <c r="F391" s="71">
        <f>C391+D391+E391</f>
        <v>129589.6</v>
      </c>
      <c r="G391" s="72"/>
      <c r="H391" s="72"/>
      <c r="I391" s="72">
        <f>F391+G391+H391</f>
        <v>129589.6</v>
      </c>
      <c r="J391" s="71"/>
      <c r="K391" s="71"/>
      <c r="L391" s="71">
        <f>I391+J391+K391</f>
        <v>129589.6</v>
      </c>
      <c r="M391" s="71"/>
      <c r="N391" s="71"/>
      <c r="O391" s="71">
        <f>L391+M391+N391</f>
        <v>129589.6</v>
      </c>
      <c r="P391" s="76"/>
      <c r="Q391" s="60">
        <v>129589.6</v>
      </c>
      <c r="R391" s="60">
        <v>129589.6</v>
      </c>
      <c r="S391" s="50">
        <f t="shared" si="99"/>
        <v>100</v>
      </c>
    </row>
    <row r="392" spans="1:19" ht="12.75">
      <c r="A392" s="7" t="s">
        <v>217</v>
      </c>
      <c r="B392" s="90"/>
      <c r="C392" s="71">
        <v>26000</v>
      </c>
      <c r="D392" s="71"/>
      <c r="E392" s="71"/>
      <c r="F392" s="71">
        <f aca="true" t="shared" si="117" ref="F392:F414">C392+D392+E392</f>
        <v>26000</v>
      </c>
      <c r="G392" s="72"/>
      <c r="H392" s="72"/>
      <c r="I392" s="72">
        <f aca="true" t="shared" si="118" ref="I392:I414">F392+G392+H392</f>
        <v>26000</v>
      </c>
      <c r="J392" s="71"/>
      <c r="K392" s="71"/>
      <c r="L392" s="71">
        <f aca="true" t="shared" si="119" ref="L392:L411">I392+J392+K392</f>
        <v>26000</v>
      </c>
      <c r="M392" s="71"/>
      <c r="N392" s="71">
        <v>500</v>
      </c>
      <c r="O392" s="71">
        <f aca="true" t="shared" si="120" ref="O392:O410">L392+M392+N392</f>
        <v>26500</v>
      </c>
      <c r="P392" s="76"/>
      <c r="Q392" s="60">
        <v>26500</v>
      </c>
      <c r="R392" s="60">
        <v>26500</v>
      </c>
      <c r="S392" s="50">
        <f t="shared" si="99"/>
        <v>100</v>
      </c>
    </row>
    <row r="393" spans="1:19" ht="12.75">
      <c r="A393" s="7" t="s">
        <v>65</v>
      </c>
      <c r="B393" s="90"/>
      <c r="C393" s="71">
        <v>7903.6</v>
      </c>
      <c r="D393" s="71"/>
      <c r="E393" s="71"/>
      <c r="F393" s="71">
        <f t="shared" si="117"/>
        <v>7903.6</v>
      </c>
      <c r="G393" s="72"/>
      <c r="H393" s="72"/>
      <c r="I393" s="72">
        <f t="shared" si="118"/>
        <v>7903.6</v>
      </c>
      <c r="J393" s="71">
        <f>16.51</f>
        <v>16.51</v>
      </c>
      <c r="K393" s="71"/>
      <c r="L393" s="71">
        <f t="shared" si="119"/>
        <v>7920.110000000001</v>
      </c>
      <c r="M393" s="71"/>
      <c r="N393" s="71">
        <f>-500-245.1</f>
        <v>-745.1</v>
      </c>
      <c r="O393" s="71">
        <f t="shared" si="120"/>
        <v>7175.01</v>
      </c>
      <c r="P393" s="76"/>
      <c r="Q393" s="60">
        <v>7175.01</v>
      </c>
      <c r="R393" s="60">
        <v>6274.93</v>
      </c>
      <c r="S393" s="50">
        <f aca="true" t="shared" si="121" ref="S393:S455">R393/Q393*100</f>
        <v>87.4553484942878</v>
      </c>
    </row>
    <row r="394" spans="1:19" ht="12.75" hidden="1">
      <c r="A394" s="7" t="s">
        <v>80</v>
      </c>
      <c r="B394" s="90"/>
      <c r="C394" s="71"/>
      <c r="D394" s="71"/>
      <c r="E394" s="71"/>
      <c r="F394" s="71">
        <f t="shared" si="117"/>
        <v>0</v>
      </c>
      <c r="G394" s="72"/>
      <c r="H394" s="72"/>
      <c r="I394" s="72">
        <f t="shared" si="118"/>
        <v>0</v>
      </c>
      <c r="J394" s="71"/>
      <c r="K394" s="71"/>
      <c r="L394" s="71">
        <f t="shared" si="119"/>
        <v>0</v>
      </c>
      <c r="M394" s="71"/>
      <c r="N394" s="71"/>
      <c r="O394" s="71">
        <f t="shared" si="120"/>
        <v>0</v>
      </c>
      <c r="P394" s="76"/>
      <c r="Q394" s="60">
        <v>0</v>
      </c>
      <c r="R394" s="60"/>
      <c r="S394" s="50" t="e">
        <f t="shared" si="121"/>
        <v>#DIV/0!</v>
      </c>
    </row>
    <row r="395" spans="1:19" ht="12.75">
      <c r="A395" s="7" t="s">
        <v>288</v>
      </c>
      <c r="B395" s="90"/>
      <c r="C395" s="71"/>
      <c r="D395" s="71">
        <v>657.56</v>
      </c>
      <c r="E395" s="71"/>
      <c r="F395" s="71">
        <f t="shared" si="117"/>
        <v>657.56</v>
      </c>
      <c r="G395" s="72"/>
      <c r="H395" s="72"/>
      <c r="I395" s="72">
        <f t="shared" si="118"/>
        <v>657.56</v>
      </c>
      <c r="J395" s="71">
        <v>267.54</v>
      </c>
      <c r="K395" s="71"/>
      <c r="L395" s="71">
        <f t="shared" si="119"/>
        <v>925.0999999999999</v>
      </c>
      <c r="M395" s="71"/>
      <c r="N395" s="71"/>
      <c r="O395" s="71">
        <f t="shared" si="120"/>
        <v>925.0999999999999</v>
      </c>
      <c r="P395" s="76">
        <f>821.94</f>
        <v>821.94</v>
      </c>
      <c r="Q395" s="60">
        <v>1747.04</v>
      </c>
      <c r="R395" s="60">
        <v>1747.04</v>
      </c>
      <c r="S395" s="50">
        <f t="shared" si="121"/>
        <v>100</v>
      </c>
    </row>
    <row r="396" spans="1:19" ht="12.75">
      <c r="A396" s="7" t="s">
        <v>289</v>
      </c>
      <c r="B396" s="90"/>
      <c r="C396" s="71"/>
      <c r="D396" s="71">
        <v>656.71</v>
      </c>
      <c r="E396" s="71"/>
      <c r="F396" s="71">
        <f t="shared" si="117"/>
        <v>656.71</v>
      </c>
      <c r="G396" s="72"/>
      <c r="H396" s="72"/>
      <c r="I396" s="72">
        <f t="shared" si="118"/>
        <v>656.71</v>
      </c>
      <c r="J396" s="71">
        <v>283.28</v>
      </c>
      <c r="K396" s="71"/>
      <c r="L396" s="71">
        <f t="shared" si="119"/>
        <v>939.99</v>
      </c>
      <c r="M396" s="71"/>
      <c r="N396" s="71"/>
      <c r="O396" s="71">
        <f t="shared" si="120"/>
        <v>939.99</v>
      </c>
      <c r="P396" s="76"/>
      <c r="Q396" s="60">
        <v>939.99</v>
      </c>
      <c r="R396" s="60">
        <v>939.99</v>
      </c>
      <c r="S396" s="50">
        <f t="shared" si="121"/>
        <v>100</v>
      </c>
    </row>
    <row r="397" spans="1:19" ht="12.75">
      <c r="A397" s="7" t="s">
        <v>324</v>
      </c>
      <c r="B397" s="90"/>
      <c r="C397" s="71"/>
      <c r="D397" s="71"/>
      <c r="E397" s="71"/>
      <c r="F397" s="71"/>
      <c r="G397" s="72">
        <v>303.25</v>
      </c>
      <c r="H397" s="72"/>
      <c r="I397" s="72">
        <f t="shared" si="118"/>
        <v>303.25</v>
      </c>
      <c r="J397" s="71">
        <v>296.84</v>
      </c>
      <c r="K397" s="71"/>
      <c r="L397" s="71">
        <f t="shared" si="119"/>
        <v>600.0899999999999</v>
      </c>
      <c r="M397" s="71"/>
      <c r="N397" s="71"/>
      <c r="O397" s="71">
        <f t="shared" si="120"/>
        <v>600.0899999999999</v>
      </c>
      <c r="P397" s="76"/>
      <c r="Q397" s="60">
        <v>600.0899999999999</v>
      </c>
      <c r="R397" s="60">
        <v>600.09</v>
      </c>
      <c r="S397" s="50">
        <f t="shared" si="121"/>
        <v>100.00000000000003</v>
      </c>
    </row>
    <row r="398" spans="1:19" ht="12.75" hidden="1">
      <c r="A398" s="15" t="s">
        <v>261</v>
      </c>
      <c r="B398" s="90">
        <v>3400</v>
      </c>
      <c r="C398" s="71"/>
      <c r="D398" s="71">
        <v>411.14</v>
      </c>
      <c r="E398" s="71"/>
      <c r="F398" s="71">
        <f t="shared" si="117"/>
        <v>411.14</v>
      </c>
      <c r="G398" s="72">
        <v>-300</v>
      </c>
      <c r="H398" s="72"/>
      <c r="I398" s="72">
        <f t="shared" si="118"/>
        <v>111.13999999999999</v>
      </c>
      <c r="J398" s="71"/>
      <c r="K398" s="71"/>
      <c r="L398" s="71">
        <f t="shared" si="119"/>
        <v>111.13999999999999</v>
      </c>
      <c r="M398" s="71"/>
      <c r="N398" s="71"/>
      <c r="O398" s="71">
        <f t="shared" si="120"/>
        <v>111.13999999999999</v>
      </c>
      <c r="P398" s="76"/>
      <c r="Q398" s="60"/>
      <c r="R398" s="60"/>
      <c r="S398" s="50" t="e">
        <f t="shared" si="121"/>
        <v>#DIV/0!</v>
      </c>
    </row>
    <row r="399" spans="1:19" ht="12.75">
      <c r="A399" s="15" t="s">
        <v>290</v>
      </c>
      <c r="B399" s="90">
        <v>3400</v>
      </c>
      <c r="C399" s="71"/>
      <c r="D399" s="71">
        <v>900.65</v>
      </c>
      <c r="E399" s="71"/>
      <c r="F399" s="71">
        <f t="shared" si="117"/>
        <v>900.65</v>
      </c>
      <c r="G399" s="72">
        <f>785.48+1270</f>
        <v>2055.48</v>
      </c>
      <c r="H399" s="72"/>
      <c r="I399" s="72">
        <f t="shared" si="118"/>
        <v>2956.13</v>
      </c>
      <c r="J399" s="71"/>
      <c r="K399" s="71"/>
      <c r="L399" s="71">
        <f t="shared" si="119"/>
        <v>2956.13</v>
      </c>
      <c r="M399" s="71"/>
      <c r="N399" s="71"/>
      <c r="O399" s="71">
        <f t="shared" si="120"/>
        <v>2956.13</v>
      </c>
      <c r="P399" s="76">
        <v>-214.62</v>
      </c>
      <c r="Q399" s="60">
        <f>2741.51+111.14</f>
        <v>2852.65</v>
      </c>
      <c r="R399" s="60">
        <v>2363.85</v>
      </c>
      <c r="S399" s="50">
        <f t="shared" si="121"/>
        <v>82.86505529945839</v>
      </c>
    </row>
    <row r="400" spans="1:19" ht="12.75" hidden="1">
      <c r="A400" s="15" t="s">
        <v>262</v>
      </c>
      <c r="B400" s="90">
        <v>4700</v>
      </c>
      <c r="C400" s="71"/>
      <c r="D400" s="71">
        <v>1598.35</v>
      </c>
      <c r="E400" s="71"/>
      <c r="F400" s="71">
        <f t="shared" si="117"/>
        <v>1598.35</v>
      </c>
      <c r="G400" s="72"/>
      <c r="H400" s="72"/>
      <c r="I400" s="72">
        <f t="shared" si="118"/>
        <v>1598.35</v>
      </c>
      <c r="J400" s="71"/>
      <c r="K400" s="71"/>
      <c r="L400" s="71">
        <f t="shared" si="119"/>
        <v>1598.35</v>
      </c>
      <c r="M400" s="71"/>
      <c r="N400" s="71"/>
      <c r="O400" s="71">
        <f t="shared" si="120"/>
        <v>1598.35</v>
      </c>
      <c r="P400" s="76"/>
      <c r="Q400" s="60"/>
      <c r="R400" s="60"/>
      <c r="S400" s="50" t="e">
        <f t="shared" si="121"/>
        <v>#DIV/0!</v>
      </c>
    </row>
    <row r="401" spans="1:19" ht="12.75">
      <c r="A401" s="15" t="s">
        <v>281</v>
      </c>
      <c r="B401" s="90">
        <v>4700</v>
      </c>
      <c r="C401" s="71"/>
      <c r="D401" s="71">
        <v>539.28</v>
      </c>
      <c r="E401" s="71"/>
      <c r="F401" s="71">
        <f t="shared" si="117"/>
        <v>539.28</v>
      </c>
      <c r="G401" s="72">
        <f>1222.59+2500</f>
        <v>3722.59</v>
      </c>
      <c r="H401" s="72"/>
      <c r="I401" s="72">
        <f t="shared" si="118"/>
        <v>4261.87</v>
      </c>
      <c r="J401" s="71"/>
      <c r="K401" s="71"/>
      <c r="L401" s="71">
        <f t="shared" si="119"/>
        <v>4261.87</v>
      </c>
      <c r="M401" s="71"/>
      <c r="N401" s="71"/>
      <c r="O401" s="71">
        <f t="shared" si="120"/>
        <v>4261.87</v>
      </c>
      <c r="P401" s="76">
        <v>-63.11</v>
      </c>
      <c r="Q401" s="60">
        <f>4198.76+1598.35</f>
        <v>5797.110000000001</v>
      </c>
      <c r="R401" s="60">
        <v>5641.36</v>
      </c>
      <c r="S401" s="50">
        <f t="shared" si="121"/>
        <v>97.3133164628582</v>
      </c>
    </row>
    <row r="402" spans="1:19" ht="12.75" hidden="1">
      <c r="A402" s="7" t="s">
        <v>263</v>
      </c>
      <c r="B402" s="90">
        <v>4602</v>
      </c>
      <c r="C402" s="71"/>
      <c r="D402" s="71">
        <v>13663.24</v>
      </c>
      <c r="E402" s="71"/>
      <c r="F402" s="71">
        <f t="shared" si="117"/>
        <v>13663.24</v>
      </c>
      <c r="G402" s="72"/>
      <c r="H402" s="72"/>
      <c r="I402" s="72">
        <f t="shared" si="118"/>
        <v>13663.24</v>
      </c>
      <c r="J402" s="71"/>
      <c r="K402" s="71"/>
      <c r="L402" s="71">
        <f t="shared" si="119"/>
        <v>13663.24</v>
      </c>
      <c r="M402" s="71"/>
      <c r="N402" s="71"/>
      <c r="O402" s="71">
        <f t="shared" si="120"/>
        <v>13663.24</v>
      </c>
      <c r="P402" s="76"/>
      <c r="Q402" s="60"/>
      <c r="R402" s="60"/>
      <c r="S402" s="50" t="e">
        <f t="shared" si="121"/>
        <v>#DIV/0!</v>
      </c>
    </row>
    <row r="403" spans="1:19" ht="12.75">
      <c r="A403" s="7" t="s">
        <v>306</v>
      </c>
      <c r="B403" s="90">
        <v>4602</v>
      </c>
      <c r="C403" s="71"/>
      <c r="D403" s="71"/>
      <c r="E403" s="71"/>
      <c r="F403" s="71">
        <f t="shared" si="117"/>
        <v>0</v>
      </c>
      <c r="G403" s="72">
        <f>33000+11253.56</f>
        <v>44253.56</v>
      </c>
      <c r="H403" s="72"/>
      <c r="I403" s="72">
        <f t="shared" si="118"/>
        <v>44253.56</v>
      </c>
      <c r="J403" s="71"/>
      <c r="K403" s="71"/>
      <c r="L403" s="71">
        <f t="shared" si="119"/>
        <v>44253.56</v>
      </c>
      <c r="M403" s="71"/>
      <c r="N403" s="71"/>
      <c r="O403" s="71">
        <f t="shared" si="120"/>
        <v>44253.56</v>
      </c>
      <c r="P403" s="76">
        <v>-12577.89</v>
      </c>
      <c r="Q403" s="60">
        <f>31675.67+13663.24</f>
        <v>45338.909999999996</v>
      </c>
      <c r="R403" s="60">
        <v>41887.57</v>
      </c>
      <c r="S403" s="50">
        <f t="shared" si="121"/>
        <v>92.38768642651533</v>
      </c>
    </row>
    <row r="404" spans="1:19" ht="12.75">
      <c r="A404" s="7" t="s">
        <v>351</v>
      </c>
      <c r="B404" s="90">
        <v>3100</v>
      </c>
      <c r="C404" s="71"/>
      <c r="D404" s="71"/>
      <c r="E404" s="71"/>
      <c r="F404" s="71"/>
      <c r="G404" s="72"/>
      <c r="H404" s="72"/>
      <c r="I404" s="72"/>
      <c r="J404" s="71"/>
      <c r="K404" s="71"/>
      <c r="L404" s="71">
        <f t="shared" si="119"/>
        <v>0</v>
      </c>
      <c r="M404" s="71">
        <v>20073.89</v>
      </c>
      <c r="N404" s="71"/>
      <c r="O404" s="71">
        <f t="shared" si="120"/>
        <v>20073.89</v>
      </c>
      <c r="P404" s="76">
        <f>9009.32</f>
        <v>9009.32</v>
      </c>
      <c r="Q404" s="60">
        <v>29083.21</v>
      </c>
      <c r="R404" s="60">
        <v>980.06</v>
      </c>
      <c r="S404" s="50">
        <f t="shared" si="121"/>
        <v>3.3698481013615758</v>
      </c>
    </row>
    <row r="405" spans="1:19" ht="12.75" hidden="1">
      <c r="A405" s="15" t="s">
        <v>264</v>
      </c>
      <c r="B405" s="90">
        <v>5303</v>
      </c>
      <c r="C405" s="71"/>
      <c r="D405" s="71">
        <v>4822.45</v>
      </c>
      <c r="E405" s="71"/>
      <c r="F405" s="71">
        <f t="shared" si="117"/>
        <v>4822.45</v>
      </c>
      <c r="G405" s="72"/>
      <c r="H405" s="72"/>
      <c r="I405" s="72">
        <f t="shared" si="118"/>
        <v>4822.45</v>
      </c>
      <c r="J405" s="71"/>
      <c r="K405" s="71"/>
      <c r="L405" s="71">
        <f t="shared" si="119"/>
        <v>4822.45</v>
      </c>
      <c r="M405" s="71"/>
      <c r="N405" s="71"/>
      <c r="O405" s="71">
        <f t="shared" si="120"/>
        <v>4822.45</v>
      </c>
      <c r="P405" s="76"/>
      <c r="Q405" s="60"/>
      <c r="R405" s="60"/>
      <c r="S405" s="50" t="e">
        <f t="shared" si="121"/>
        <v>#DIV/0!</v>
      </c>
    </row>
    <row r="406" spans="1:19" ht="12.75">
      <c r="A406" s="15" t="s">
        <v>307</v>
      </c>
      <c r="B406" s="90">
        <v>5303</v>
      </c>
      <c r="C406" s="71"/>
      <c r="D406" s="71"/>
      <c r="E406" s="71"/>
      <c r="F406" s="71">
        <f t="shared" si="117"/>
        <v>0</v>
      </c>
      <c r="G406" s="72">
        <f>7350+3961.18</f>
        <v>11311.18</v>
      </c>
      <c r="H406" s="72"/>
      <c r="I406" s="72">
        <f t="shared" si="118"/>
        <v>11311.18</v>
      </c>
      <c r="J406" s="71"/>
      <c r="K406" s="71"/>
      <c r="L406" s="71">
        <f t="shared" si="119"/>
        <v>11311.18</v>
      </c>
      <c r="M406" s="71">
        <v>36.81</v>
      </c>
      <c r="N406" s="71"/>
      <c r="O406" s="71">
        <f t="shared" si="120"/>
        <v>11347.99</v>
      </c>
      <c r="P406" s="76"/>
      <c r="Q406" s="60">
        <f>11347.99+4822.45</f>
        <v>16170.439999999999</v>
      </c>
      <c r="R406" s="60">
        <v>15512.18</v>
      </c>
      <c r="S406" s="50">
        <f t="shared" si="121"/>
        <v>95.929238783855</v>
      </c>
    </row>
    <row r="407" spans="1:19" ht="12.75">
      <c r="A407" s="15" t="s">
        <v>282</v>
      </c>
      <c r="B407" s="134" t="s">
        <v>371</v>
      </c>
      <c r="C407" s="71"/>
      <c r="D407" s="71">
        <v>3357.89</v>
      </c>
      <c r="E407" s="71"/>
      <c r="F407" s="71">
        <f t="shared" si="117"/>
        <v>3357.89</v>
      </c>
      <c r="G407" s="72"/>
      <c r="H407" s="72"/>
      <c r="I407" s="72">
        <f t="shared" si="118"/>
        <v>3357.89</v>
      </c>
      <c r="J407" s="71"/>
      <c r="K407" s="71"/>
      <c r="L407" s="71">
        <f t="shared" si="119"/>
        <v>3357.89</v>
      </c>
      <c r="M407" s="71"/>
      <c r="N407" s="71"/>
      <c r="O407" s="71">
        <f t="shared" si="120"/>
        <v>3357.89</v>
      </c>
      <c r="P407" s="76">
        <v>-690.42</v>
      </c>
      <c r="Q407" s="60">
        <v>2667.47</v>
      </c>
      <c r="R407" s="60">
        <v>1752.93</v>
      </c>
      <c r="S407" s="50">
        <f t="shared" si="121"/>
        <v>65.7150783326523</v>
      </c>
    </row>
    <row r="408" spans="1:19" ht="12.75" hidden="1">
      <c r="A408" s="15" t="s">
        <v>265</v>
      </c>
      <c r="B408" s="90" t="s">
        <v>266</v>
      </c>
      <c r="C408" s="71"/>
      <c r="D408" s="71">
        <v>251.78</v>
      </c>
      <c r="E408" s="71"/>
      <c r="F408" s="71">
        <f t="shared" si="117"/>
        <v>251.78</v>
      </c>
      <c r="G408" s="72">
        <v>-251.78</v>
      </c>
      <c r="H408" s="72"/>
      <c r="I408" s="72">
        <f t="shared" si="118"/>
        <v>0</v>
      </c>
      <c r="J408" s="71"/>
      <c r="K408" s="71"/>
      <c r="L408" s="71">
        <f t="shared" si="119"/>
        <v>0</v>
      </c>
      <c r="M408" s="71"/>
      <c r="N408" s="71"/>
      <c r="O408" s="71">
        <f t="shared" si="120"/>
        <v>0</v>
      </c>
      <c r="P408" s="76"/>
      <c r="Q408" s="60">
        <v>0</v>
      </c>
      <c r="R408" s="60"/>
      <c r="S408" s="50" t="e">
        <f t="shared" si="121"/>
        <v>#DIV/0!</v>
      </c>
    </row>
    <row r="409" spans="1:19" ht="12.75">
      <c r="A409" s="15" t="s">
        <v>319</v>
      </c>
      <c r="B409" s="90" t="s">
        <v>266</v>
      </c>
      <c r="C409" s="71"/>
      <c r="D409" s="71"/>
      <c r="E409" s="71"/>
      <c r="F409" s="71">
        <f t="shared" si="117"/>
        <v>0</v>
      </c>
      <c r="G409" s="72">
        <f>280.11-248.22</f>
        <v>31.890000000000015</v>
      </c>
      <c r="H409" s="72"/>
      <c r="I409" s="72">
        <f t="shared" si="118"/>
        <v>31.890000000000015</v>
      </c>
      <c r="J409" s="71">
        <v>-16.51</v>
      </c>
      <c r="K409" s="71"/>
      <c r="L409" s="71">
        <f t="shared" si="119"/>
        <v>15.380000000000013</v>
      </c>
      <c r="M409" s="71"/>
      <c r="N409" s="71"/>
      <c r="O409" s="71">
        <f t="shared" si="120"/>
        <v>15.380000000000013</v>
      </c>
      <c r="P409" s="76"/>
      <c r="Q409" s="60">
        <v>15.380000000000013</v>
      </c>
      <c r="R409" s="60">
        <v>15.38</v>
      </c>
      <c r="S409" s="50">
        <f t="shared" si="121"/>
        <v>99.99999999999993</v>
      </c>
    </row>
    <row r="410" spans="1:19" ht="12.75">
      <c r="A410" s="15" t="s">
        <v>339</v>
      </c>
      <c r="B410" s="90">
        <v>13305</v>
      </c>
      <c r="C410" s="71"/>
      <c r="D410" s="71"/>
      <c r="E410" s="71"/>
      <c r="F410" s="71"/>
      <c r="G410" s="72"/>
      <c r="H410" s="72"/>
      <c r="I410" s="72">
        <f t="shared" si="118"/>
        <v>0</v>
      </c>
      <c r="J410" s="71">
        <v>183408</v>
      </c>
      <c r="K410" s="71"/>
      <c r="L410" s="71">
        <f t="shared" si="119"/>
        <v>183408</v>
      </c>
      <c r="M410" s="71"/>
      <c r="N410" s="71"/>
      <c r="O410" s="71">
        <f t="shared" si="120"/>
        <v>183408</v>
      </c>
      <c r="P410" s="76">
        <v>-63707.2</v>
      </c>
      <c r="Q410" s="60">
        <v>119700.8</v>
      </c>
      <c r="R410" s="60">
        <v>119700.8</v>
      </c>
      <c r="S410" s="50">
        <f t="shared" si="121"/>
        <v>100</v>
      </c>
    </row>
    <row r="411" spans="1:19" ht="12.75">
      <c r="A411" s="15" t="s">
        <v>120</v>
      </c>
      <c r="B411" s="90">
        <v>13307</v>
      </c>
      <c r="C411" s="71"/>
      <c r="D411" s="71">
        <v>2500</v>
      </c>
      <c r="E411" s="71"/>
      <c r="F411" s="71">
        <f t="shared" si="117"/>
        <v>2500</v>
      </c>
      <c r="G411" s="72"/>
      <c r="H411" s="72"/>
      <c r="I411" s="72">
        <f t="shared" si="118"/>
        <v>2500</v>
      </c>
      <c r="J411" s="71">
        <v>2500</v>
      </c>
      <c r="K411" s="71"/>
      <c r="L411" s="71">
        <f t="shared" si="119"/>
        <v>5000</v>
      </c>
      <c r="M411" s="71">
        <v>1900</v>
      </c>
      <c r="N411" s="71"/>
      <c r="O411" s="71">
        <f>L411+M411+N411</f>
        <v>6900</v>
      </c>
      <c r="P411" s="76"/>
      <c r="Q411" s="60">
        <v>6900</v>
      </c>
      <c r="R411" s="60">
        <v>6805.04</v>
      </c>
      <c r="S411" s="50">
        <f t="shared" si="121"/>
        <v>98.62376811594203</v>
      </c>
    </row>
    <row r="412" spans="1:19" ht="12.75">
      <c r="A412" s="7" t="s">
        <v>186</v>
      </c>
      <c r="B412" s="90">
        <v>14018</v>
      </c>
      <c r="C412" s="71"/>
      <c r="D412" s="71"/>
      <c r="E412" s="71"/>
      <c r="F412" s="71">
        <f t="shared" si="117"/>
        <v>0</v>
      </c>
      <c r="G412" s="72">
        <f>490+280</f>
        <v>770</v>
      </c>
      <c r="H412" s="72"/>
      <c r="I412" s="72">
        <f t="shared" si="118"/>
        <v>770</v>
      </c>
      <c r="J412" s="71"/>
      <c r="K412" s="71"/>
      <c r="L412" s="71">
        <f>I412+J412+K412</f>
        <v>770</v>
      </c>
      <c r="M412" s="71"/>
      <c r="N412" s="71"/>
      <c r="O412" s="71">
        <f>L412+M412+N412</f>
        <v>770</v>
      </c>
      <c r="P412" s="76">
        <f>-0.12</f>
        <v>-0.12</v>
      </c>
      <c r="Q412" s="60">
        <v>769.88</v>
      </c>
      <c r="R412" s="60">
        <v>769.88</v>
      </c>
      <c r="S412" s="50">
        <f t="shared" si="121"/>
        <v>100</v>
      </c>
    </row>
    <row r="413" spans="1:19" ht="12.75">
      <c r="A413" s="15" t="s">
        <v>201</v>
      </c>
      <c r="B413" s="90">
        <v>4359</v>
      </c>
      <c r="C413" s="71"/>
      <c r="D413" s="71"/>
      <c r="E413" s="71"/>
      <c r="F413" s="71">
        <f t="shared" si="117"/>
        <v>0</v>
      </c>
      <c r="G413" s="72">
        <v>61</v>
      </c>
      <c r="H413" s="72"/>
      <c r="I413" s="72">
        <f t="shared" si="118"/>
        <v>61</v>
      </c>
      <c r="J413" s="71"/>
      <c r="K413" s="71"/>
      <c r="L413" s="71">
        <f>I413+J413+K413</f>
        <v>61</v>
      </c>
      <c r="M413" s="71"/>
      <c r="N413" s="71"/>
      <c r="O413" s="71">
        <f>L413+M413+N413</f>
        <v>61</v>
      </c>
      <c r="P413" s="76"/>
      <c r="Q413" s="60">
        <v>61</v>
      </c>
      <c r="R413" s="60">
        <v>61</v>
      </c>
      <c r="S413" s="50">
        <f t="shared" si="121"/>
        <v>100</v>
      </c>
    </row>
    <row r="414" spans="1:19" ht="12.75">
      <c r="A414" s="7" t="s">
        <v>95</v>
      </c>
      <c r="B414" s="90"/>
      <c r="C414" s="71"/>
      <c r="D414" s="71"/>
      <c r="E414" s="71"/>
      <c r="F414" s="71">
        <f t="shared" si="117"/>
        <v>0</v>
      </c>
      <c r="G414" s="72"/>
      <c r="H414" s="72"/>
      <c r="I414" s="72">
        <f t="shared" si="118"/>
        <v>0</v>
      </c>
      <c r="J414" s="71">
        <v>1200</v>
      </c>
      <c r="K414" s="71"/>
      <c r="L414" s="71">
        <f>I414+J414+K414</f>
        <v>1200</v>
      </c>
      <c r="M414" s="71"/>
      <c r="N414" s="71"/>
      <c r="O414" s="71">
        <f>L414+M414+N414</f>
        <v>1200</v>
      </c>
      <c r="P414" s="76"/>
      <c r="Q414" s="60">
        <v>1200</v>
      </c>
      <c r="R414" s="60">
        <v>0</v>
      </c>
      <c r="S414" s="50">
        <f t="shared" si="121"/>
        <v>0</v>
      </c>
    </row>
    <row r="415" spans="1:19" ht="12.75">
      <c r="A415" s="13" t="s">
        <v>68</v>
      </c>
      <c r="B415" s="91"/>
      <c r="C415" s="88">
        <f>SUM(C417:C419)</f>
        <v>0</v>
      </c>
      <c r="D415" s="88">
        <f>SUM(D417:D419)</f>
        <v>0</v>
      </c>
      <c r="E415" s="88"/>
      <c r="F415" s="88">
        <f>SUM(F417:F419)</f>
        <v>0</v>
      </c>
      <c r="G415" s="89">
        <f aca="true" t="shared" si="122" ref="G415:R415">SUM(G417:G419)</f>
        <v>0</v>
      </c>
      <c r="H415" s="89">
        <f t="shared" si="122"/>
        <v>0</v>
      </c>
      <c r="I415" s="89">
        <f t="shared" si="122"/>
        <v>0</v>
      </c>
      <c r="J415" s="88">
        <f t="shared" si="122"/>
        <v>0</v>
      </c>
      <c r="K415" s="88">
        <f t="shared" si="122"/>
        <v>0</v>
      </c>
      <c r="L415" s="88">
        <f t="shared" si="122"/>
        <v>0</v>
      </c>
      <c r="M415" s="88">
        <f t="shared" si="122"/>
        <v>0</v>
      </c>
      <c r="N415" s="88">
        <f t="shared" si="122"/>
        <v>245.1</v>
      </c>
      <c r="O415" s="88">
        <f t="shared" si="122"/>
        <v>245.1</v>
      </c>
      <c r="P415" s="88">
        <f t="shared" si="122"/>
        <v>0</v>
      </c>
      <c r="Q415" s="88">
        <f t="shared" si="122"/>
        <v>245.1</v>
      </c>
      <c r="R415" s="89">
        <f t="shared" si="122"/>
        <v>245.1</v>
      </c>
      <c r="S415" s="150">
        <f t="shared" si="121"/>
        <v>100</v>
      </c>
    </row>
    <row r="416" spans="1:19" ht="12.75">
      <c r="A416" s="9" t="s">
        <v>34</v>
      </c>
      <c r="B416" s="90"/>
      <c r="C416" s="71"/>
      <c r="D416" s="71"/>
      <c r="E416" s="71"/>
      <c r="F416" s="71"/>
      <c r="G416" s="72"/>
      <c r="H416" s="72"/>
      <c r="I416" s="72"/>
      <c r="J416" s="71"/>
      <c r="K416" s="71"/>
      <c r="L416" s="71"/>
      <c r="M416" s="71"/>
      <c r="N416" s="71"/>
      <c r="O416" s="71"/>
      <c r="P416" s="76"/>
      <c r="Q416" s="60"/>
      <c r="R416" s="60"/>
      <c r="S416" s="50"/>
    </row>
    <row r="417" spans="1:19" ht="12.75" hidden="1">
      <c r="A417" s="7" t="s">
        <v>109</v>
      </c>
      <c r="B417" s="90"/>
      <c r="C417" s="71"/>
      <c r="D417" s="71"/>
      <c r="E417" s="71"/>
      <c r="F417" s="71">
        <f>C417+D417+E417</f>
        <v>0</v>
      </c>
      <c r="G417" s="72"/>
      <c r="H417" s="72"/>
      <c r="I417" s="72">
        <f>F417+G417+H417</f>
        <v>0</v>
      </c>
      <c r="J417" s="71"/>
      <c r="K417" s="71"/>
      <c r="L417" s="71">
        <f>I417+J417+K417</f>
        <v>0</v>
      </c>
      <c r="M417" s="71"/>
      <c r="N417" s="71"/>
      <c r="O417" s="71">
        <f>L417+M417+N417</f>
        <v>0</v>
      </c>
      <c r="P417" s="76"/>
      <c r="Q417" s="60">
        <v>0</v>
      </c>
      <c r="R417" s="60"/>
      <c r="S417" s="50" t="e">
        <f t="shared" si="121"/>
        <v>#DIV/0!</v>
      </c>
    </row>
    <row r="418" spans="1:19" ht="12.75">
      <c r="A418" s="10" t="s">
        <v>69</v>
      </c>
      <c r="B418" s="94"/>
      <c r="C418" s="95"/>
      <c r="D418" s="95"/>
      <c r="E418" s="95"/>
      <c r="F418" s="95">
        <f>C418+D418+E418</f>
        <v>0</v>
      </c>
      <c r="G418" s="96"/>
      <c r="H418" s="96"/>
      <c r="I418" s="96">
        <f>F418+G418+H418</f>
        <v>0</v>
      </c>
      <c r="J418" s="95"/>
      <c r="K418" s="95"/>
      <c r="L418" s="95">
        <f>I418+J418+K418</f>
        <v>0</v>
      </c>
      <c r="M418" s="95"/>
      <c r="N418" s="95">
        <v>245.1</v>
      </c>
      <c r="O418" s="95">
        <f>L418+M418+N418</f>
        <v>245.1</v>
      </c>
      <c r="P418" s="97"/>
      <c r="Q418" s="53">
        <v>245.1</v>
      </c>
      <c r="R418" s="53">
        <v>245.1</v>
      </c>
      <c r="S418" s="52">
        <f t="shared" si="121"/>
        <v>100</v>
      </c>
    </row>
    <row r="419" spans="1:19" ht="12.75" hidden="1">
      <c r="A419" s="10" t="s">
        <v>95</v>
      </c>
      <c r="B419" s="94"/>
      <c r="C419" s="95"/>
      <c r="D419" s="95"/>
      <c r="E419" s="95"/>
      <c r="F419" s="95">
        <f>C419+D419+E419</f>
        <v>0</v>
      </c>
      <c r="G419" s="96"/>
      <c r="H419" s="96"/>
      <c r="I419" s="96">
        <f>F419+G419+H419</f>
        <v>0</v>
      </c>
      <c r="J419" s="71"/>
      <c r="K419" s="71"/>
      <c r="L419" s="71">
        <f>I419+J419+K419</f>
        <v>0</v>
      </c>
      <c r="M419" s="71"/>
      <c r="N419" s="71"/>
      <c r="O419" s="71">
        <f>L419+M419+N419</f>
        <v>0</v>
      </c>
      <c r="P419" s="76"/>
      <c r="Q419" s="60">
        <v>0</v>
      </c>
      <c r="R419" s="60"/>
      <c r="S419" s="50" t="e">
        <f t="shared" si="121"/>
        <v>#DIV/0!</v>
      </c>
    </row>
    <row r="420" spans="1:19" ht="12.75">
      <c r="A420" s="8" t="s">
        <v>280</v>
      </c>
      <c r="B420" s="91"/>
      <c r="C420" s="67">
        <f aca="true" t="shared" si="123" ref="C420:R420">C421+C431</f>
        <v>64191.6</v>
      </c>
      <c r="D420" s="67">
        <f t="shared" si="123"/>
        <v>21965.87</v>
      </c>
      <c r="E420" s="67">
        <f t="shared" si="123"/>
        <v>3000</v>
      </c>
      <c r="F420" s="67">
        <f t="shared" si="123"/>
        <v>89157.47</v>
      </c>
      <c r="G420" s="68">
        <f t="shared" si="123"/>
        <v>19643.33</v>
      </c>
      <c r="H420" s="68">
        <f t="shared" si="123"/>
        <v>0</v>
      </c>
      <c r="I420" s="68">
        <f t="shared" si="123"/>
        <v>108800.80000000002</v>
      </c>
      <c r="J420" s="67">
        <f t="shared" si="123"/>
        <v>6955</v>
      </c>
      <c r="K420" s="67">
        <f t="shared" si="123"/>
        <v>-150</v>
      </c>
      <c r="L420" s="67">
        <f t="shared" si="123"/>
        <v>115605.80000000002</v>
      </c>
      <c r="M420" s="67">
        <f t="shared" si="123"/>
        <v>1468.46</v>
      </c>
      <c r="N420" s="67">
        <f t="shared" si="123"/>
        <v>0</v>
      </c>
      <c r="O420" s="67">
        <f t="shared" si="123"/>
        <v>117074.26000000001</v>
      </c>
      <c r="P420" s="67">
        <f t="shared" si="123"/>
        <v>-126.4</v>
      </c>
      <c r="Q420" s="67">
        <f t="shared" si="123"/>
        <v>116947.86000000002</v>
      </c>
      <c r="R420" s="68">
        <f t="shared" si="123"/>
        <v>113425.70999999999</v>
      </c>
      <c r="S420" s="148">
        <f t="shared" si="121"/>
        <v>96.98827323561113</v>
      </c>
    </row>
    <row r="421" spans="1:19" ht="12.75">
      <c r="A421" s="13" t="s">
        <v>63</v>
      </c>
      <c r="B421" s="91"/>
      <c r="C421" s="88">
        <f aca="true" t="shared" si="124" ref="C421:R421">SUM(C423:C430)</f>
        <v>59191.6</v>
      </c>
      <c r="D421" s="88">
        <f t="shared" si="124"/>
        <v>6543.969999999999</v>
      </c>
      <c r="E421" s="88">
        <f t="shared" si="124"/>
        <v>0</v>
      </c>
      <c r="F421" s="88">
        <f t="shared" si="124"/>
        <v>65735.57</v>
      </c>
      <c r="G421" s="89">
        <f t="shared" si="124"/>
        <v>8943.33</v>
      </c>
      <c r="H421" s="89">
        <f t="shared" si="124"/>
        <v>0</v>
      </c>
      <c r="I421" s="89">
        <f t="shared" si="124"/>
        <v>74678.90000000001</v>
      </c>
      <c r="J421" s="88">
        <f t="shared" si="124"/>
        <v>1855</v>
      </c>
      <c r="K421" s="88">
        <f t="shared" si="124"/>
        <v>-150</v>
      </c>
      <c r="L421" s="88">
        <f t="shared" si="124"/>
        <v>76383.90000000001</v>
      </c>
      <c r="M421" s="88">
        <f t="shared" si="124"/>
        <v>488.46000000000004</v>
      </c>
      <c r="N421" s="88">
        <f t="shared" si="124"/>
        <v>220</v>
      </c>
      <c r="O421" s="88">
        <f t="shared" si="124"/>
        <v>77092.36000000002</v>
      </c>
      <c r="P421" s="88">
        <f t="shared" si="124"/>
        <v>-126.4</v>
      </c>
      <c r="Q421" s="88">
        <f t="shared" si="124"/>
        <v>76965.96</v>
      </c>
      <c r="R421" s="89">
        <f t="shared" si="124"/>
        <v>76007.79</v>
      </c>
      <c r="S421" s="150">
        <f t="shared" si="121"/>
        <v>98.75507302189173</v>
      </c>
    </row>
    <row r="422" spans="1:19" ht="12.75">
      <c r="A422" s="9" t="s">
        <v>34</v>
      </c>
      <c r="B422" s="90"/>
      <c r="C422" s="71"/>
      <c r="D422" s="71"/>
      <c r="E422" s="71"/>
      <c r="F422" s="67"/>
      <c r="G422" s="72"/>
      <c r="H422" s="72"/>
      <c r="I422" s="68"/>
      <c r="J422" s="71"/>
      <c r="K422" s="71"/>
      <c r="L422" s="67"/>
      <c r="M422" s="71"/>
      <c r="N422" s="71"/>
      <c r="O422" s="67"/>
      <c r="P422" s="76"/>
      <c r="Q422" s="60"/>
      <c r="R422" s="60"/>
      <c r="S422" s="50"/>
    </row>
    <row r="423" spans="1:19" ht="12.75">
      <c r="A423" s="7" t="s">
        <v>65</v>
      </c>
      <c r="B423" s="90"/>
      <c r="C423" s="71">
        <v>12191.6</v>
      </c>
      <c r="D423" s="71">
        <f>300+2250+200</f>
        <v>2750</v>
      </c>
      <c r="E423" s="71"/>
      <c r="F423" s="71">
        <f>C423+D423+E423</f>
        <v>14941.6</v>
      </c>
      <c r="G423" s="72">
        <f>750-200+77.48</f>
        <v>627.48</v>
      </c>
      <c r="H423" s="72"/>
      <c r="I423" s="72">
        <f>F423+G423+H423</f>
        <v>15569.08</v>
      </c>
      <c r="J423" s="71"/>
      <c r="K423" s="71"/>
      <c r="L423" s="71">
        <f>I423+J423+K423</f>
        <v>15569.08</v>
      </c>
      <c r="M423" s="71">
        <f>-52.82+120+270+621-400</f>
        <v>558.1800000000001</v>
      </c>
      <c r="N423" s="71">
        <v>220</v>
      </c>
      <c r="O423" s="71">
        <f>L423+M423+N423</f>
        <v>16347.26</v>
      </c>
      <c r="P423" s="76">
        <f>-100</f>
        <v>-100</v>
      </c>
      <c r="Q423" s="60">
        <v>16247.26</v>
      </c>
      <c r="R423" s="60">
        <v>16045.1</v>
      </c>
      <c r="S423" s="50">
        <f t="shared" si="121"/>
        <v>98.7557286582476</v>
      </c>
    </row>
    <row r="424" spans="1:19" ht="12.75" hidden="1">
      <c r="A424" s="7" t="s">
        <v>121</v>
      </c>
      <c r="B424" s="90"/>
      <c r="C424" s="71"/>
      <c r="D424" s="71"/>
      <c r="E424" s="71"/>
      <c r="F424" s="71">
        <f aca="true" t="shared" si="125" ref="F424:F430">C424+D424+E424</f>
        <v>0</v>
      </c>
      <c r="G424" s="72"/>
      <c r="H424" s="72"/>
      <c r="I424" s="72">
        <f aca="true" t="shared" si="126" ref="I424:I430">F424+G424+H424</f>
        <v>0</v>
      </c>
      <c r="J424" s="71"/>
      <c r="K424" s="71"/>
      <c r="L424" s="71">
        <f aca="true" t="shared" si="127" ref="L424:L429">I424+J424+K424</f>
        <v>0</v>
      </c>
      <c r="M424" s="71"/>
      <c r="N424" s="71"/>
      <c r="O424" s="71">
        <f aca="true" t="shared" si="128" ref="O424:O430">L424+M424+N424</f>
        <v>0</v>
      </c>
      <c r="P424" s="76"/>
      <c r="Q424" s="60">
        <v>0</v>
      </c>
      <c r="R424" s="60"/>
      <c r="S424" s="50" t="e">
        <f t="shared" si="121"/>
        <v>#DIV/0!</v>
      </c>
    </row>
    <row r="425" spans="1:19" ht="12.75" hidden="1">
      <c r="A425" s="7" t="s">
        <v>122</v>
      </c>
      <c r="B425" s="90"/>
      <c r="C425" s="71"/>
      <c r="D425" s="71"/>
      <c r="E425" s="71"/>
      <c r="F425" s="71">
        <f t="shared" si="125"/>
        <v>0</v>
      </c>
      <c r="G425" s="72"/>
      <c r="H425" s="72"/>
      <c r="I425" s="72">
        <f t="shared" si="126"/>
        <v>0</v>
      </c>
      <c r="J425" s="71"/>
      <c r="K425" s="71"/>
      <c r="L425" s="71">
        <f t="shared" si="127"/>
        <v>0</v>
      </c>
      <c r="M425" s="71"/>
      <c r="N425" s="71"/>
      <c r="O425" s="71">
        <f t="shared" si="128"/>
        <v>0</v>
      </c>
      <c r="P425" s="76"/>
      <c r="Q425" s="60">
        <v>0</v>
      </c>
      <c r="R425" s="60"/>
      <c r="S425" s="50" t="e">
        <f t="shared" si="121"/>
        <v>#DIV/0!</v>
      </c>
    </row>
    <row r="426" spans="1:19" ht="12.75">
      <c r="A426" s="11" t="s">
        <v>225</v>
      </c>
      <c r="B426" s="90"/>
      <c r="C426" s="71">
        <v>47000</v>
      </c>
      <c r="D426" s="71"/>
      <c r="E426" s="71"/>
      <c r="F426" s="71">
        <f>C426+D426+E426</f>
        <v>47000</v>
      </c>
      <c r="G426" s="72"/>
      <c r="H426" s="72"/>
      <c r="I426" s="72">
        <f t="shared" si="126"/>
        <v>47000</v>
      </c>
      <c r="J426" s="71"/>
      <c r="K426" s="71"/>
      <c r="L426" s="71">
        <f t="shared" si="127"/>
        <v>47000</v>
      </c>
      <c r="M426" s="71"/>
      <c r="N426" s="71"/>
      <c r="O426" s="71">
        <f t="shared" si="128"/>
        <v>47000</v>
      </c>
      <c r="P426" s="76"/>
      <c r="Q426" s="60">
        <v>47000</v>
      </c>
      <c r="R426" s="60">
        <v>47000</v>
      </c>
      <c r="S426" s="50">
        <f t="shared" si="121"/>
        <v>100</v>
      </c>
    </row>
    <row r="427" spans="1:19" ht="12.75">
      <c r="A427" s="7" t="s">
        <v>95</v>
      </c>
      <c r="B427" s="90"/>
      <c r="C427" s="71"/>
      <c r="D427" s="71">
        <f>2843.97+750</f>
        <v>3593.97</v>
      </c>
      <c r="E427" s="71"/>
      <c r="F427" s="71">
        <f t="shared" si="125"/>
        <v>3593.97</v>
      </c>
      <c r="G427" s="72">
        <f>1000+200</f>
        <v>1200</v>
      </c>
      <c r="H427" s="72"/>
      <c r="I427" s="72">
        <f t="shared" si="126"/>
        <v>4793.969999999999</v>
      </c>
      <c r="J427" s="71"/>
      <c r="K427" s="71"/>
      <c r="L427" s="71">
        <f t="shared" si="127"/>
        <v>4793.969999999999</v>
      </c>
      <c r="M427" s="71">
        <f>-2618.72</f>
        <v>-2618.72</v>
      </c>
      <c r="N427" s="71"/>
      <c r="O427" s="71">
        <f t="shared" si="128"/>
        <v>2175.2499999999995</v>
      </c>
      <c r="P427" s="76"/>
      <c r="Q427" s="60">
        <v>2175.2499999999995</v>
      </c>
      <c r="R427" s="60">
        <v>1421.4</v>
      </c>
      <c r="S427" s="50">
        <f t="shared" si="121"/>
        <v>65.34421330881509</v>
      </c>
    </row>
    <row r="428" spans="1:19" ht="12.75">
      <c r="A428" s="7" t="s">
        <v>80</v>
      </c>
      <c r="B428" s="90"/>
      <c r="C428" s="71"/>
      <c r="D428" s="71">
        <v>200</v>
      </c>
      <c r="E428" s="71"/>
      <c r="F428" s="71">
        <f t="shared" si="125"/>
        <v>200</v>
      </c>
      <c r="G428" s="72">
        <v>750</v>
      </c>
      <c r="H428" s="72"/>
      <c r="I428" s="72">
        <f t="shared" si="126"/>
        <v>950</v>
      </c>
      <c r="J428" s="78">
        <f>200+550+250+855</f>
        <v>1855</v>
      </c>
      <c r="K428" s="71"/>
      <c r="L428" s="71">
        <f t="shared" si="127"/>
        <v>2805</v>
      </c>
      <c r="M428" s="71">
        <f>2050</f>
        <v>2050</v>
      </c>
      <c r="N428" s="71"/>
      <c r="O428" s="71">
        <f t="shared" si="128"/>
        <v>4855</v>
      </c>
      <c r="P428" s="76"/>
      <c r="Q428" s="60">
        <v>4855</v>
      </c>
      <c r="R428" s="60">
        <v>4855</v>
      </c>
      <c r="S428" s="50">
        <f t="shared" si="121"/>
        <v>100</v>
      </c>
    </row>
    <row r="429" spans="1:19" ht="12.75">
      <c r="A429" s="7" t="s">
        <v>318</v>
      </c>
      <c r="B429" s="90"/>
      <c r="C429" s="71"/>
      <c r="D429" s="71"/>
      <c r="E429" s="71"/>
      <c r="F429" s="71">
        <f t="shared" si="125"/>
        <v>0</v>
      </c>
      <c r="G429" s="72">
        <v>700</v>
      </c>
      <c r="H429" s="72"/>
      <c r="I429" s="72">
        <f t="shared" si="126"/>
        <v>700</v>
      </c>
      <c r="J429" s="78"/>
      <c r="K429" s="71"/>
      <c r="L429" s="71">
        <f t="shared" si="127"/>
        <v>700</v>
      </c>
      <c r="M429" s="71"/>
      <c r="N429" s="71"/>
      <c r="O429" s="71">
        <f t="shared" si="128"/>
        <v>700</v>
      </c>
      <c r="P429" s="76"/>
      <c r="Q429" s="60">
        <v>700</v>
      </c>
      <c r="R429" s="60">
        <v>700</v>
      </c>
      <c r="S429" s="50">
        <f t="shared" si="121"/>
        <v>100</v>
      </c>
    </row>
    <row r="430" spans="1:19" ht="12.75">
      <c r="A430" s="7" t="s">
        <v>123</v>
      </c>
      <c r="B430" s="90">
        <v>14004</v>
      </c>
      <c r="C430" s="71"/>
      <c r="D430" s="71"/>
      <c r="E430" s="71"/>
      <c r="F430" s="71">
        <f t="shared" si="125"/>
        <v>0</v>
      </c>
      <c r="G430" s="72">
        <f>5477+188.85</f>
        <v>5665.85</v>
      </c>
      <c r="H430" s="72"/>
      <c r="I430" s="72">
        <f t="shared" si="126"/>
        <v>5665.85</v>
      </c>
      <c r="J430" s="71"/>
      <c r="K430" s="71">
        <v>-150</v>
      </c>
      <c r="L430" s="71">
        <f>I430+J430+K430</f>
        <v>5515.85</v>
      </c>
      <c r="M430" s="71">
        <v>499</v>
      </c>
      <c r="N430" s="71"/>
      <c r="O430" s="71">
        <f t="shared" si="128"/>
        <v>6014.85</v>
      </c>
      <c r="P430" s="76">
        <f>-26.4</f>
        <v>-26.4</v>
      </c>
      <c r="Q430" s="60">
        <v>5988.450000000001</v>
      </c>
      <c r="R430" s="60">
        <v>5986.29</v>
      </c>
      <c r="S430" s="50">
        <f t="shared" si="121"/>
        <v>99.96393056634018</v>
      </c>
    </row>
    <row r="431" spans="1:19" ht="12.75">
      <c r="A431" s="13" t="s">
        <v>68</v>
      </c>
      <c r="B431" s="91"/>
      <c r="C431" s="88">
        <f>SUM(C433:C439)</f>
        <v>5000</v>
      </c>
      <c r="D431" s="88">
        <f>SUM(D433:D439)</f>
        <v>15421.9</v>
      </c>
      <c r="E431" s="88">
        <f>SUM(E433:E439)</f>
        <v>3000</v>
      </c>
      <c r="F431" s="88">
        <f>SUM(F433:F439)</f>
        <v>23421.9</v>
      </c>
      <c r="G431" s="89">
        <f aca="true" t="shared" si="129" ref="G431:R431">SUM(G433:G439)</f>
        <v>10700</v>
      </c>
      <c r="H431" s="89">
        <f t="shared" si="129"/>
        <v>0</v>
      </c>
      <c r="I431" s="89">
        <f t="shared" si="129"/>
        <v>34121.9</v>
      </c>
      <c r="J431" s="88">
        <f t="shared" si="129"/>
        <v>5100</v>
      </c>
      <c r="K431" s="88">
        <f t="shared" si="129"/>
        <v>0</v>
      </c>
      <c r="L431" s="88">
        <f t="shared" si="129"/>
        <v>39221.9</v>
      </c>
      <c r="M431" s="88">
        <f t="shared" si="129"/>
        <v>980.0000000000001</v>
      </c>
      <c r="N431" s="88">
        <f t="shared" si="129"/>
        <v>-220</v>
      </c>
      <c r="O431" s="88">
        <f t="shared" si="129"/>
        <v>39981.9</v>
      </c>
      <c r="P431" s="88">
        <f t="shared" si="129"/>
        <v>0</v>
      </c>
      <c r="Q431" s="88">
        <f t="shared" si="129"/>
        <v>39981.9</v>
      </c>
      <c r="R431" s="89">
        <f t="shared" si="129"/>
        <v>37417.92</v>
      </c>
      <c r="S431" s="150">
        <f t="shared" si="121"/>
        <v>93.5871481845535</v>
      </c>
    </row>
    <row r="432" spans="1:19" ht="12.75">
      <c r="A432" s="9" t="s">
        <v>34</v>
      </c>
      <c r="B432" s="90"/>
      <c r="C432" s="71"/>
      <c r="D432" s="71"/>
      <c r="E432" s="71"/>
      <c r="F432" s="71"/>
      <c r="G432" s="72"/>
      <c r="H432" s="72"/>
      <c r="I432" s="72"/>
      <c r="J432" s="71"/>
      <c r="K432" s="71"/>
      <c r="L432" s="71"/>
      <c r="M432" s="71"/>
      <c r="N432" s="71"/>
      <c r="O432" s="71"/>
      <c r="P432" s="76"/>
      <c r="Q432" s="60"/>
      <c r="R432" s="60"/>
      <c r="S432" s="50"/>
    </row>
    <row r="433" spans="1:19" ht="12.75">
      <c r="A433" s="11" t="s">
        <v>84</v>
      </c>
      <c r="B433" s="90"/>
      <c r="C433" s="71"/>
      <c r="D433" s="71">
        <f>500+1000+1000+600</f>
        <v>3100</v>
      </c>
      <c r="E433" s="71"/>
      <c r="F433" s="71">
        <f aca="true" t="shared" si="130" ref="F433:F439">C433+D433+E433</f>
        <v>3100</v>
      </c>
      <c r="G433" s="72">
        <v>1550</v>
      </c>
      <c r="H433" s="72"/>
      <c r="I433" s="72">
        <f aca="true" t="shared" si="131" ref="I433:I439">F433+G433+H433</f>
        <v>4650</v>
      </c>
      <c r="J433" s="71">
        <f>600</f>
        <v>600</v>
      </c>
      <c r="K433" s="71"/>
      <c r="L433" s="71">
        <f aca="true" t="shared" si="132" ref="L433:L439">I433+J433+K433</f>
        <v>5250</v>
      </c>
      <c r="M433" s="71">
        <f>760.88+1100</f>
        <v>1860.88</v>
      </c>
      <c r="N433" s="71"/>
      <c r="O433" s="71">
        <f aca="true" t="shared" si="133" ref="O433:O439">L433+M433+N433</f>
        <v>7110.88</v>
      </c>
      <c r="P433" s="76"/>
      <c r="Q433" s="60">
        <v>7110.88</v>
      </c>
      <c r="R433" s="60">
        <v>6829.42</v>
      </c>
      <c r="S433" s="50">
        <f t="shared" si="121"/>
        <v>96.04184010980357</v>
      </c>
    </row>
    <row r="434" spans="1:19" ht="12.75">
      <c r="A434" s="11" t="s">
        <v>283</v>
      </c>
      <c r="B434" s="90"/>
      <c r="C434" s="71"/>
      <c r="D434" s="71">
        <v>12021.9</v>
      </c>
      <c r="E434" s="71"/>
      <c r="F434" s="71">
        <f t="shared" si="130"/>
        <v>12021.9</v>
      </c>
      <c r="G434" s="72"/>
      <c r="H434" s="72"/>
      <c r="I434" s="72">
        <f t="shared" si="131"/>
        <v>12021.9</v>
      </c>
      <c r="J434" s="71"/>
      <c r="K434" s="71"/>
      <c r="L434" s="71">
        <f t="shared" si="132"/>
        <v>12021.9</v>
      </c>
      <c r="M434" s="71"/>
      <c r="N434" s="71"/>
      <c r="O434" s="71">
        <f t="shared" si="133"/>
        <v>12021.9</v>
      </c>
      <c r="P434" s="76"/>
      <c r="Q434" s="60">
        <v>12021.9</v>
      </c>
      <c r="R434" s="60">
        <v>12021.91</v>
      </c>
      <c r="S434" s="50">
        <f t="shared" si="121"/>
        <v>100.00008318152705</v>
      </c>
    </row>
    <row r="435" spans="1:19" ht="12.75">
      <c r="A435" s="11" t="s">
        <v>345</v>
      </c>
      <c r="B435" s="90"/>
      <c r="C435" s="71"/>
      <c r="D435" s="71"/>
      <c r="E435" s="71"/>
      <c r="F435" s="71"/>
      <c r="G435" s="72"/>
      <c r="H435" s="72"/>
      <c r="I435" s="72">
        <f t="shared" si="131"/>
        <v>0</v>
      </c>
      <c r="J435" s="71">
        <v>3000</v>
      </c>
      <c r="K435" s="71"/>
      <c r="L435" s="71">
        <f t="shared" si="132"/>
        <v>3000</v>
      </c>
      <c r="M435" s="71"/>
      <c r="N435" s="71"/>
      <c r="O435" s="71">
        <f t="shared" si="133"/>
        <v>3000</v>
      </c>
      <c r="P435" s="76"/>
      <c r="Q435" s="60">
        <v>3000</v>
      </c>
      <c r="R435" s="60">
        <v>3000</v>
      </c>
      <c r="S435" s="50">
        <f t="shared" si="121"/>
        <v>100</v>
      </c>
    </row>
    <row r="436" spans="1:19" ht="12.75" hidden="1">
      <c r="A436" s="7" t="s">
        <v>95</v>
      </c>
      <c r="B436" s="90"/>
      <c r="C436" s="71"/>
      <c r="D436" s="71"/>
      <c r="E436" s="71"/>
      <c r="F436" s="71">
        <f t="shared" si="130"/>
        <v>0</v>
      </c>
      <c r="G436" s="72"/>
      <c r="H436" s="72"/>
      <c r="I436" s="72">
        <f t="shared" si="131"/>
        <v>0</v>
      </c>
      <c r="J436" s="71"/>
      <c r="K436" s="71"/>
      <c r="L436" s="71">
        <f t="shared" si="132"/>
        <v>0</v>
      </c>
      <c r="M436" s="71"/>
      <c r="N436" s="71"/>
      <c r="O436" s="71">
        <f t="shared" si="133"/>
        <v>0</v>
      </c>
      <c r="P436" s="76"/>
      <c r="Q436" s="60">
        <v>0</v>
      </c>
      <c r="R436" s="60"/>
      <c r="S436" s="50" t="e">
        <f t="shared" si="121"/>
        <v>#DIV/0!</v>
      </c>
    </row>
    <row r="437" spans="1:19" ht="12.75">
      <c r="A437" s="7" t="s">
        <v>302</v>
      </c>
      <c r="B437" s="90"/>
      <c r="C437" s="71"/>
      <c r="D437" s="71"/>
      <c r="E437" s="71">
        <v>3000</v>
      </c>
      <c r="F437" s="71">
        <f t="shared" si="130"/>
        <v>3000</v>
      </c>
      <c r="G437" s="72"/>
      <c r="H437" s="72"/>
      <c r="I437" s="72">
        <f t="shared" si="131"/>
        <v>3000</v>
      </c>
      <c r="J437" s="71"/>
      <c r="K437" s="71"/>
      <c r="L437" s="71">
        <f t="shared" si="132"/>
        <v>3000</v>
      </c>
      <c r="M437" s="71"/>
      <c r="N437" s="71"/>
      <c r="O437" s="71">
        <f t="shared" si="133"/>
        <v>3000</v>
      </c>
      <c r="P437" s="76"/>
      <c r="Q437" s="60">
        <v>3000</v>
      </c>
      <c r="R437" s="60">
        <v>3000</v>
      </c>
      <c r="S437" s="50">
        <f t="shared" si="121"/>
        <v>100</v>
      </c>
    </row>
    <row r="438" spans="1:19" ht="12.75">
      <c r="A438" s="11" t="s">
        <v>284</v>
      </c>
      <c r="B438" s="90"/>
      <c r="C438" s="71"/>
      <c r="D438" s="71"/>
      <c r="E438" s="71"/>
      <c r="F438" s="71">
        <f t="shared" si="130"/>
        <v>0</v>
      </c>
      <c r="G438" s="72">
        <v>9000</v>
      </c>
      <c r="H438" s="72"/>
      <c r="I438" s="72">
        <f t="shared" si="131"/>
        <v>9000</v>
      </c>
      <c r="J438" s="71"/>
      <c r="K438" s="71"/>
      <c r="L438" s="71">
        <f t="shared" si="132"/>
        <v>9000</v>
      </c>
      <c r="M438" s="71"/>
      <c r="N438" s="71"/>
      <c r="O438" s="71">
        <f t="shared" si="133"/>
        <v>9000</v>
      </c>
      <c r="P438" s="76"/>
      <c r="Q438" s="60">
        <v>9000</v>
      </c>
      <c r="R438" s="60">
        <v>9000</v>
      </c>
      <c r="S438" s="50">
        <f t="shared" si="121"/>
        <v>100</v>
      </c>
    </row>
    <row r="439" spans="1:19" ht="12.75">
      <c r="A439" s="44" t="s">
        <v>303</v>
      </c>
      <c r="B439" s="94"/>
      <c r="C439" s="95">
        <v>5000</v>
      </c>
      <c r="D439" s="95">
        <v>300</v>
      </c>
      <c r="E439" s="95"/>
      <c r="F439" s="95">
        <f t="shared" si="130"/>
        <v>5300</v>
      </c>
      <c r="G439" s="96">
        <v>150</v>
      </c>
      <c r="H439" s="96"/>
      <c r="I439" s="96">
        <f t="shared" si="131"/>
        <v>5450</v>
      </c>
      <c r="J439" s="95">
        <v>1500</v>
      </c>
      <c r="K439" s="95"/>
      <c r="L439" s="95">
        <f t="shared" si="132"/>
        <v>6950</v>
      </c>
      <c r="M439" s="95">
        <f>-760.88-120</f>
        <v>-880.88</v>
      </c>
      <c r="N439" s="95">
        <v>-220</v>
      </c>
      <c r="O439" s="95">
        <f t="shared" si="133"/>
        <v>5849.12</v>
      </c>
      <c r="P439" s="97"/>
      <c r="Q439" s="53">
        <v>5849.12</v>
      </c>
      <c r="R439" s="53">
        <v>3566.59</v>
      </c>
      <c r="S439" s="52">
        <f t="shared" si="121"/>
        <v>60.976522964138205</v>
      </c>
    </row>
    <row r="440" spans="1:19" ht="12.75">
      <c r="A440" s="4" t="s">
        <v>124</v>
      </c>
      <c r="B440" s="91"/>
      <c r="C440" s="67">
        <f>C441+C444</f>
        <v>2042.3</v>
      </c>
      <c r="D440" s="67">
        <f>D441+D444</f>
        <v>346.06</v>
      </c>
      <c r="E440" s="67">
        <f>E441+E444</f>
        <v>0</v>
      </c>
      <c r="F440" s="67">
        <f>F441+F444</f>
        <v>2388.36</v>
      </c>
      <c r="G440" s="68">
        <f aca="true" t="shared" si="134" ref="G440:P440">G441+G444</f>
        <v>147.7</v>
      </c>
      <c r="H440" s="68">
        <f t="shared" si="134"/>
        <v>0</v>
      </c>
      <c r="I440" s="68">
        <f t="shared" si="134"/>
        <v>2536.06</v>
      </c>
      <c r="J440" s="67">
        <f t="shared" si="134"/>
        <v>0</v>
      </c>
      <c r="K440" s="67">
        <f t="shared" si="134"/>
        <v>0</v>
      </c>
      <c r="L440" s="67">
        <f t="shared" si="134"/>
        <v>2536.06</v>
      </c>
      <c r="M440" s="67">
        <f>M441+M444</f>
        <v>0</v>
      </c>
      <c r="N440" s="67">
        <f>N441+N444</f>
        <v>0</v>
      </c>
      <c r="O440" s="67">
        <f>O441+O444</f>
        <v>2536.06</v>
      </c>
      <c r="P440" s="67">
        <f t="shared" si="134"/>
        <v>0</v>
      </c>
      <c r="Q440" s="67">
        <f>Q441+Q444</f>
        <v>2536.06</v>
      </c>
      <c r="R440" s="68">
        <f>R441+R444</f>
        <v>1288.96</v>
      </c>
      <c r="S440" s="148">
        <f t="shared" si="121"/>
        <v>50.82529593148427</v>
      </c>
    </row>
    <row r="441" spans="1:19" ht="12.75">
      <c r="A441" s="13" t="s">
        <v>63</v>
      </c>
      <c r="B441" s="91"/>
      <c r="C441" s="88">
        <f>SUM(C443:C443)</f>
        <v>2042.3</v>
      </c>
      <c r="D441" s="88">
        <f>SUM(D443:D443)</f>
        <v>346.06</v>
      </c>
      <c r="E441" s="88">
        <f>SUM(E443:E443)</f>
        <v>0</v>
      </c>
      <c r="F441" s="88">
        <f>SUM(F443:F443)</f>
        <v>2388.36</v>
      </c>
      <c r="G441" s="89">
        <f aca="true" t="shared" si="135" ref="G441:P441">SUM(G443:G443)</f>
        <v>147.7</v>
      </c>
      <c r="H441" s="89">
        <f t="shared" si="135"/>
        <v>0</v>
      </c>
      <c r="I441" s="89">
        <f t="shared" si="135"/>
        <v>2536.06</v>
      </c>
      <c r="J441" s="88">
        <f t="shared" si="135"/>
        <v>0</v>
      </c>
      <c r="K441" s="88">
        <f t="shared" si="135"/>
        <v>0</v>
      </c>
      <c r="L441" s="88">
        <f t="shared" si="135"/>
        <v>2536.06</v>
      </c>
      <c r="M441" s="88">
        <f>SUM(M443:M443)</f>
        <v>0</v>
      </c>
      <c r="N441" s="88">
        <f>SUM(N443:N443)</f>
        <v>0</v>
      </c>
      <c r="O441" s="88">
        <f>SUM(O443:O443)</f>
        <v>2536.06</v>
      </c>
      <c r="P441" s="88">
        <f t="shared" si="135"/>
        <v>0</v>
      </c>
      <c r="Q441" s="88">
        <f>SUM(Q443:Q443)</f>
        <v>2536.06</v>
      </c>
      <c r="R441" s="89">
        <f>SUM(R443:R443)</f>
        <v>1288.96</v>
      </c>
      <c r="S441" s="150">
        <f t="shared" si="121"/>
        <v>50.82529593148427</v>
      </c>
    </row>
    <row r="442" spans="1:19" ht="12.75">
      <c r="A442" s="9" t="s">
        <v>34</v>
      </c>
      <c r="B442" s="90"/>
      <c r="C442" s="71"/>
      <c r="D442" s="71"/>
      <c r="E442" s="71"/>
      <c r="F442" s="67"/>
      <c r="G442" s="72"/>
      <c r="H442" s="72"/>
      <c r="I442" s="68"/>
      <c r="J442" s="71"/>
      <c r="K442" s="71"/>
      <c r="L442" s="67"/>
      <c r="M442" s="71"/>
      <c r="N442" s="71"/>
      <c r="O442" s="67"/>
      <c r="P442" s="76"/>
      <c r="Q442" s="60"/>
      <c r="R442" s="60"/>
      <c r="S442" s="50"/>
    </row>
    <row r="443" spans="1:19" ht="12.75">
      <c r="A443" s="10" t="s">
        <v>65</v>
      </c>
      <c r="B443" s="94"/>
      <c r="C443" s="103">
        <v>2042.3</v>
      </c>
      <c r="D443" s="95">
        <v>346.06</v>
      </c>
      <c r="E443" s="95"/>
      <c r="F443" s="95">
        <f>C443+D443+E443</f>
        <v>2388.36</v>
      </c>
      <c r="G443" s="96">
        <v>147.7</v>
      </c>
      <c r="H443" s="96"/>
      <c r="I443" s="96">
        <f>F443+G443+H443</f>
        <v>2536.06</v>
      </c>
      <c r="J443" s="95"/>
      <c r="K443" s="95"/>
      <c r="L443" s="95">
        <f>I443+J443+K443</f>
        <v>2536.06</v>
      </c>
      <c r="M443" s="95"/>
      <c r="N443" s="95"/>
      <c r="O443" s="95">
        <f>L443+M443+N443</f>
        <v>2536.06</v>
      </c>
      <c r="P443" s="97"/>
      <c r="Q443" s="53">
        <v>2536.06</v>
      </c>
      <c r="R443" s="53">
        <v>1288.96</v>
      </c>
      <c r="S443" s="52">
        <f t="shared" si="121"/>
        <v>50.82529593148427</v>
      </c>
    </row>
    <row r="444" spans="1:19" ht="12.75" hidden="1">
      <c r="A444" s="13" t="s">
        <v>68</v>
      </c>
      <c r="B444" s="91"/>
      <c r="C444" s="88">
        <f aca="true" t="shared" si="136" ref="C444:R444">SUM(C446:C446)</f>
        <v>0</v>
      </c>
      <c r="D444" s="88">
        <f t="shared" si="136"/>
        <v>0</v>
      </c>
      <c r="E444" s="88"/>
      <c r="F444" s="88">
        <f t="shared" si="136"/>
        <v>0</v>
      </c>
      <c r="G444" s="89">
        <f t="shared" si="136"/>
        <v>0</v>
      </c>
      <c r="H444" s="89">
        <f t="shared" si="136"/>
        <v>0</v>
      </c>
      <c r="I444" s="89">
        <f t="shared" si="136"/>
        <v>0</v>
      </c>
      <c r="J444" s="88">
        <f t="shared" si="136"/>
        <v>0</v>
      </c>
      <c r="K444" s="88">
        <f t="shared" si="136"/>
        <v>0</v>
      </c>
      <c r="L444" s="88">
        <f t="shared" si="136"/>
        <v>0</v>
      </c>
      <c r="M444" s="88">
        <f t="shared" si="136"/>
        <v>0</v>
      </c>
      <c r="N444" s="88">
        <f t="shared" si="136"/>
        <v>0</v>
      </c>
      <c r="O444" s="88">
        <f t="shared" si="136"/>
        <v>0</v>
      </c>
      <c r="P444" s="88">
        <f t="shared" si="136"/>
        <v>0</v>
      </c>
      <c r="Q444" s="88">
        <f t="shared" si="136"/>
        <v>0</v>
      </c>
      <c r="R444" s="89">
        <f t="shared" si="136"/>
        <v>0</v>
      </c>
      <c r="S444" s="50" t="e">
        <f t="shared" si="121"/>
        <v>#DIV/0!</v>
      </c>
    </row>
    <row r="445" spans="1:19" ht="12.75" hidden="1">
      <c r="A445" s="9" t="s">
        <v>34</v>
      </c>
      <c r="B445" s="90"/>
      <c r="C445" s="71"/>
      <c r="D445" s="71"/>
      <c r="E445" s="71"/>
      <c r="F445" s="71"/>
      <c r="G445" s="72"/>
      <c r="H445" s="72"/>
      <c r="I445" s="72"/>
      <c r="J445" s="71"/>
      <c r="K445" s="71"/>
      <c r="L445" s="71"/>
      <c r="M445" s="71"/>
      <c r="N445" s="71"/>
      <c r="O445" s="71"/>
      <c r="P445" s="76"/>
      <c r="Q445" s="60"/>
      <c r="R445" s="60"/>
      <c r="S445" s="50"/>
    </row>
    <row r="446" spans="1:19" ht="12.75" hidden="1">
      <c r="A446" s="10" t="s">
        <v>69</v>
      </c>
      <c r="B446" s="94"/>
      <c r="C446" s="95"/>
      <c r="D446" s="95"/>
      <c r="E446" s="95"/>
      <c r="F446" s="95">
        <f>C446+D446+E446</f>
        <v>0</v>
      </c>
      <c r="G446" s="96"/>
      <c r="H446" s="96"/>
      <c r="I446" s="96">
        <f>F446+G446+H446</f>
        <v>0</v>
      </c>
      <c r="J446" s="95"/>
      <c r="K446" s="95"/>
      <c r="L446" s="95">
        <f>I446+J446+K446</f>
        <v>0</v>
      </c>
      <c r="M446" s="95"/>
      <c r="N446" s="95"/>
      <c r="O446" s="95">
        <f>L446+M446+N446</f>
        <v>0</v>
      </c>
      <c r="P446" s="97"/>
      <c r="Q446" s="53">
        <v>0</v>
      </c>
      <c r="R446" s="53"/>
      <c r="S446" s="52" t="e">
        <f t="shared" si="121"/>
        <v>#DIV/0!</v>
      </c>
    </row>
    <row r="447" spans="1:19" ht="12.75">
      <c r="A447" s="4" t="s">
        <v>125</v>
      </c>
      <c r="B447" s="91"/>
      <c r="C447" s="67">
        <f aca="true" t="shared" si="137" ref="C447:R447">C448</f>
        <v>84618</v>
      </c>
      <c r="D447" s="67">
        <f t="shared" si="137"/>
        <v>28234.95</v>
      </c>
      <c r="E447" s="67">
        <f t="shared" si="137"/>
        <v>-25000</v>
      </c>
      <c r="F447" s="67">
        <f t="shared" si="137"/>
        <v>87852.95</v>
      </c>
      <c r="G447" s="68">
        <f t="shared" si="137"/>
        <v>0</v>
      </c>
      <c r="H447" s="68">
        <f t="shared" si="137"/>
        <v>300</v>
      </c>
      <c r="I447" s="68">
        <f t="shared" si="137"/>
        <v>88152.95</v>
      </c>
      <c r="J447" s="67">
        <f t="shared" si="137"/>
        <v>-5300</v>
      </c>
      <c r="K447" s="67">
        <f t="shared" si="137"/>
        <v>0</v>
      </c>
      <c r="L447" s="67">
        <f t="shared" si="137"/>
        <v>82852.95</v>
      </c>
      <c r="M447" s="67">
        <f t="shared" si="137"/>
        <v>-393.1</v>
      </c>
      <c r="N447" s="67">
        <f t="shared" si="137"/>
        <v>0</v>
      </c>
      <c r="O447" s="67">
        <f t="shared" si="137"/>
        <v>82459.85</v>
      </c>
      <c r="P447" s="67">
        <f t="shared" si="137"/>
        <v>0</v>
      </c>
      <c r="Q447" s="67">
        <f t="shared" si="137"/>
        <v>82459.85</v>
      </c>
      <c r="R447" s="68">
        <f t="shared" si="137"/>
        <v>32472.13</v>
      </c>
      <c r="S447" s="148">
        <f t="shared" si="121"/>
        <v>39.37932217921813</v>
      </c>
    </row>
    <row r="448" spans="1:19" ht="12.75">
      <c r="A448" s="13" t="s">
        <v>63</v>
      </c>
      <c r="B448" s="91"/>
      <c r="C448" s="88">
        <f>SUM(C450:C453)</f>
        <v>84618</v>
      </c>
      <c r="D448" s="88">
        <f>SUM(D450:D453)</f>
        <v>28234.95</v>
      </c>
      <c r="E448" s="88">
        <f>SUM(E450:E453)</f>
        <v>-25000</v>
      </c>
      <c r="F448" s="88">
        <f>SUM(F450:F453)</f>
        <v>87852.95</v>
      </c>
      <c r="G448" s="89">
        <f aca="true" t="shared" si="138" ref="G448:P448">SUM(G450:G453)</f>
        <v>0</v>
      </c>
      <c r="H448" s="89">
        <f t="shared" si="138"/>
        <v>300</v>
      </c>
      <c r="I448" s="89">
        <f t="shared" si="138"/>
        <v>88152.95</v>
      </c>
      <c r="J448" s="88">
        <f t="shared" si="138"/>
        <v>-5300</v>
      </c>
      <c r="K448" s="88">
        <f t="shared" si="138"/>
        <v>0</v>
      </c>
      <c r="L448" s="88">
        <f t="shared" si="138"/>
        <v>82852.95</v>
      </c>
      <c r="M448" s="88">
        <f>SUM(M450:M453)</f>
        <v>-393.1</v>
      </c>
      <c r="N448" s="88">
        <f>SUM(N450:N453)</f>
        <v>0</v>
      </c>
      <c r="O448" s="88">
        <f>SUM(O450:O453)</f>
        <v>82459.85</v>
      </c>
      <c r="P448" s="88">
        <f t="shared" si="138"/>
        <v>0</v>
      </c>
      <c r="Q448" s="88">
        <f>SUM(Q450:Q453)</f>
        <v>82459.85</v>
      </c>
      <c r="R448" s="89">
        <f>SUM(R450:R453)</f>
        <v>32472.13</v>
      </c>
      <c r="S448" s="150">
        <f t="shared" si="121"/>
        <v>39.37932217921813</v>
      </c>
    </row>
    <row r="449" spans="1:19" ht="12.75">
      <c r="A449" s="9" t="s">
        <v>34</v>
      </c>
      <c r="B449" s="90"/>
      <c r="C449" s="67"/>
      <c r="D449" s="67"/>
      <c r="E449" s="67"/>
      <c r="F449" s="67"/>
      <c r="G449" s="68"/>
      <c r="H449" s="68"/>
      <c r="I449" s="68"/>
      <c r="J449" s="67"/>
      <c r="K449" s="67"/>
      <c r="L449" s="67"/>
      <c r="M449" s="67"/>
      <c r="N449" s="67"/>
      <c r="O449" s="67"/>
      <c r="P449" s="76"/>
      <c r="Q449" s="60"/>
      <c r="R449" s="60"/>
      <c r="S449" s="50"/>
    </row>
    <row r="450" spans="1:19" ht="12.75">
      <c r="A450" s="15" t="s">
        <v>379</v>
      </c>
      <c r="B450" s="90"/>
      <c r="C450" s="71">
        <v>30000</v>
      </c>
      <c r="D450" s="71"/>
      <c r="E450" s="71">
        <v>-25000</v>
      </c>
      <c r="F450" s="71">
        <f>C450+D450+E450</f>
        <v>5000</v>
      </c>
      <c r="G450" s="72"/>
      <c r="H450" s="72">
        <v>300</v>
      </c>
      <c r="I450" s="72">
        <f>F450+G450+H450</f>
        <v>5300</v>
      </c>
      <c r="J450" s="78">
        <v>-5300</v>
      </c>
      <c r="K450" s="71"/>
      <c r="L450" s="71">
        <f>I450+J450+K450</f>
        <v>0</v>
      </c>
      <c r="M450" s="71"/>
      <c r="N450" s="71"/>
      <c r="O450" s="71">
        <f>L450+M450+N450</f>
        <v>0</v>
      </c>
      <c r="P450" s="76"/>
      <c r="Q450" s="60">
        <v>0</v>
      </c>
      <c r="R450" s="60">
        <v>0</v>
      </c>
      <c r="S450" s="133" t="s">
        <v>368</v>
      </c>
    </row>
    <row r="451" spans="1:19" ht="12.75">
      <c r="A451" s="15" t="s">
        <v>126</v>
      </c>
      <c r="B451" s="90"/>
      <c r="C451" s="71"/>
      <c r="D451" s="71">
        <v>24721.7</v>
      </c>
      <c r="E451" s="71"/>
      <c r="F451" s="71">
        <f>C451+D451+E451</f>
        <v>24721.7</v>
      </c>
      <c r="G451" s="72"/>
      <c r="H451" s="72"/>
      <c r="I451" s="72">
        <f>F451+G451+H451</f>
        <v>24721.7</v>
      </c>
      <c r="J451" s="71"/>
      <c r="K451" s="71"/>
      <c r="L451" s="71">
        <f>I451+J451+K451</f>
        <v>24721.7</v>
      </c>
      <c r="M451" s="71"/>
      <c r="N451" s="71"/>
      <c r="O451" s="71">
        <f>L451+M451+N451</f>
        <v>24721.7</v>
      </c>
      <c r="P451" s="76"/>
      <c r="Q451" s="60">
        <v>24721.7</v>
      </c>
      <c r="R451" s="60">
        <v>24721.7</v>
      </c>
      <c r="S451" s="50">
        <f t="shared" si="121"/>
        <v>100</v>
      </c>
    </row>
    <row r="452" spans="1:19" ht="12.75">
      <c r="A452" s="15" t="s">
        <v>127</v>
      </c>
      <c r="B452" s="90"/>
      <c r="C452" s="71"/>
      <c r="D452" s="71">
        <v>3513.25</v>
      </c>
      <c r="E452" s="71"/>
      <c r="F452" s="71">
        <f>C452+D452+E452</f>
        <v>3513.25</v>
      </c>
      <c r="G452" s="72"/>
      <c r="H452" s="72"/>
      <c r="I452" s="72">
        <f>F452+G452+H452</f>
        <v>3513.25</v>
      </c>
      <c r="J452" s="71"/>
      <c r="K452" s="71"/>
      <c r="L452" s="71">
        <f>I452+J452+K452</f>
        <v>3513.25</v>
      </c>
      <c r="M452" s="71"/>
      <c r="N452" s="71"/>
      <c r="O452" s="71">
        <f>L452+M452+N452</f>
        <v>3513.25</v>
      </c>
      <c r="P452" s="76"/>
      <c r="Q452" s="60">
        <v>3513.25</v>
      </c>
      <c r="R452" s="60">
        <v>3513.25</v>
      </c>
      <c r="S452" s="50">
        <f t="shared" si="121"/>
        <v>100</v>
      </c>
    </row>
    <row r="453" spans="1:19" ht="13.5" thickBot="1">
      <c r="A453" s="153" t="s">
        <v>65</v>
      </c>
      <c r="B453" s="156"/>
      <c r="C453" s="101">
        <v>54618</v>
      </c>
      <c r="D453" s="101"/>
      <c r="E453" s="101"/>
      <c r="F453" s="101">
        <f>C453+D453+E453</f>
        <v>54618</v>
      </c>
      <c r="G453" s="102"/>
      <c r="H453" s="102"/>
      <c r="I453" s="102">
        <f>F453+G453+H453</f>
        <v>54618</v>
      </c>
      <c r="J453" s="101"/>
      <c r="K453" s="101"/>
      <c r="L453" s="101">
        <f>I453+J453+K453</f>
        <v>54618</v>
      </c>
      <c r="M453" s="101">
        <f>-393.1</f>
        <v>-393.1</v>
      </c>
      <c r="N453" s="101"/>
      <c r="O453" s="101">
        <f>L453+M453+N453</f>
        <v>54224.9</v>
      </c>
      <c r="P453" s="132"/>
      <c r="Q453" s="154">
        <v>54224.9</v>
      </c>
      <c r="R453" s="154">
        <v>4237.18</v>
      </c>
      <c r="S453" s="157">
        <f t="shared" si="121"/>
        <v>7.814085410945894</v>
      </c>
    </row>
    <row r="454" spans="1:19" ht="12.75">
      <c r="A454" s="4" t="s">
        <v>224</v>
      </c>
      <c r="B454" s="91"/>
      <c r="C454" s="67">
        <f aca="true" t="shared" si="139" ref="C454:R454">C455+C466</f>
        <v>62993.2</v>
      </c>
      <c r="D454" s="67">
        <f t="shared" si="139"/>
        <v>450</v>
      </c>
      <c r="E454" s="67">
        <f t="shared" si="139"/>
        <v>0</v>
      </c>
      <c r="F454" s="67">
        <f t="shared" si="139"/>
        <v>63443.2</v>
      </c>
      <c r="G454" s="68">
        <f t="shared" si="139"/>
        <v>2961.6</v>
      </c>
      <c r="H454" s="68">
        <f t="shared" si="139"/>
        <v>1201.3999999999996</v>
      </c>
      <c r="I454" s="68">
        <f t="shared" si="139"/>
        <v>67606.2</v>
      </c>
      <c r="J454" s="67">
        <f t="shared" si="139"/>
        <v>0</v>
      </c>
      <c r="K454" s="67">
        <f t="shared" si="139"/>
        <v>2</v>
      </c>
      <c r="L454" s="67">
        <f t="shared" si="139"/>
        <v>67608.2</v>
      </c>
      <c r="M454" s="67">
        <f>M455+M466</f>
        <v>-270</v>
      </c>
      <c r="N454" s="67">
        <f>N455+N466</f>
        <v>0</v>
      </c>
      <c r="O454" s="67">
        <f>O455+O466</f>
        <v>67338.2</v>
      </c>
      <c r="P454" s="67">
        <f t="shared" si="139"/>
        <v>0</v>
      </c>
      <c r="Q454" s="67">
        <f>Q455+Q466</f>
        <v>67338.2</v>
      </c>
      <c r="R454" s="68">
        <f t="shared" si="139"/>
        <v>64227.999999999985</v>
      </c>
      <c r="S454" s="148">
        <f t="shared" si="121"/>
        <v>95.38122492136705</v>
      </c>
    </row>
    <row r="455" spans="1:19" ht="12.75">
      <c r="A455" s="13" t="s">
        <v>63</v>
      </c>
      <c r="B455" s="91"/>
      <c r="C455" s="88">
        <f>SUM(C456:C465)</f>
        <v>45993.2</v>
      </c>
      <c r="D455" s="88">
        <f>SUM(D456:D464)</f>
        <v>5162.2</v>
      </c>
      <c r="E455" s="88">
        <f>SUM(E456:E464)</f>
        <v>-600</v>
      </c>
      <c r="F455" s="88">
        <f aca="true" t="shared" si="140" ref="F455:L455">SUM(F456:F465)</f>
        <v>50555.399999999994</v>
      </c>
      <c r="G455" s="89">
        <f t="shared" si="140"/>
        <v>164.10000000000002</v>
      </c>
      <c r="H455" s="89">
        <f t="shared" si="140"/>
        <v>-4707.3</v>
      </c>
      <c r="I455" s="89">
        <f t="shared" si="140"/>
        <v>46012.2</v>
      </c>
      <c r="J455" s="88">
        <f t="shared" si="140"/>
        <v>310</v>
      </c>
      <c r="K455" s="88">
        <f t="shared" si="140"/>
        <v>2</v>
      </c>
      <c r="L455" s="88">
        <f t="shared" si="140"/>
        <v>46324.2</v>
      </c>
      <c r="M455" s="88">
        <f aca="true" t="shared" si="141" ref="M455:R455">SUM(M456:M465)</f>
        <v>427.1299999999999</v>
      </c>
      <c r="N455" s="88">
        <f t="shared" si="141"/>
        <v>-418.6</v>
      </c>
      <c r="O455" s="88">
        <f t="shared" si="141"/>
        <v>46332.729999999996</v>
      </c>
      <c r="P455" s="88">
        <f t="shared" si="141"/>
        <v>8.799999999999997</v>
      </c>
      <c r="Q455" s="88">
        <f t="shared" si="141"/>
        <v>46341.53</v>
      </c>
      <c r="R455" s="88">
        <f t="shared" si="141"/>
        <v>43426.55999999999</v>
      </c>
      <c r="S455" s="150">
        <f t="shared" si="121"/>
        <v>93.7098106169563</v>
      </c>
    </row>
    <row r="456" spans="1:19" ht="12.75">
      <c r="A456" s="7" t="s">
        <v>293</v>
      </c>
      <c r="B456" s="90"/>
      <c r="C456" s="71">
        <v>5248.6</v>
      </c>
      <c r="D456" s="71"/>
      <c r="E456" s="71"/>
      <c r="F456" s="71">
        <f aca="true" t="shared" si="142" ref="F456:F469">C456+D456+E456</f>
        <v>5248.6</v>
      </c>
      <c r="G456" s="72"/>
      <c r="H456" s="72">
        <f>-3243+37.44</f>
        <v>-3205.56</v>
      </c>
      <c r="I456" s="72">
        <f>F456+G456+H456</f>
        <v>2043.0400000000004</v>
      </c>
      <c r="J456" s="71">
        <v>310</v>
      </c>
      <c r="K456" s="71"/>
      <c r="L456" s="71">
        <f>I456+J456+K456</f>
        <v>2353.0400000000004</v>
      </c>
      <c r="M456" s="71">
        <v>130</v>
      </c>
      <c r="N456" s="71"/>
      <c r="O456" s="71">
        <f>L456+M456+N456</f>
        <v>2483.0400000000004</v>
      </c>
      <c r="P456" s="76"/>
      <c r="Q456" s="60">
        <v>2483.0400000000004</v>
      </c>
      <c r="R456" s="60">
        <v>2317</v>
      </c>
      <c r="S456" s="50">
        <f aca="true" t="shared" si="143" ref="S456:S523">R456/Q456*100</f>
        <v>93.31303563373928</v>
      </c>
    </row>
    <row r="457" spans="1:19" ht="12.75">
      <c r="A457" s="7" t="s">
        <v>294</v>
      </c>
      <c r="B457" s="90"/>
      <c r="C457" s="71">
        <v>3000</v>
      </c>
      <c r="D457" s="71"/>
      <c r="E457" s="71"/>
      <c r="F457" s="71">
        <f t="shared" si="142"/>
        <v>3000</v>
      </c>
      <c r="G457" s="72"/>
      <c r="H457" s="72">
        <v>107</v>
      </c>
      <c r="I457" s="72">
        <f aca="true" t="shared" si="144" ref="I457:I470">F457+G457+H457</f>
        <v>3107</v>
      </c>
      <c r="J457" s="71"/>
      <c r="K457" s="71"/>
      <c r="L457" s="71">
        <f aca="true" t="shared" si="145" ref="L457:L470">I457+J457+K457</f>
        <v>3107</v>
      </c>
      <c r="M457" s="71"/>
      <c r="N457" s="71"/>
      <c r="O457" s="71">
        <f aca="true" t="shared" si="146" ref="O457:O470">L457+M457+N457</f>
        <v>3107</v>
      </c>
      <c r="P457" s="76"/>
      <c r="Q457" s="60">
        <v>3107</v>
      </c>
      <c r="R457" s="60">
        <v>3087</v>
      </c>
      <c r="S457" s="50">
        <f t="shared" si="143"/>
        <v>99.35629224332153</v>
      </c>
    </row>
    <row r="458" spans="1:19" ht="12.75">
      <c r="A458" s="7" t="s">
        <v>295</v>
      </c>
      <c r="B458" s="90"/>
      <c r="C458" s="71">
        <v>5520</v>
      </c>
      <c r="D458" s="71"/>
      <c r="E458" s="71"/>
      <c r="F458" s="71">
        <f t="shared" si="142"/>
        <v>5520</v>
      </c>
      <c r="G458" s="72"/>
      <c r="H458" s="72"/>
      <c r="I458" s="72">
        <f t="shared" si="144"/>
        <v>5520</v>
      </c>
      <c r="J458" s="71"/>
      <c r="K458" s="71"/>
      <c r="L458" s="71">
        <f t="shared" si="145"/>
        <v>5520</v>
      </c>
      <c r="M458" s="71"/>
      <c r="N458" s="71"/>
      <c r="O458" s="71">
        <f t="shared" si="146"/>
        <v>5520</v>
      </c>
      <c r="P458" s="76"/>
      <c r="Q458" s="60">
        <v>5520</v>
      </c>
      <c r="R458" s="60">
        <v>5321.92</v>
      </c>
      <c r="S458" s="50">
        <f t="shared" si="143"/>
        <v>96.41159420289856</v>
      </c>
    </row>
    <row r="459" spans="1:19" ht="12.75">
      <c r="A459" s="7" t="s">
        <v>296</v>
      </c>
      <c r="B459" s="90"/>
      <c r="C459" s="71">
        <v>3680</v>
      </c>
      <c r="D459" s="71"/>
      <c r="E459" s="71">
        <v>-600</v>
      </c>
      <c r="F459" s="71">
        <f t="shared" si="142"/>
        <v>3080</v>
      </c>
      <c r="G459" s="72"/>
      <c r="H459" s="72">
        <v>20</v>
      </c>
      <c r="I459" s="72">
        <f t="shared" si="144"/>
        <v>3100</v>
      </c>
      <c r="J459" s="71"/>
      <c r="K459" s="71"/>
      <c r="L459" s="71">
        <f t="shared" si="145"/>
        <v>3100</v>
      </c>
      <c r="M459" s="71"/>
      <c r="N459" s="71"/>
      <c r="O459" s="71">
        <f t="shared" si="146"/>
        <v>3100</v>
      </c>
      <c r="P459" s="76"/>
      <c r="Q459" s="60">
        <v>3100</v>
      </c>
      <c r="R459" s="60">
        <v>3073.92</v>
      </c>
      <c r="S459" s="50">
        <f t="shared" si="143"/>
        <v>99.15870967741935</v>
      </c>
    </row>
    <row r="460" spans="1:19" ht="12.75">
      <c r="A460" s="7" t="s">
        <v>297</v>
      </c>
      <c r="B460" s="90"/>
      <c r="C460" s="71">
        <v>2604</v>
      </c>
      <c r="D460" s="78"/>
      <c r="E460" s="71"/>
      <c r="F460" s="71">
        <f t="shared" si="142"/>
        <v>2604</v>
      </c>
      <c r="G460" s="72">
        <v>-150</v>
      </c>
      <c r="H460" s="72">
        <v>99.2</v>
      </c>
      <c r="I460" s="72">
        <f t="shared" si="144"/>
        <v>2553.2</v>
      </c>
      <c r="J460" s="71"/>
      <c r="K460" s="71"/>
      <c r="L460" s="71">
        <f t="shared" si="145"/>
        <v>2553.2</v>
      </c>
      <c r="M460" s="71"/>
      <c r="N460" s="71"/>
      <c r="O460" s="71">
        <f t="shared" si="146"/>
        <v>2553.2</v>
      </c>
      <c r="P460" s="76"/>
      <c r="Q460" s="60">
        <v>2553.2</v>
      </c>
      <c r="R460" s="60">
        <v>2103.9</v>
      </c>
      <c r="S460" s="50">
        <f t="shared" si="143"/>
        <v>82.40247532508226</v>
      </c>
    </row>
    <row r="461" spans="1:19" ht="12.75">
      <c r="A461" s="7" t="s">
        <v>298</v>
      </c>
      <c r="B461" s="90"/>
      <c r="C461" s="71">
        <v>1395.9</v>
      </c>
      <c r="D461" s="71">
        <v>450</v>
      </c>
      <c r="E461" s="71"/>
      <c r="F461" s="71">
        <f t="shared" si="142"/>
        <v>1845.9</v>
      </c>
      <c r="G461" s="72">
        <v>13.1</v>
      </c>
      <c r="H461" s="72">
        <v>0.39</v>
      </c>
      <c r="I461" s="72">
        <f t="shared" si="144"/>
        <v>1859.39</v>
      </c>
      <c r="J461" s="71"/>
      <c r="K461" s="71">
        <v>2</v>
      </c>
      <c r="L461" s="71">
        <f t="shared" si="145"/>
        <v>1861.39</v>
      </c>
      <c r="M461" s="71"/>
      <c r="N461" s="71"/>
      <c r="O461" s="71">
        <f t="shared" si="146"/>
        <v>1861.39</v>
      </c>
      <c r="P461" s="76"/>
      <c r="Q461" s="60">
        <v>1861.39</v>
      </c>
      <c r="R461" s="60">
        <v>1861</v>
      </c>
      <c r="S461" s="50">
        <f t="shared" si="143"/>
        <v>99.97904791580486</v>
      </c>
    </row>
    <row r="462" spans="1:19" ht="12.75">
      <c r="A462" s="7" t="s">
        <v>299</v>
      </c>
      <c r="B462" s="90"/>
      <c r="C462" s="71">
        <v>9380</v>
      </c>
      <c r="D462" s="71"/>
      <c r="E462" s="71"/>
      <c r="F462" s="71">
        <f t="shared" si="142"/>
        <v>9380</v>
      </c>
      <c r="G462" s="72"/>
      <c r="H462" s="72">
        <v>259.32</v>
      </c>
      <c r="I462" s="72">
        <f t="shared" si="144"/>
        <v>9639.32</v>
      </c>
      <c r="J462" s="71"/>
      <c r="K462" s="71"/>
      <c r="L462" s="71">
        <f t="shared" si="145"/>
        <v>9639.32</v>
      </c>
      <c r="M462" s="71"/>
      <c r="N462" s="71"/>
      <c r="O462" s="71">
        <f t="shared" si="146"/>
        <v>9639.32</v>
      </c>
      <c r="P462" s="76"/>
      <c r="Q462" s="60">
        <v>9639.32</v>
      </c>
      <c r="R462" s="60">
        <v>8878.63</v>
      </c>
      <c r="S462" s="50">
        <f t="shared" si="143"/>
        <v>92.10846823219894</v>
      </c>
    </row>
    <row r="463" spans="1:19" ht="12.75">
      <c r="A463" s="7" t="s">
        <v>300</v>
      </c>
      <c r="B463" s="90"/>
      <c r="C463" s="71">
        <v>7164.7</v>
      </c>
      <c r="D463" s="71"/>
      <c r="E463" s="71"/>
      <c r="F463" s="71">
        <f t="shared" si="142"/>
        <v>7164.7</v>
      </c>
      <c r="G463" s="72">
        <f>-1280+600</f>
        <v>-680</v>
      </c>
      <c r="H463" s="72">
        <f>-2665.7+77.64</f>
        <v>-2588.06</v>
      </c>
      <c r="I463" s="72">
        <f t="shared" si="144"/>
        <v>3896.64</v>
      </c>
      <c r="J463" s="71"/>
      <c r="K463" s="71"/>
      <c r="L463" s="71">
        <f t="shared" si="145"/>
        <v>3896.64</v>
      </c>
      <c r="M463" s="71"/>
      <c r="N463" s="71"/>
      <c r="O463" s="71">
        <f t="shared" si="146"/>
        <v>3896.64</v>
      </c>
      <c r="P463" s="76"/>
      <c r="Q463" s="60">
        <v>3896.64</v>
      </c>
      <c r="R463" s="60">
        <v>3761.78</v>
      </c>
      <c r="S463" s="50">
        <f t="shared" si="143"/>
        <v>96.53906955736224</v>
      </c>
    </row>
    <row r="464" spans="1:19" ht="12.75">
      <c r="A464" s="7" t="s">
        <v>301</v>
      </c>
      <c r="B464" s="90"/>
      <c r="C464" s="78">
        <v>8000</v>
      </c>
      <c r="D464" s="71">
        <v>4712.2</v>
      </c>
      <c r="E464" s="78"/>
      <c r="F464" s="71">
        <f t="shared" si="142"/>
        <v>12712.2</v>
      </c>
      <c r="G464" s="72">
        <f>981</f>
        <v>981</v>
      </c>
      <c r="H464" s="72">
        <v>579.82</v>
      </c>
      <c r="I464" s="72">
        <f t="shared" si="144"/>
        <v>14273.02</v>
      </c>
      <c r="J464" s="71"/>
      <c r="K464" s="71"/>
      <c r="L464" s="71">
        <f t="shared" si="145"/>
        <v>14273.02</v>
      </c>
      <c r="M464" s="71">
        <f>69.5+963.1-600-283.47+148</f>
        <v>297.1299999999999</v>
      </c>
      <c r="N464" s="71">
        <v>-418.6</v>
      </c>
      <c r="O464" s="71">
        <f t="shared" si="146"/>
        <v>14151.55</v>
      </c>
      <c r="P464" s="76">
        <f>33.8-25</f>
        <v>8.799999999999997</v>
      </c>
      <c r="Q464" s="60">
        <v>14160.349999999999</v>
      </c>
      <c r="R464" s="60">
        <v>13010.64</v>
      </c>
      <c r="S464" s="50">
        <f t="shared" si="143"/>
        <v>91.8807797829856</v>
      </c>
    </row>
    <row r="465" spans="1:19" ht="12.75">
      <c r="A465" s="7" t="s">
        <v>65</v>
      </c>
      <c r="B465" s="90"/>
      <c r="C465" s="78"/>
      <c r="D465" s="71"/>
      <c r="E465" s="78"/>
      <c r="F465" s="71">
        <f t="shared" si="142"/>
        <v>0</v>
      </c>
      <c r="G465" s="72"/>
      <c r="H465" s="72">
        <v>20.59</v>
      </c>
      <c r="I465" s="72">
        <f t="shared" si="144"/>
        <v>20.59</v>
      </c>
      <c r="J465" s="71"/>
      <c r="K465" s="71"/>
      <c r="L465" s="71">
        <f t="shared" si="145"/>
        <v>20.59</v>
      </c>
      <c r="M465" s="71"/>
      <c r="N465" s="71"/>
      <c r="O465" s="71">
        <f t="shared" si="146"/>
        <v>20.59</v>
      </c>
      <c r="P465" s="76"/>
      <c r="Q465" s="60">
        <v>20.59</v>
      </c>
      <c r="R465" s="60">
        <v>10.77</v>
      </c>
      <c r="S465" s="50">
        <f t="shared" si="143"/>
        <v>52.3069451189898</v>
      </c>
    </row>
    <row r="466" spans="1:19" ht="12.75">
      <c r="A466" s="13" t="s">
        <v>68</v>
      </c>
      <c r="B466" s="91"/>
      <c r="C466" s="88">
        <f>SUM(C467:C470)</f>
        <v>17000</v>
      </c>
      <c r="D466" s="88">
        <f>SUM(D467:D470)</f>
        <v>-4712.2</v>
      </c>
      <c r="E466" s="88">
        <f>SUM(E467:E470)</f>
        <v>600</v>
      </c>
      <c r="F466" s="88">
        <f>SUM(F467:F470)</f>
        <v>12887.8</v>
      </c>
      <c r="G466" s="89">
        <f aca="true" t="shared" si="147" ref="G466:R466">SUM(G467:G470)</f>
        <v>2797.5</v>
      </c>
      <c r="H466" s="89">
        <f t="shared" si="147"/>
        <v>5908.7</v>
      </c>
      <c r="I466" s="89">
        <f t="shared" si="147"/>
        <v>21594</v>
      </c>
      <c r="J466" s="88">
        <f t="shared" si="147"/>
        <v>-310</v>
      </c>
      <c r="K466" s="88">
        <f t="shared" si="147"/>
        <v>0</v>
      </c>
      <c r="L466" s="88">
        <f t="shared" si="147"/>
        <v>21284</v>
      </c>
      <c r="M466" s="88">
        <f t="shared" si="147"/>
        <v>-697.1299999999999</v>
      </c>
      <c r="N466" s="88">
        <f t="shared" si="147"/>
        <v>418.6</v>
      </c>
      <c r="O466" s="88">
        <f t="shared" si="147"/>
        <v>21005.47</v>
      </c>
      <c r="P466" s="88">
        <f t="shared" si="147"/>
        <v>-8.799999999999997</v>
      </c>
      <c r="Q466" s="88">
        <f t="shared" si="147"/>
        <v>20996.670000000002</v>
      </c>
      <c r="R466" s="89">
        <f t="shared" si="147"/>
        <v>20801.44</v>
      </c>
      <c r="S466" s="50">
        <f t="shared" si="143"/>
        <v>99.07018589138181</v>
      </c>
    </row>
    <row r="467" spans="1:19" ht="12.75">
      <c r="A467" s="11" t="s">
        <v>305</v>
      </c>
      <c r="B467" s="90"/>
      <c r="C467" s="71"/>
      <c r="D467" s="71"/>
      <c r="E467" s="78">
        <v>600</v>
      </c>
      <c r="F467" s="71">
        <f t="shared" si="142"/>
        <v>600</v>
      </c>
      <c r="G467" s="72"/>
      <c r="H467" s="72"/>
      <c r="I467" s="72">
        <f t="shared" si="144"/>
        <v>600</v>
      </c>
      <c r="J467" s="71"/>
      <c r="K467" s="71"/>
      <c r="L467" s="71">
        <f t="shared" si="145"/>
        <v>600</v>
      </c>
      <c r="M467" s="71"/>
      <c r="N467" s="71"/>
      <c r="O467" s="71">
        <f t="shared" si="146"/>
        <v>600</v>
      </c>
      <c r="P467" s="76"/>
      <c r="Q467" s="60">
        <v>600</v>
      </c>
      <c r="R467" s="60">
        <v>555</v>
      </c>
      <c r="S467" s="50">
        <f t="shared" si="143"/>
        <v>92.5</v>
      </c>
    </row>
    <row r="468" spans="1:19" ht="12.75">
      <c r="A468" s="11" t="s">
        <v>300</v>
      </c>
      <c r="B468" s="90"/>
      <c r="C468" s="71"/>
      <c r="D468" s="71"/>
      <c r="E468" s="78"/>
      <c r="F468" s="71">
        <f t="shared" si="142"/>
        <v>0</v>
      </c>
      <c r="G468" s="72">
        <v>1280</v>
      </c>
      <c r="H468" s="72">
        <v>2665.7</v>
      </c>
      <c r="I468" s="72">
        <f t="shared" si="144"/>
        <v>3945.7</v>
      </c>
      <c r="J468" s="71"/>
      <c r="K468" s="71"/>
      <c r="L468" s="71">
        <f t="shared" si="145"/>
        <v>3945.7</v>
      </c>
      <c r="M468" s="71"/>
      <c r="N468" s="71"/>
      <c r="O468" s="71">
        <f t="shared" si="146"/>
        <v>3945.7</v>
      </c>
      <c r="P468" s="76"/>
      <c r="Q468" s="60">
        <v>3945.7</v>
      </c>
      <c r="R468" s="60">
        <v>3945.7</v>
      </c>
      <c r="S468" s="50">
        <f t="shared" si="143"/>
        <v>100</v>
      </c>
    </row>
    <row r="469" spans="1:19" ht="12.75">
      <c r="A469" s="11" t="s">
        <v>331</v>
      </c>
      <c r="B469" s="90"/>
      <c r="C469" s="71"/>
      <c r="D469" s="71"/>
      <c r="E469" s="78"/>
      <c r="F469" s="71">
        <f t="shared" si="142"/>
        <v>0</v>
      </c>
      <c r="G469" s="72"/>
      <c r="H469" s="72">
        <v>3243</v>
      </c>
      <c r="I469" s="72">
        <f t="shared" si="144"/>
        <v>3243</v>
      </c>
      <c r="J469" s="71">
        <v>-310</v>
      </c>
      <c r="K469" s="71"/>
      <c r="L469" s="71">
        <f t="shared" si="145"/>
        <v>2933</v>
      </c>
      <c r="M469" s="71">
        <v>-400</v>
      </c>
      <c r="N469" s="71"/>
      <c r="O469" s="71">
        <f t="shared" si="146"/>
        <v>2533</v>
      </c>
      <c r="P469" s="76"/>
      <c r="Q469" s="60">
        <v>2533</v>
      </c>
      <c r="R469" s="60">
        <v>2533</v>
      </c>
      <c r="S469" s="50">
        <f t="shared" si="143"/>
        <v>100</v>
      </c>
    </row>
    <row r="470" spans="1:19" ht="12.75">
      <c r="A470" s="10" t="s">
        <v>304</v>
      </c>
      <c r="B470" s="94"/>
      <c r="C470" s="104">
        <v>17000</v>
      </c>
      <c r="D470" s="95">
        <v>-4712.2</v>
      </c>
      <c r="E470" s="104"/>
      <c r="F470" s="95">
        <f>C470+D470+E470</f>
        <v>12287.8</v>
      </c>
      <c r="G470" s="96">
        <f>1517.5</f>
        <v>1517.5</v>
      </c>
      <c r="H470" s="96"/>
      <c r="I470" s="96">
        <f t="shared" si="144"/>
        <v>13805.3</v>
      </c>
      <c r="J470" s="95"/>
      <c r="K470" s="95"/>
      <c r="L470" s="95">
        <f t="shared" si="145"/>
        <v>13805.3</v>
      </c>
      <c r="M470" s="95">
        <f>-69.5-963.1+600+283.47-148</f>
        <v>-297.1299999999999</v>
      </c>
      <c r="N470" s="95">
        <v>418.6</v>
      </c>
      <c r="O470" s="95">
        <f t="shared" si="146"/>
        <v>13926.77</v>
      </c>
      <c r="P470" s="97">
        <f>-33.8+25</f>
        <v>-8.799999999999997</v>
      </c>
      <c r="Q470" s="53">
        <v>13917.970000000001</v>
      </c>
      <c r="R470" s="53">
        <v>13767.74</v>
      </c>
      <c r="S470" s="52">
        <f t="shared" si="143"/>
        <v>98.9206040823482</v>
      </c>
    </row>
    <row r="471" spans="1:19" ht="12.75">
      <c r="A471" s="4" t="s">
        <v>176</v>
      </c>
      <c r="B471" s="91"/>
      <c r="C471" s="67">
        <f aca="true" t="shared" si="148" ref="C471:R471">C472</f>
        <v>3000</v>
      </c>
      <c r="D471" s="67">
        <f t="shared" si="148"/>
        <v>5007.82</v>
      </c>
      <c r="E471" s="67">
        <f t="shared" si="148"/>
        <v>0</v>
      </c>
      <c r="F471" s="67">
        <f t="shared" si="148"/>
        <v>8007.82</v>
      </c>
      <c r="G471" s="68">
        <f t="shared" si="148"/>
        <v>-750</v>
      </c>
      <c r="H471" s="68">
        <f t="shared" si="148"/>
        <v>0</v>
      </c>
      <c r="I471" s="68">
        <f t="shared" si="148"/>
        <v>7257.82</v>
      </c>
      <c r="J471" s="67">
        <f t="shared" si="148"/>
        <v>0</v>
      </c>
      <c r="K471" s="67">
        <f t="shared" si="148"/>
        <v>0</v>
      </c>
      <c r="L471" s="67">
        <f t="shared" si="148"/>
        <v>7257.82</v>
      </c>
      <c r="M471" s="67">
        <f t="shared" si="148"/>
        <v>0</v>
      </c>
      <c r="N471" s="67">
        <f t="shared" si="148"/>
        <v>0</v>
      </c>
      <c r="O471" s="67">
        <f t="shared" si="148"/>
        <v>7257.82</v>
      </c>
      <c r="P471" s="67">
        <f t="shared" si="148"/>
        <v>0</v>
      </c>
      <c r="Q471" s="67">
        <f t="shared" si="148"/>
        <v>7257.82</v>
      </c>
      <c r="R471" s="68">
        <f t="shared" si="148"/>
        <v>3.31</v>
      </c>
      <c r="S471" s="148">
        <f t="shared" si="143"/>
        <v>0.04560598085926629</v>
      </c>
    </row>
    <row r="472" spans="1:19" ht="12.75">
      <c r="A472" s="13" t="s">
        <v>63</v>
      </c>
      <c r="B472" s="91"/>
      <c r="C472" s="88">
        <f>C474</f>
        <v>3000</v>
      </c>
      <c r="D472" s="88">
        <f>D474</f>
        <v>5007.82</v>
      </c>
      <c r="E472" s="88">
        <f>E474</f>
        <v>0</v>
      </c>
      <c r="F472" s="88">
        <f>F474</f>
        <v>8007.82</v>
      </c>
      <c r="G472" s="89">
        <f aca="true" t="shared" si="149" ref="G472:P472">G474</f>
        <v>-750</v>
      </c>
      <c r="H472" s="89">
        <f t="shared" si="149"/>
        <v>0</v>
      </c>
      <c r="I472" s="89">
        <f t="shared" si="149"/>
        <v>7257.82</v>
      </c>
      <c r="J472" s="88">
        <f t="shared" si="149"/>
        <v>0</v>
      </c>
      <c r="K472" s="88">
        <f t="shared" si="149"/>
        <v>0</v>
      </c>
      <c r="L472" s="88">
        <f t="shared" si="149"/>
        <v>7257.82</v>
      </c>
      <c r="M472" s="88">
        <f>M474</f>
        <v>0</v>
      </c>
      <c r="N472" s="88">
        <f>N474</f>
        <v>0</v>
      </c>
      <c r="O472" s="88">
        <f>O474</f>
        <v>7257.82</v>
      </c>
      <c r="P472" s="88">
        <f t="shared" si="149"/>
        <v>0</v>
      </c>
      <c r="Q472" s="88">
        <f>Q474</f>
        <v>7257.82</v>
      </c>
      <c r="R472" s="89">
        <f>R474</f>
        <v>3.31</v>
      </c>
      <c r="S472" s="150">
        <f t="shared" si="143"/>
        <v>0.04560598085926629</v>
      </c>
    </row>
    <row r="473" spans="1:19" ht="12.75">
      <c r="A473" s="9" t="s">
        <v>34</v>
      </c>
      <c r="B473" s="90"/>
      <c r="C473" s="71"/>
      <c r="D473" s="71"/>
      <c r="E473" s="71"/>
      <c r="F473" s="71"/>
      <c r="G473" s="72"/>
      <c r="H473" s="72"/>
      <c r="I473" s="72"/>
      <c r="J473" s="71"/>
      <c r="K473" s="71"/>
      <c r="L473" s="71"/>
      <c r="M473" s="71"/>
      <c r="N473" s="71"/>
      <c r="O473" s="71"/>
      <c r="P473" s="76"/>
      <c r="Q473" s="60"/>
      <c r="R473" s="60"/>
      <c r="S473" s="50"/>
    </row>
    <row r="474" spans="1:19" ht="12.75">
      <c r="A474" s="10" t="s">
        <v>65</v>
      </c>
      <c r="B474" s="94"/>
      <c r="C474" s="95">
        <v>3000</v>
      </c>
      <c r="D474" s="95">
        <v>5007.82</v>
      </c>
      <c r="E474" s="95"/>
      <c r="F474" s="95">
        <f>C474+D474+E474</f>
        <v>8007.82</v>
      </c>
      <c r="G474" s="96">
        <v>-750</v>
      </c>
      <c r="H474" s="96"/>
      <c r="I474" s="96">
        <f>F474+G474+H474</f>
        <v>7257.82</v>
      </c>
      <c r="J474" s="95"/>
      <c r="K474" s="95"/>
      <c r="L474" s="95">
        <f>I474+J474+K474</f>
        <v>7257.82</v>
      </c>
      <c r="M474" s="95"/>
      <c r="N474" s="95"/>
      <c r="O474" s="95">
        <f>L474+M474+N474</f>
        <v>7257.82</v>
      </c>
      <c r="P474" s="97"/>
      <c r="Q474" s="53">
        <v>7257.82</v>
      </c>
      <c r="R474" s="60">
        <v>3.31</v>
      </c>
      <c r="S474" s="52">
        <f t="shared" si="143"/>
        <v>0.04560598085926629</v>
      </c>
    </row>
    <row r="475" spans="1:19" ht="12.75">
      <c r="A475" s="4" t="s">
        <v>128</v>
      </c>
      <c r="B475" s="91"/>
      <c r="C475" s="67">
        <f>C477+C478</f>
        <v>108000</v>
      </c>
      <c r="D475" s="110">
        <f>D477+D478</f>
        <v>173916.79999999996</v>
      </c>
      <c r="E475" s="110">
        <f>E477+E478</f>
        <v>25000</v>
      </c>
      <c r="F475" s="110">
        <f>F477+F478</f>
        <v>306916.79999999993</v>
      </c>
      <c r="G475" s="111">
        <f aca="true" t="shared" si="150" ref="G475:P475">G477+G478</f>
        <v>27221.2</v>
      </c>
      <c r="H475" s="111">
        <f t="shared" si="150"/>
        <v>31250.86</v>
      </c>
      <c r="I475" s="111">
        <f t="shared" si="150"/>
        <v>365388.86000000004</v>
      </c>
      <c r="J475" s="110">
        <f t="shared" si="150"/>
        <v>9145</v>
      </c>
      <c r="K475" s="110">
        <f t="shared" si="150"/>
        <v>0</v>
      </c>
      <c r="L475" s="110">
        <f t="shared" si="150"/>
        <v>374533.86000000004</v>
      </c>
      <c r="M475" s="110">
        <f>M477+M478</f>
        <v>-2692.2199999999993</v>
      </c>
      <c r="N475" s="110">
        <f>N477+N478</f>
        <v>16000</v>
      </c>
      <c r="O475" s="110">
        <f>O477+O478</f>
        <v>387841.64</v>
      </c>
      <c r="P475" s="110">
        <f t="shared" si="150"/>
        <v>0</v>
      </c>
      <c r="Q475" s="110">
        <f>Q477+Q478</f>
        <v>387841.64</v>
      </c>
      <c r="R475" s="111">
        <f>R477+R478</f>
        <v>242449.11000000002</v>
      </c>
      <c r="S475" s="148">
        <f t="shared" si="143"/>
        <v>62.51239810145193</v>
      </c>
    </row>
    <row r="476" spans="1:19" ht="12.75">
      <c r="A476" s="6" t="s">
        <v>34</v>
      </c>
      <c r="B476" s="90"/>
      <c r="C476" s="67"/>
      <c r="D476" s="67"/>
      <c r="E476" s="67"/>
      <c r="F476" s="67"/>
      <c r="G476" s="68"/>
      <c r="H476" s="68"/>
      <c r="I476" s="68"/>
      <c r="J476" s="67"/>
      <c r="K476" s="67"/>
      <c r="L476" s="67"/>
      <c r="M476" s="67"/>
      <c r="N476" s="67"/>
      <c r="O476" s="67"/>
      <c r="P476" s="67"/>
      <c r="Q476" s="67"/>
      <c r="R476" s="68"/>
      <c r="S476" s="50"/>
    </row>
    <row r="477" spans="1:19" ht="12.75">
      <c r="A477" s="4" t="s">
        <v>63</v>
      </c>
      <c r="B477" s="91"/>
      <c r="C477" s="79">
        <f>C492+C494+C506+C508+C513+C518+C509+C499+C520+C501+C524</f>
        <v>10795</v>
      </c>
      <c r="D477" s="79">
        <f aca="true" t="shared" si="151" ref="D477:O477">D492+D494+D506+D508+D513+D518+D509+D499+D520+D501+D524</f>
        <v>12838.8</v>
      </c>
      <c r="E477" s="79">
        <f t="shared" si="151"/>
        <v>5119.200000000001</v>
      </c>
      <c r="F477" s="79">
        <f t="shared" si="151"/>
        <v>28753</v>
      </c>
      <c r="G477" s="79">
        <f t="shared" si="151"/>
        <v>9696.2</v>
      </c>
      <c r="H477" s="79">
        <f t="shared" si="151"/>
        <v>2643</v>
      </c>
      <c r="I477" s="79">
        <f t="shared" si="151"/>
        <v>41092.2</v>
      </c>
      <c r="J477" s="79">
        <f t="shared" si="151"/>
        <v>1936.6</v>
      </c>
      <c r="K477" s="79">
        <f t="shared" si="151"/>
        <v>0</v>
      </c>
      <c r="L477" s="79">
        <f t="shared" si="151"/>
        <v>43028.8</v>
      </c>
      <c r="M477" s="79">
        <f t="shared" si="151"/>
        <v>4885.8</v>
      </c>
      <c r="N477" s="79">
        <f t="shared" si="151"/>
        <v>3615</v>
      </c>
      <c r="O477" s="79">
        <f t="shared" si="151"/>
        <v>51529.600000000006</v>
      </c>
      <c r="P477" s="79">
        <f>P492+P494+P506+P508+P513+P518+P509+P499+P520+P501+P524</f>
        <v>-452</v>
      </c>
      <c r="Q477" s="79">
        <f>Q492+Q494+Q506+Q508+Q513+Q518+Q509+Q499+Q520+Q501+Q524</f>
        <v>51077.600000000006</v>
      </c>
      <c r="R477" s="80">
        <f>R492+R494+R506+R508+R513+R518+R509+R499+R520+R501+R524</f>
        <v>35114.26</v>
      </c>
      <c r="S477" s="148">
        <f t="shared" si="143"/>
        <v>68.74688708944821</v>
      </c>
    </row>
    <row r="478" spans="1:19" ht="12.75">
      <c r="A478" s="4" t="s">
        <v>68</v>
      </c>
      <c r="B478" s="91"/>
      <c r="C478" s="79">
        <f>C481+C482+C484+C485+C487+C489+C490+C491+C495+C496+C498+C500+C502+C504+C505+C507+C510+C512+C514+C515+C517+C519+C521+C523</f>
        <v>97205</v>
      </c>
      <c r="D478" s="79">
        <f aca="true" t="shared" si="152" ref="D478:O478">D481+D482+D484+D485+D487+D489+D490+D491+D495+D496+D498+D500+D502+D504+D505+D507+D510+D512+D514+D515+D517+D519+D521+D523</f>
        <v>161077.99999999997</v>
      </c>
      <c r="E478" s="79">
        <f t="shared" si="152"/>
        <v>19880.8</v>
      </c>
      <c r="F478" s="79">
        <f t="shared" si="152"/>
        <v>278163.79999999993</v>
      </c>
      <c r="G478" s="79">
        <f t="shared" si="152"/>
        <v>17525</v>
      </c>
      <c r="H478" s="79">
        <f t="shared" si="152"/>
        <v>28607.86</v>
      </c>
      <c r="I478" s="79">
        <f t="shared" si="152"/>
        <v>324296.66000000003</v>
      </c>
      <c r="J478" s="79">
        <f t="shared" si="152"/>
        <v>7208.4</v>
      </c>
      <c r="K478" s="79">
        <f t="shared" si="152"/>
        <v>0</v>
      </c>
      <c r="L478" s="79">
        <f t="shared" si="152"/>
        <v>331505.06000000006</v>
      </c>
      <c r="M478" s="79">
        <f t="shared" si="152"/>
        <v>-7578.0199999999995</v>
      </c>
      <c r="N478" s="79">
        <f t="shared" si="152"/>
        <v>12385</v>
      </c>
      <c r="O478" s="79">
        <f t="shared" si="152"/>
        <v>336312.04000000004</v>
      </c>
      <c r="P478" s="79">
        <f>P481+P482+P484+P485+P487+P489+P490+P491+P495+P496+P498+P500+P502+P504+P505+P507+P510+P512+P514+P515+P517+P519+P521+P523</f>
        <v>452</v>
      </c>
      <c r="Q478" s="79">
        <f>Q481+Q482+Q484+Q485+Q487+Q489+Q490+Q491+Q495+Q496+Q498+Q500+Q502+Q504+Q505+Q507+Q510+Q512+Q514+Q515+Q517+Q519+Q521+Q523</f>
        <v>336764.04</v>
      </c>
      <c r="R478" s="80">
        <f>R481+R482+R484+R485+R487+R489+R490+R491+R495+R496+R498+R500+R502+R504+R505+R507+R510+R512+R514+R515+R517+R519+R521+R523</f>
        <v>207334.85</v>
      </c>
      <c r="S478" s="150">
        <f t="shared" si="143"/>
        <v>61.5668020849257</v>
      </c>
    </row>
    <row r="479" spans="1:19" ht="12.75">
      <c r="A479" s="5" t="s">
        <v>129</v>
      </c>
      <c r="B479" s="90"/>
      <c r="C479" s="67"/>
      <c r="D479" s="67"/>
      <c r="E479" s="67"/>
      <c r="F479" s="67"/>
      <c r="G479" s="68"/>
      <c r="H479" s="68"/>
      <c r="I479" s="68"/>
      <c r="J479" s="67"/>
      <c r="K479" s="67"/>
      <c r="L479" s="67"/>
      <c r="M479" s="67"/>
      <c r="N479" s="67"/>
      <c r="O479" s="67"/>
      <c r="P479" s="76"/>
      <c r="Q479" s="60"/>
      <c r="R479" s="60"/>
      <c r="S479" s="50"/>
    </row>
    <row r="480" spans="1:19" ht="12.75">
      <c r="A480" s="6" t="s">
        <v>130</v>
      </c>
      <c r="B480" s="90"/>
      <c r="C480" s="71">
        <f>C481+C482</f>
        <v>2000</v>
      </c>
      <c r="D480" s="71">
        <f>D481+D482</f>
        <v>1014.7</v>
      </c>
      <c r="E480" s="71">
        <f>E481+E482</f>
        <v>0</v>
      </c>
      <c r="F480" s="71">
        <f>F481+F482</f>
        <v>3014.7</v>
      </c>
      <c r="G480" s="72">
        <f aca="true" t="shared" si="153" ref="G480:R480">G481+G482</f>
        <v>1495.5</v>
      </c>
      <c r="H480" s="72">
        <f t="shared" si="153"/>
        <v>0</v>
      </c>
      <c r="I480" s="72">
        <f t="shared" si="153"/>
        <v>4510.2</v>
      </c>
      <c r="J480" s="71">
        <f t="shared" si="153"/>
        <v>0</v>
      </c>
      <c r="K480" s="71">
        <f t="shared" si="153"/>
        <v>0</v>
      </c>
      <c r="L480" s="71">
        <f t="shared" si="153"/>
        <v>4510.2</v>
      </c>
      <c r="M480" s="71">
        <f t="shared" si="153"/>
        <v>0</v>
      </c>
      <c r="N480" s="71">
        <f t="shared" si="153"/>
        <v>0</v>
      </c>
      <c r="O480" s="71">
        <f t="shared" si="153"/>
        <v>4510.2</v>
      </c>
      <c r="P480" s="71">
        <f t="shared" si="153"/>
        <v>0</v>
      </c>
      <c r="Q480" s="71">
        <f t="shared" si="153"/>
        <v>4510.2</v>
      </c>
      <c r="R480" s="72">
        <f t="shared" si="153"/>
        <v>4492.97</v>
      </c>
      <c r="S480" s="50">
        <f t="shared" si="143"/>
        <v>99.61797702984347</v>
      </c>
    </row>
    <row r="481" spans="1:19" ht="12.75">
      <c r="A481" s="6" t="s">
        <v>131</v>
      </c>
      <c r="B481" s="90"/>
      <c r="C481" s="71">
        <v>2000</v>
      </c>
      <c r="D481" s="71">
        <v>1014.7</v>
      </c>
      <c r="E481" s="67"/>
      <c r="F481" s="71">
        <f aca="true" t="shared" si="154" ref="F481:F524">C481+D481+E481</f>
        <v>3014.7</v>
      </c>
      <c r="G481" s="72">
        <v>1495.5</v>
      </c>
      <c r="H481" s="68"/>
      <c r="I481" s="72">
        <f>F481+G481+H481</f>
        <v>4510.2</v>
      </c>
      <c r="J481" s="71"/>
      <c r="K481" s="67"/>
      <c r="L481" s="71">
        <f>I481+J481+K481</f>
        <v>4510.2</v>
      </c>
      <c r="M481" s="71"/>
      <c r="N481" s="67"/>
      <c r="O481" s="71">
        <f>L481+M481+N481</f>
        <v>4510.2</v>
      </c>
      <c r="P481" s="76"/>
      <c r="Q481" s="60">
        <v>4510.2</v>
      </c>
      <c r="R481" s="60">
        <v>4492.97</v>
      </c>
      <c r="S481" s="50">
        <f t="shared" si="143"/>
        <v>99.61797702984347</v>
      </c>
    </row>
    <row r="482" spans="1:19" ht="12.75" hidden="1">
      <c r="A482" s="6" t="s">
        <v>132</v>
      </c>
      <c r="B482" s="90"/>
      <c r="C482" s="71">
        <v>0</v>
      </c>
      <c r="D482" s="71"/>
      <c r="E482" s="71"/>
      <c r="F482" s="71">
        <f t="shared" si="154"/>
        <v>0</v>
      </c>
      <c r="G482" s="72"/>
      <c r="H482" s="68"/>
      <c r="I482" s="72">
        <f>F482+G482+H482</f>
        <v>0</v>
      </c>
      <c r="J482" s="71"/>
      <c r="K482" s="67"/>
      <c r="L482" s="71">
        <f>I482+J482+K482</f>
        <v>0</v>
      </c>
      <c r="M482" s="71"/>
      <c r="N482" s="67"/>
      <c r="O482" s="71">
        <f>L482+M482+N482</f>
        <v>0</v>
      </c>
      <c r="P482" s="76"/>
      <c r="Q482" s="60">
        <v>0</v>
      </c>
      <c r="R482" s="60"/>
      <c r="S482" s="50" t="e">
        <f t="shared" si="143"/>
        <v>#DIV/0!</v>
      </c>
    </row>
    <row r="483" spans="1:19" ht="12.75">
      <c r="A483" s="6" t="s">
        <v>133</v>
      </c>
      <c r="B483" s="90"/>
      <c r="C483" s="71">
        <f>C484+C485</f>
        <v>560</v>
      </c>
      <c r="D483" s="71">
        <f>D484+D485</f>
        <v>2414.1</v>
      </c>
      <c r="E483" s="71">
        <f>E484+E485</f>
        <v>0</v>
      </c>
      <c r="F483" s="71">
        <f>F484+F485</f>
        <v>2974.1</v>
      </c>
      <c r="G483" s="72">
        <f aca="true" t="shared" si="155" ref="G483:R483">G484+G485</f>
        <v>-1495.5</v>
      </c>
      <c r="H483" s="72">
        <f t="shared" si="155"/>
        <v>0</v>
      </c>
      <c r="I483" s="72">
        <f t="shared" si="155"/>
        <v>1478.6</v>
      </c>
      <c r="J483" s="71">
        <f t="shared" si="155"/>
        <v>0</v>
      </c>
      <c r="K483" s="71">
        <f t="shared" si="155"/>
        <v>0</v>
      </c>
      <c r="L483" s="71">
        <f t="shared" si="155"/>
        <v>1478.6</v>
      </c>
      <c r="M483" s="71">
        <f t="shared" si="155"/>
        <v>0</v>
      </c>
      <c r="N483" s="71">
        <f t="shared" si="155"/>
        <v>0</v>
      </c>
      <c r="O483" s="71">
        <f t="shared" si="155"/>
        <v>1478.6</v>
      </c>
      <c r="P483" s="71">
        <f t="shared" si="155"/>
        <v>0</v>
      </c>
      <c r="Q483" s="71">
        <f t="shared" si="155"/>
        <v>1478.6</v>
      </c>
      <c r="R483" s="72">
        <f t="shared" si="155"/>
        <v>435.56</v>
      </c>
      <c r="S483" s="50">
        <f t="shared" si="143"/>
        <v>29.45759502231841</v>
      </c>
    </row>
    <row r="484" spans="1:19" ht="12.75">
      <c r="A484" s="6" t="s">
        <v>131</v>
      </c>
      <c r="B484" s="90"/>
      <c r="C484" s="71">
        <v>560</v>
      </c>
      <c r="D484" s="71">
        <f>1595.5+611</f>
        <v>2206.5</v>
      </c>
      <c r="E484" s="71"/>
      <c r="F484" s="71">
        <f t="shared" si="154"/>
        <v>2766.5</v>
      </c>
      <c r="G484" s="72">
        <v>-1495.5</v>
      </c>
      <c r="H484" s="68"/>
      <c r="I484" s="72">
        <f>F484+G484+H484</f>
        <v>1271</v>
      </c>
      <c r="J484" s="71"/>
      <c r="K484" s="67"/>
      <c r="L484" s="71">
        <f>I484+J484+K484</f>
        <v>1271</v>
      </c>
      <c r="M484" s="71"/>
      <c r="N484" s="67"/>
      <c r="O484" s="71">
        <f>L484+M484+N484</f>
        <v>1271</v>
      </c>
      <c r="P484" s="76"/>
      <c r="Q484" s="60">
        <v>1271</v>
      </c>
      <c r="R484" s="60">
        <v>435.56</v>
      </c>
      <c r="S484" s="50">
        <f t="shared" si="143"/>
        <v>34.2690794649882</v>
      </c>
    </row>
    <row r="485" spans="1:19" ht="12.75">
      <c r="A485" s="6" t="s">
        <v>132</v>
      </c>
      <c r="B485" s="90"/>
      <c r="C485" s="71"/>
      <c r="D485" s="71">
        <f>818.6-611</f>
        <v>207.60000000000002</v>
      </c>
      <c r="E485" s="71"/>
      <c r="F485" s="71">
        <f t="shared" si="154"/>
        <v>207.60000000000002</v>
      </c>
      <c r="G485" s="72"/>
      <c r="H485" s="68"/>
      <c r="I485" s="72">
        <f>F485+G485+H485</f>
        <v>207.60000000000002</v>
      </c>
      <c r="J485" s="71"/>
      <c r="K485" s="67"/>
      <c r="L485" s="71">
        <f>I485+J485+K485</f>
        <v>207.60000000000002</v>
      </c>
      <c r="M485" s="71"/>
      <c r="N485" s="67"/>
      <c r="O485" s="71">
        <f>L485+M485+N485</f>
        <v>207.60000000000002</v>
      </c>
      <c r="P485" s="76"/>
      <c r="Q485" s="60">
        <v>207.60000000000002</v>
      </c>
      <c r="R485" s="60">
        <v>0</v>
      </c>
      <c r="S485" s="50">
        <f t="shared" si="143"/>
        <v>0</v>
      </c>
    </row>
    <row r="486" spans="1:19" ht="12.75" hidden="1">
      <c r="A486" s="7" t="s">
        <v>218</v>
      </c>
      <c r="B486" s="90"/>
      <c r="C486" s="71">
        <f>C487</f>
        <v>0</v>
      </c>
      <c r="D486" s="71">
        <f>D487</f>
        <v>0</v>
      </c>
      <c r="E486" s="71">
        <f>E487</f>
        <v>0</v>
      </c>
      <c r="F486" s="71">
        <f>F487</f>
        <v>0</v>
      </c>
      <c r="G486" s="72">
        <f aca="true" t="shared" si="156" ref="G486:R486">G487</f>
        <v>0</v>
      </c>
      <c r="H486" s="72">
        <f t="shared" si="156"/>
        <v>0</v>
      </c>
      <c r="I486" s="72">
        <f t="shared" si="156"/>
        <v>0</v>
      </c>
      <c r="J486" s="71">
        <f t="shared" si="156"/>
        <v>0</v>
      </c>
      <c r="K486" s="71">
        <f t="shared" si="156"/>
        <v>0</v>
      </c>
      <c r="L486" s="71">
        <f t="shared" si="156"/>
        <v>0</v>
      </c>
      <c r="M486" s="71">
        <f t="shared" si="156"/>
        <v>0</v>
      </c>
      <c r="N486" s="71">
        <f t="shared" si="156"/>
        <v>0</v>
      </c>
      <c r="O486" s="71">
        <f t="shared" si="156"/>
        <v>0</v>
      </c>
      <c r="P486" s="71">
        <f t="shared" si="156"/>
        <v>0</v>
      </c>
      <c r="Q486" s="71">
        <f t="shared" si="156"/>
        <v>0</v>
      </c>
      <c r="R486" s="72">
        <f t="shared" si="156"/>
        <v>0</v>
      </c>
      <c r="S486" s="50" t="e">
        <f t="shared" si="143"/>
        <v>#DIV/0!</v>
      </c>
    </row>
    <row r="487" spans="1:19" ht="12.75" hidden="1">
      <c r="A487" s="7" t="s">
        <v>219</v>
      </c>
      <c r="B487" s="90"/>
      <c r="C487" s="71"/>
      <c r="D487" s="71"/>
      <c r="E487" s="71"/>
      <c r="F487" s="71">
        <f t="shared" si="154"/>
        <v>0</v>
      </c>
      <c r="G487" s="72"/>
      <c r="H487" s="68"/>
      <c r="I487" s="72">
        <f>F487+G487+H487</f>
        <v>0</v>
      </c>
      <c r="J487" s="71"/>
      <c r="K487" s="67"/>
      <c r="L487" s="71"/>
      <c r="M487" s="71"/>
      <c r="N487" s="67"/>
      <c r="O487" s="71"/>
      <c r="P487" s="76"/>
      <c r="Q487" s="60"/>
      <c r="R487" s="60"/>
      <c r="S487" s="50" t="e">
        <f t="shared" si="143"/>
        <v>#DIV/0!</v>
      </c>
    </row>
    <row r="488" spans="1:19" ht="12.75">
      <c r="A488" s="6" t="s">
        <v>134</v>
      </c>
      <c r="B488" s="90"/>
      <c r="C488" s="71">
        <f>SUM(C489:C492)</f>
        <v>17000</v>
      </c>
      <c r="D488" s="71">
        <f>SUM(D489:D492)</f>
        <v>62381.200000000004</v>
      </c>
      <c r="E488" s="71">
        <f>SUM(E489:E492)</f>
        <v>0</v>
      </c>
      <c r="F488" s="71">
        <f>SUM(F489:F492)</f>
        <v>79381.2</v>
      </c>
      <c r="G488" s="72">
        <f aca="true" t="shared" si="157" ref="G488:R488">SUM(G489:G492)</f>
        <v>0</v>
      </c>
      <c r="H488" s="72">
        <f t="shared" si="157"/>
        <v>20000</v>
      </c>
      <c r="I488" s="72">
        <f t="shared" si="157"/>
        <v>99381.20000000001</v>
      </c>
      <c r="J488" s="71">
        <f t="shared" si="157"/>
        <v>-855</v>
      </c>
      <c r="K488" s="71">
        <f t="shared" si="157"/>
        <v>0</v>
      </c>
      <c r="L488" s="71">
        <f t="shared" si="157"/>
        <v>98526.20000000001</v>
      </c>
      <c r="M488" s="71">
        <f t="shared" si="157"/>
        <v>-4012.4700000000003</v>
      </c>
      <c r="N488" s="71">
        <f t="shared" si="157"/>
        <v>0</v>
      </c>
      <c r="O488" s="71">
        <f t="shared" si="157"/>
        <v>94513.73000000001</v>
      </c>
      <c r="P488" s="71">
        <f t="shared" si="157"/>
        <v>0</v>
      </c>
      <c r="Q488" s="71">
        <f t="shared" si="157"/>
        <v>94513.73000000001</v>
      </c>
      <c r="R488" s="72">
        <f t="shared" si="157"/>
        <v>61463.77</v>
      </c>
      <c r="S488" s="50">
        <f t="shared" si="143"/>
        <v>65.03157795169018</v>
      </c>
    </row>
    <row r="489" spans="1:19" ht="12.75">
      <c r="A489" s="6" t="s">
        <v>135</v>
      </c>
      <c r="B489" s="90"/>
      <c r="C489" s="71">
        <v>5000</v>
      </c>
      <c r="D489" s="71">
        <v>-5000</v>
      </c>
      <c r="E489" s="71"/>
      <c r="F489" s="71">
        <f t="shared" si="154"/>
        <v>0</v>
      </c>
      <c r="G489" s="72"/>
      <c r="H489" s="72"/>
      <c r="I489" s="72">
        <f>F489+G489+H489</f>
        <v>0</v>
      </c>
      <c r="J489" s="71"/>
      <c r="K489" s="71"/>
      <c r="L489" s="71">
        <f>I489+J489+K489</f>
        <v>0</v>
      </c>
      <c r="M489" s="71"/>
      <c r="N489" s="71"/>
      <c r="O489" s="71">
        <f>L489+M489+N489</f>
        <v>0</v>
      </c>
      <c r="P489" s="76"/>
      <c r="Q489" s="60">
        <v>0</v>
      </c>
      <c r="R489" s="60">
        <v>0</v>
      </c>
      <c r="S489" s="133" t="s">
        <v>368</v>
      </c>
    </row>
    <row r="490" spans="1:19" ht="12.75">
      <c r="A490" s="6" t="s">
        <v>136</v>
      </c>
      <c r="B490" s="90"/>
      <c r="C490" s="71">
        <v>10000</v>
      </c>
      <c r="D490" s="78">
        <f>62175.3-100</f>
        <v>62075.3</v>
      </c>
      <c r="E490" s="71"/>
      <c r="F490" s="71">
        <f t="shared" si="154"/>
        <v>72075.3</v>
      </c>
      <c r="G490" s="72">
        <v>-100</v>
      </c>
      <c r="H490" s="72">
        <f>20000+7205.9</f>
        <v>27205.9</v>
      </c>
      <c r="I490" s="72">
        <f>F490+G490+H490</f>
        <v>99181.20000000001</v>
      </c>
      <c r="J490" s="71">
        <f>-800-855</f>
        <v>-1655</v>
      </c>
      <c r="K490" s="71"/>
      <c r="L490" s="71">
        <f>I490+J490+K490</f>
        <v>97526.20000000001</v>
      </c>
      <c r="M490" s="71">
        <f>-1918.65-2093.82</f>
        <v>-4012.4700000000003</v>
      </c>
      <c r="N490" s="71"/>
      <c r="O490" s="71">
        <f>L490+M490+N490</f>
        <v>93513.73000000001</v>
      </c>
      <c r="P490" s="76"/>
      <c r="Q490" s="60">
        <v>93513.73000000001</v>
      </c>
      <c r="R490" s="60">
        <v>61161.18</v>
      </c>
      <c r="S490" s="50">
        <f t="shared" si="143"/>
        <v>65.40342257762576</v>
      </c>
    </row>
    <row r="491" spans="1:19" ht="12.75">
      <c r="A491" s="6" t="s">
        <v>132</v>
      </c>
      <c r="B491" s="90"/>
      <c r="C491" s="71">
        <v>2000</v>
      </c>
      <c r="D491" s="71">
        <v>5205.9</v>
      </c>
      <c r="E491" s="71"/>
      <c r="F491" s="71">
        <f t="shared" si="154"/>
        <v>7205.9</v>
      </c>
      <c r="G491" s="72"/>
      <c r="H491" s="72">
        <v>-7205.9</v>
      </c>
      <c r="I491" s="72">
        <f>F491+G491+H491</f>
        <v>0</v>
      </c>
      <c r="J491" s="71"/>
      <c r="K491" s="71"/>
      <c r="L491" s="71">
        <f>I491+J491+K491</f>
        <v>0</v>
      </c>
      <c r="M491" s="71"/>
      <c r="N491" s="71"/>
      <c r="O491" s="71">
        <f>L491+M491+N491</f>
        <v>0</v>
      </c>
      <c r="P491" s="76"/>
      <c r="Q491" s="60">
        <v>0</v>
      </c>
      <c r="R491" s="60">
        <v>0</v>
      </c>
      <c r="S491" s="133" t="s">
        <v>368</v>
      </c>
    </row>
    <row r="492" spans="1:19" ht="12.75">
      <c r="A492" s="7" t="s">
        <v>165</v>
      </c>
      <c r="B492" s="90"/>
      <c r="C492" s="71"/>
      <c r="D492" s="71">
        <v>100</v>
      </c>
      <c r="E492" s="71"/>
      <c r="F492" s="71">
        <f t="shared" si="154"/>
        <v>100</v>
      </c>
      <c r="G492" s="72">
        <v>100</v>
      </c>
      <c r="H492" s="72"/>
      <c r="I492" s="72">
        <f>F492+G492+H492</f>
        <v>200</v>
      </c>
      <c r="J492" s="71">
        <v>800</v>
      </c>
      <c r="K492" s="71"/>
      <c r="L492" s="71">
        <f>I492+J492+K492</f>
        <v>1000</v>
      </c>
      <c r="M492" s="71"/>
      <c r="N492" s="71"/>
      <c r="O492" s="71">
        <f>L492+M492+N492</f>
        <v>1000</v>
      </c>
      <c r="P492" s="76"/>
      <c r="Q492" s="60">
        <v>1000</v>
      </c>
      <c r="R492" s="60">
        <v>302.59</v>
      </c>
      <c r="S492" s="50">
        <f t="shared" si="143"/>
        <v>30.258999999999997</v>
      </c>
    </row>
    <row r="493" spans="1:19" ht="12.75">
      <c r="A493" s="6" t="s">
        <v>137</v>
      </c>
      <c r="B493" s="90"/>
      <c r="C493" s="71">
        <f aca="true" t="shared" si="158" ref="C493:R493">C494+C495+C496</f>
        <v>2600.5</v>
      </c>
      <c r="D493" s="71">
        <f t="shared" si="158"/>
        <v>2721.9</v>
      </c>
      <c r="E493" s="71">
        <f t="shared" si="158"/>
        <v>0</v>
      </c>
      <c r="F493" s="71">
        <f t="shared" si="158"/>
        <v>5322.4</v>
      </c>
      <c r="G493" s="72">
        <f t="shared" si="158"/>
        <v>0</v>
      </c>
      <c r="H493" s="72">
        <f t="shared" si="158"/>
        <v>27.06</v>
      </c>
      <c r="I493" s="72">
        <f t="shared" si="158"/>
        <v>5349.46</v>
      </c>
      <c r="J493" s="71">
        <f t="shared" si="158"/>
        <v>0</v>
      </c>
      <c r="K493" s="71">
        <f t="shared" si="158"/>
        <v>0</v>
      </c>
      <c r="L493" s="71">
        <f t="shared" si="158"/>
        <v>5349.46</v>
      </c>
      <c r="M493" s="71">
        <f t="shared" si="158"/>
        <v>0</v>
      </c>
      <c r="N493" s="71">
        <f t="shared" si="158"/>
        <v>0</v>
      </c>
      <c r="O493" s="71">
        <f t="shared" si="158"/>
        <v>5349.46</v>
      </c>
      <c r="P493" s="71">
        <f t="shared" si="158"/>
        <v>0</v>
      </c>
      <c r="Q493" s="71">
        <f t="shared" si="158"/>
        <v>5349.46</v>
      </c>
      <c r="R493" s="72">
        <f t="shared" si="158"/>
        <v>3790.71</v>
      </c>
      <c r="S493" s="50">
        <f t="shared" si="143"/>
        <v>70.86154490359775</v>
      </c>
    </row>
    <row r="494" spans="1:19" ht="12.75">
      <c r="A494" s="6" t="s">
        <v>138</v>
      </c>
      <c r="B494" s="90"/>
      <c r="C494" s="71"/>
      <c r="D494" s="71">
        <v>314</v>
      </c>
      <c r="E494" s="71"/>
      <c r="F494" s="71">
        <f t="shared" si="154"/>
        <v>314</v>
      </c>
      <c r="G494" s="72">
        <v>-70</v>
      </c>
      <c r="H494" s="72"/>
      <c r="I494" s="72">
        <f>F494+G494+H494</f>
        <v>244</v>
      </c>
      <c r="J494" s="71">
        <v>32</v>
      </c>
      <c r="K494" s="71"/>
      <c r="L494" s="71">
        <f>I494+J494+K494</f>
        <v>276</v>
      </c>
      <c r="M494" s="71">
        <v>150</v>
      </c>
      <c r="N494" s="71"/>
      <c r="O494" s="71">
        <f>L494+M494+N494</f>
        <v>426</v>
      </c>
      <c r="P494" s="76"/>
      <c r="Q494" s="60">
        <v>426</v>
      </c>
      <c r="R494" s="60">
        <v>177.02</v>
      </c>
      <c r="S494" s="50">
        <f t="shared" si="143"/>
        <v>41.55399061032864</v>
      </c>
    </row>
    <row r="495" spans="1:19" ht="12.75">
      <c r="A495" s="6" t="s">
        <v>136</v>
      </c>
      <c r="B495" s="90"/>
      <c r="C495" s="71">
        <v>2600.5</v>
      </c>
      <c r="D495" s="71">
        <v>2407.9</v>
      </c>
      <c r="E495" s="71"/>
      <c r="F495" s="71">
        <f t="shared" si="154"/>
        <v>5008.4</v>
      </c>
      <c r="G495" s="72">
        <v>70</v>
      </c>
      <c r="H495" s="72"/>
      <c r="I495" s="72">
        <f>F495+G495+H495</f>
        <v>5078.4</v>
      </c>
      <c r="J495" s="71">
        <v>-32</v>
      </c>
      <c r="K495" s="71"/>
      <c r="L495" s="71">
        <f>I495+J495+K495</f>
        <v>5046.4</v>
      </c>
      <c r="M495" s="71">
        <v>-150</v>
      </c>
      <c r="N495" s="71"/>
      <c r="O495" s="71">
        <f>L495+M495+N495</f>
        <v>4896.4</v>
      </c>
      <c r="P495" s="76"/>
      <c r="Q495" s="60">
        <v>4896.4</v>
      </c>
      <c r="R495" s="60">
        <v>3613.69</v>
      </c>
      <c r="S495" s="50">
        <f t="shared" si="143"/>
        <v>73.80299812106854</v>
      </c>
    </row>
    <row r="496" spans="1:19" ht="12.75" customHeight="1">
      <c r="A496" s="6" t="s">
        <v>132</v>
      </c>
      <c r="B496" s="90"/>
      <c r="C496" s="71"/>
      <c r="D496" s="71"/>
      <c r="E496" s="71"/>
      <c r="F496" s="71">
        <f t="shared" si="154"/>
        <v>0</v>
      </c>
      <c r="G496" s="72"/>
      <c r="H496" s="72">
        <v>27.06</v>
      </c>
      <c r="I496" s="72">
        <f>F496+G496+H496</f>
        <v>27.06</v>
      </c>
      <c r="J496" s="71"/>
      <c r="K496" s="71"/>
      <c r="L496" s="71">
        <f>I496+J496+K496</f>
        <v>27.06</v>
      </c>
      <c r="M496" s="71"/>
      <c r="N496" s="71"/>
      <c r="O496" s="71">
        <f>L496+M496+N496</f>
        <v>27.06</v>
      </c>
      <c r="P496" s="76"/>
      <c r="Q496" s="60">
        <v>27.06</v>
      </c>
      <c r="R496" s="60">
        <v>0</v>
      </c>
      <c r="S496" s="50">
        <f t="shared" si="143"/>
        <v>0</v>
      </c>
    </row>
    <row r="497" spans="1:19" ht="12.75">
      <c r="A497" s="6" t="s">
        <v>139</v>
      </c>
      <c r="B497" s="90"/>
      <c r="C497" s="71">
        <f>SUM(C498:C502)</f>
        <v>25800</v>
      </c>
      <c r="D497" s="71">
        <f>SUM(D498:D502)</f>
        <v>25831.5</v>
      </c>
      <c r="E497" s="71">
        <f>SUM(E498:E502)</f>
        <v>0</v>
      </c>
      <c r="F497" s="71">
        <f>SUM(F498:F502)</f>
        <v>51631.5</v>
      </c>
      <c r="G497" s="72">
        <f aca="true" t="shared" si="159" ref="G497:R497">SUM(G498:G502)</f>
        <v>15311.2</v>
      </c>
      <c r="H497" s="72">
        <f t="shared" si="159"/>
        <v>0</v>
      </c>
      <c r="I497" s="98">
        <f t="shared" si="159"/>
        <v>66942.7</v>
      </c>
      <c r="J497" s="71">
        <f t="shared" si="159"/>
        <v>0</v>
      </c>
      <c r="K497" s="71">
        <f t="shared" si="159"/>
        <v>0</v>
      </c>
      <c r="L497" s="71">
        <f t="shared" si="159"/>
        <v>66942.7</v>
      </c>
      <c r="M497" s="71">
        <f t="shared" si="159"/>
        <v>2300</v>
      </c>
      <c r="N497" s="71">
        <f t="shared" si="159"/>
        <v>0</v>
      </c>
      <c r="O497" s="71">
        <f t="shared" si="159"/>
        <v>69242.7</v>
      </c>
      <c r="P497" s="71">
        <f t="shared" si="159"/>
        <v>0</v>
      </c>
      <c r="Q497" s="71">
        <f t="shared" si="159"/>
        <v>69242.7</v>
      </c>
      <c r="R497" s="72">
        <f t="shared" si="159"/>
        <v>58970.97</v>
      </c>
      <c r="S497" s="50">
        <f t="shared" si="143"/>
        <v>85.16561312600463</v>
      </c>
    </row>
    <row r="498" spans="1:19" ht="12.75">
      <c r="A498" s="6" t="s">
        <v>140</v>
      </c>
      <c r="B498" s="90"/>
      <c r="C498" s="71">
        <v>17200</v>
      </c>
      <c r="D498" s="78">
        <f>3390.5-880+128+12900</f>
        <v>15538.5</v>
      </c>
      <c r="E498" s="71"/>
      <c r="F498" s="71">
        <f t="shared" si="154"/>
        <v>32738.5</v>
      </c>
      <c r="G498" s="72">
        <f>-2900+1090+7510</f>
        <v>5700</v>
      </c>
      <c r="H498" s="72"/>
      <c r="I498" s="72">
        <f>F498+G498+H498</f>
        <v>38438.5</v>
      </c>
      <c r="J498" s="71">
        <f>427-424</f>
        <v>3</v>
      </c>
      <c r="K498" s="71"/>
      <c r="L498" s="71">
        <f>I498+J498+K498</f>
        <v>38441.5</v>
      </c>
      <c r="M498" s="71">
        <f>-100+600+57</f>
        <v>557</v>
      </c>
      <c r="N498" s="71">
        <v>535</v>
      </c>
      <c r="O498" s="71">
        <f>L498+M498+N498</f>
        <v>39533.5</v>
      </c>
      <c r="P498" s="76"/>
      <c r="Q498" s="60">
        <v>39533.5</v>
      </c>
      <c r="R498" s="60">
        <v>33472.79</v>
      </c>
      <c r="S498" s="50">
        <f t="shared" si="143"/>
        <v>84.6694322536583</v>
      </c>
    </row>
    <row r="499" spans="1:19" ht="12.75">
      <c r="A499" s="6" t="s">
        <v>141</v>
      </c>
      <c r="B499" s="90"/>
      <c r="C499" s="71">
        <v>8600</v>
      </c>
      <c r="D499" s="71">
        <f>1763+880+450+5100</f>
        <v>8193</v>
      </c>
      <c r="E499" s="71"/>
      <c r="F499" s="71">
        <f t="shared" si="154"/>
        <v>16793</v>
      </c>
      <c r="G499" s="72">
        <f>2900+1261.2+5450</f>
        <v>9611.2</v>
      </c>
      <c r="H499" s="72"/>
      <c r="I499" s="72">
        <f>F499+G499+H499</f>
        <v>26404.2</v>
      </c>
      <c r="J499" s="71">
        <f>-227+424</f>
        <v>197</v>
      </c>
      <c r="K499" s="71"/>
      <c r="L499" s="71">
        <f>I499+J499+K499</f>
        <v>26601.2</v>
      </c>
      <c r="M499" s="71">
        <f>100+400+150-57</f>
        <v>593</v>
      </c>
      <c r="N499" s="71">
        <v>615</v>
      </c>
      <c r="O499" s="71">
        <f>L499+M499+N499</f>
        <v>27809.2</v>
      </c>
      <c r="P499" s="76"/>
      <c r="Q499" s="60">
        <v>27809.2</v>
      </c>
      <c r="R499" s="60">
        <v>25400.18</v>
      </c>
      <c r="S499" s="50">
        <f t="shared" si="143"/>
        <v>91.33732721545388</v>
      </c>
    </row>
    <row r="500" spans="1:19" ht="13.5" customHeight="1" hidden="1">
      <c r="A500" s="6" t="s">
        <v>142</v>
      </c>
      <c r="B500" s="90"/>
      <c r="C500" s="71"/>
      <c r="D500" s="71"/>
      <c r="E500" s="71"/>
      <c r="F500" s="71">
        <f t="shared" si="154"/>
        <v>0</v>
      </c>
      <c r="G500" s="72"/>
      <c r="H500" s="72"/>
      <c r="I500" s="72">
        <f>F500+G500+H500</f>
        <v>0</v>
      </c>
      <c r="J500" s="71"/>
      <c r="K500" s="71"/>
      <c r="L500" s="71">
        <f>I500+J500+K500</f>
        <v>0</v>
      </c>
      <c r="M500" s="71"/>
      <c r="N500" s="71"/>
      <c r="O500" s="71">
        <f>L500+M500+N500</f>
        <v>0</v>
      </c>
      <c r="P500" s="76"/>
      <c r="Q500" s="60">
        <v>0</v>
      </c>
      <c r="R500" s="60"/>
      <c r="S500" s="50" t="e">
        <f t="shared" si="143"/>
        <v>#DIV/0!</v>
      </c>
    </row>
    <row r="501" spans="1:19" ht="13.5" customHeight="1">
      <c r="A501" s="7" t="s">
        <v>165</v>
      </c>
      <c r="B501" s="90"/>
      <c r="C501" s="71"/>
      <c r="D501" s="71">
        <f>100+2000</f>
        <v>2100</v>
      </c>
      <c r="E501" s="71"/>
      <c r="F501" s="71">
        <f t="shared" si="154"/>
        <v>2100</v>
      </c>
      <c r="G501" s="72"/>
      <c r="H501" s="72"/>
      <c r="I501" s="72">
        <f>F501+G501+H501</f>
        <v>2100</v>
      </c>
      <c r="J501" s="71">
        <v>-200</v>
      </c>
      <c r="K501" s="71"/>
      <c r="L501" s="71">
        <f>I501+J501+K501</f>
        <v>1900</v>
      </c>
      <c r="M501" s="71"/>
      <c r="N501" s="71"/>
      <c r="O501" s="71">
        <f>L501+M501+N501</f>
        <v>1900</v>
      </c>
      <c r="P501" s="76"/>
      <c r="Q501" s="60">
        <v>1900</v>
      </c>
      <c r="R501" s="60">
        <v>98</v>
      </c>
      <c r="S501" s="50">
        <f t="shared" si="143"/>
        <v>5.157894736842105</v>
      </c>
    </row>
    <row r="502" spans="1:19" ht="12.75" hidden="1">
      <c r="A502" s="6" t="s">
        <v>143</v>
      </c>
      <c r="B502" s="90"/>
      <c r="C502" s="71"/>
      <c r="D502" s="71"/>
      <c r="E502" s="71"/>
      <c r="F502" s="71">
        <f t="shared" si="154"/>
        <v>0</v>
      </c>
      <c r="G502" s="72"/>
      <c r="H502" s="72"/>
      <c r="I502" s="72">
        <f>F502+G502+H502</f>
        <v>0</v>
      </c>
      <c r="J502" s="71"/>
      <c r="K502" s="71"/>
      <c r="L502" s="71">
        <f>I502+J502+K502</f>
        <v>0</v>
      </c>
      <c r="M502" s="71">
        <f>1150</f>
        <v>1150</v>
      </c>
      <c r="N502" s="71">
        <v>-1150</v>
      </c>
      <c r="O502" s="71">
        <f>L502+M502+N502</f>
        <v>0</v>
      </c>
      <c r="P502" s="76"/>
      <c r="Q502" s="60">
        <v>0</v>
      </c>
      <c r="R502" s="60"/>
      <c r="S502" s="50" t="e">
        <f t="shared" si="143"/>
        <v>#DIV/0!</v>
      </c>
    </row>
    <row r="503" spans="1:19" ht="12.75">
      <c r="A503" s="6" t="s">
        <v>144</v>
      </c>
      <c r="B503" s="90"/>
      <c r="C503" s="71">
        <f>SUM(C504:C510)</f>
        <v>40539.5</v>
      </c>
      <c r="D503" s="71">
        <f>SUM(D504:D510)</f>
        <v>42847.09999999999</v>
      </c>
      <c r="E503" s="71">
        <f>SUM(E504:E510)</f>
        <v>25000.000000000004</v>
      </c>
      <c r="F503" s="71">
        <f>SUM(F504:F510)</f>
        <v>108386.59999999999</v>
      </c>
      <c r="G503" s="72">
        <f aca="true" t="shared" si="160" ref="G503:R503">SUM(G504:G510)</f>
        <v>10000</v>
      </c>
      <c r="H503" s="72">
        <f t="shared" si="160"/>
        <v>8062.579999999999</v>
      </c>
      <c r="I503" s="72">
        <f t="shared" si="160"/>
        <v>126449.18</v>
      </c>
      <c r="J503" s="71">
        <f t="shared" si="160"/>
        <v>10000</v>
      </c>
      <c r="K503" s="71">
        <f t="shared" si="160"/>
        <v>0</v>
      </c>
      <c r="L503" s="71">
        <f t="shared" si="160"/>
        <v>136449.18</v>
      </c>
      <c r="M503" s="71">
        <f t="shared" si="160"/>
        <v>1175.4499999999998</v>
      </c>
      <c r="N503" s="71">
        <f t="shared" si="160"/>
        <v>16000</v>
      </c>
      <c r="O503" s="71">
        <f t="shared" si="160"/>
        <v>153624.62999999998</v>
      </c>
      <c r="P503" s="71">
        <f t="shared" si="160"/>
        <v>0</v>
      </c>
      <c r="Q503" s="71">
        <f t="shared" si="160"/>
        <v>153624.63</v>
      </c>
      <c r="R503" s="72">
        <f t="shared" si="160"/>
        <v>71367.07999999999</v>
      </c>
      <c r="S503" s="50">
        <f t="shared" si="143"/>
        <v>46.455493497364316</v>
      </c>
    </row>
    <row r="504" spans="1:19" ht="12.75">
      <c r="A504" s="6" t="s">
        <v>145</v>
      </c>
      <c r="B504" s="90"/>
      <c r="C504" s="71">
        <v>16260</v>
      </c>
      <c r="D504" s="71">
        <f>14662.2</f>
        <v>14662.2</v>
      </c>
      <c r="E504" s="71">
        <v>15755</v>
      </c>
      <c r="F504" s="71">
        <f t="shared" si="154"/>
        <v>46677.2</v>
      </c>
      <c r="G504" s="72"/>
      <c r="H504" s="72">
        <f>-225.9</f>
        <v>-225.9</v>
      </c>
      <c r="I504" s="72">
        <f aca="true" t="shared" si="161" ref="I504:I510">F504+G504+H504</f>
        <v>46451.299999999996</v>
      </c>
      <c r="J504" s="71">
        <f>-101.9-107.6</f>
        <v>-209.5</v>
      </c>
      <c r="K504" s="71"/>
      <c r="L504" s="71">
        <f aca="true" t="shared" si="162" ref="L504:L510">I504+J504+K504</f>
        <v>46241.799999999996</v>
      </c>
      <c r="M504" s="71">
        <f>550</f>
        <v>550</v>
      </c>
      <c r="N504" s="71"/>
      <c r="O504" s="71">
        <f aca="true" t="shared" si="163" ref="O504:O510">L504+M504+N504</f>
        <v>46791.799999999996</v>
      </c>
      <c r="P504" s="76">
        <f>-107+590.48</f>
        <v>483.48</v>
      </c>
      <c r="Q504" s="60">
        <v>47275.28</v>
      </c>
      <c r="R504" s="60">
        <v>18715.85</v>
      </c>
      <c r="S504" s="50">
        <f t="shared" si="143"/>
        <v>39.58908334334561</v>
      </c>
    </row>
    <row r="505" spans="1:19" ht="12.75">
      <c r="A505" s="6" t="s">
        <v>146</v>
      </c>
      <c r="B505" s="90"/>
      <c r="C505" s="71">
        <v>300</v>
      </c>
      <c r="D505" s="71">
        <f>11699.5</f>
        <v>11699.5</v>
      </c>
      <c r="E505" s="71">
        <v>7380</v>
      </c>
      <c r="F505" s="71">
        <f t="shared" si="154"/>
        <v>19379.5</v>
      </c>
      <c r="G505" s="72">
        <v>5000</v>
      </c>
      <c r="H505" s="72">
        <f>4200.7-5000+8000</f>
        <v>7200.7</v>
      </c>
      <c r="I505" s="72">
        <f t="shared" si="161"/>
        <v>31580.2</v>
      </c>
      <c r="J505" s="71">
        <v>10000</v>
      </c>
      <c r="K505" s="71"/>
      <c r="L505" s="71">
        <f t="shared" si="162"/>
        <v>41580.2</v>
      </c>
      <c r="M505" s="71">
        <f>-417.35</f>
        <v>-417.35</v>
      </c>
      <c r="N505" s="71"/>
      <c r="O505" s="71">
        <f t="shared" si="163"/>
        <v>41162.85</v>
      </c>
      <c r="P505" s="76"/>
      <c r="Q505" s="60">
        <v>41162.85</v>
      </c>
      <c r="R505" s="60">
        <v>15426.17</v>
      </c>
      <c r="S505" s="50">
        <f t="shared" si="143"/>
        <v>37.47595222391064</v>
      </c>
    </row>
    <row r="506" spans="1:19" ht="12.75" hidden="1">
      <c r="A506" s="6" t="s">
        <v>147</v>
      </c>
      <c r="B506" s="90"/>
      <c r="C506" s="71"/>
      <c r="D506" s="78"/>
      <c r="E506" s="71"/>
      <c r="F506" s="71">
        <f t="shared" si="154"/>
        <v>0</v>
      </c>
      <c r="G506" s="72"/>
      <c r="H506" s="72"/>
      <c r="I506" s="72">
        <f t="shared" si="161"/>
        <v>0</v>
      </c>
      <c r="J506" s="71"/>
      <c r="K506" s="71"/>
      <c r="L506" s="71">
        <f t="shared" si="162"/>
        <v>0</v>
      </c>
      <c r="M506" s="71"/>
      <c r="N506" s="71"/>
      <c r="O506" s="71">
        <f t="shared" si="163"/>
        <v>0</v>
      </c>
      <c r="P506" s="76"/>
      <c r="Q506" s="60">
        <v>0</v>
      </c>
      <c r="R506" s="60"/>
      <c r="S506" s="50" t="e">
        <f t="shared" si="143"/>
        <v>#DIV/0!</v>
      </c>
    </row>
    <row r="507" spans="1:19" ht="12.75">
      <c r="A507" s="6" t="s">
        <v>148</v>
      </c>
      <c r="B507" s="90"/>
      <c r="C507" s="71">
        <v>20210</v>
      </c>
      <c r="D507" s="71">
        <f>12000</f>
        <v>12000</v>
      </c>
      <c r="E507" s="71">
        <v>1423</v>
      </c>
      <c r="F507" s="71">
        <f t="shared" si="154"/>
        <v>33633</v>
      </c>
      <c r="G507" s="72"/>
      <c r="H507" s="72">
        <v>1000</v>
      </c>
      <c r="I507" s="72">
        <f t="shared" si="161"/>
        <v>34633</v>
      </c>
      <c r="J507" s="71"/>
      <c r="K507" s="71"/>
      <c r="L507" s="71">
        <f t="shared" si="162"/>
        <v>34633</v>
      </c>
      <c r="M507" s="71">
        <f>100-1000</f>
        <v>-900</v>
      </c>
      <c r="N507" s="71">
        <v>11500</v>
      </c>
      <c r="O507" s="71">
        <f t="shared" si="163"/>
        <v>45233</v>
      </c>
      <c r="P507" s="76"/>
      <c r="Q507" s="60">
        <v>45233</v>
      </c>
      <c r="R507" s="60">
        <v>31833.03</v>
      </c>
      <c r="S507" s="50">
        <f t="shared" si="143"/>
        <v>70.37567704994142</v>
      </c>
    </row>
    <row r="508" spans="1:19" ht="12.75">
      <c r="A508" s="6" t="s">
        <v>149</v>
      </c>
      <c r="B508" s="90"/>
      <c r="C508" s="71"/>
      <c r="D508" s="71"/>
      <c r="E508" s="71">
        <v>1545.4</v>
      </c>
      <c r="F508" s="71">
        <f t="shared" si="154"/>
        <v>1545.4</v>
      </c>
      <c r="G508" s="72"/>
      <c r="H508" s="72"/>
      <c r="I508" s="72">
        <f t="shared" si="161"/>
        <v>1545.4</v>
      </c>
      <c r="J508" s="78"/>
      <c r="K508" s="71"/>
      <c r="L508" s="71">
        <f t="shared" si="162"/>
        <v>1545.4</v>
      </c>
      <c r="M508" s="71">
        <f>1000</f>
        <v>1000</v>
      </c>
      <c r="N508" s="71">
        <v>3000</v>
      </c>
      <c r="O508" s="71">
        <f t="shared" si="163"/>
        <v>5545.4</v>
      </c>
      <c r="P508" s="76"/>
      <c r="Q508" s="60">
        <v>5545.4</v>
      </c>
      <c r="R508" s="60">
        <v>0</v>
      </c>
      <c r="S508" s="50">
        <f t="shared" si="143"/>
        <v>0</v>
      </c>
    </row>
    <row r="509" spans="1:19" ht="12.75">
      <c r="A509" s="6" t="s">
        <v>150</v>
      </c>
      <c r="B509" s="90"/>
      <c r="C509" s="71">
        <v>1930</v>
      </c>
      <c r="D509" s="71">
        <f>1479.7</f>
        <v>1479.7</v>
      </c>
      <c r="E509" s="71">
        <v>3625.9</v>
      </c>
      <c r="F509" s="71">
        <f t="shared" si="154"/>
        <v>7035.6</v>
      </c>
      <c r="G509" s="72"/>
      <c r="H509" s="72">
        <v>2643</v>
      </c>
      <c r="I509" s="72">
        <f t="shared" si="161"/>
        <v>9678.6</v>
      </c>
      <c r="J509" s="71">
        <v>107.6</v>
      </c>
      <c r="K509" s="71"/>
      <c r="L509" s="71">
        <f t="shared" si="162"/>
        <v>9786.2</v>
      </c>
      <c r="M509" s="71">
        <f>942.8</f>
        <v>942.8</v>
      </c>
      <c r="N509" s="71"/>
      <c r="O509" s="71">
        <f t="shared" si="163"/>
        <v>10729</v>
      </c>
      <c r="P509" s="76">
        <f>-452</f>
        <v>-452</v>
      </c>
      <c r="Q509" s="60">
        <v>10277</v>
      </c>
      <c r="R509" s="60">
        <v>5392.03</v>
      </c>
      <c r="S509" s="50">
        <f t="shared" si="143"/>
        <v>52.46696506762674</v>
      </c>
    </row>
    <row r="510" spans="1:19" ht="12.75">
      <c r="A510" s="6" t="s">
        <v>143</v>
      </c>
      <c r="B510" s="90"/>
      <c r="C510" s="71">
        <v>1839.5</v>
      </c>
      <c r="D510" s="71">
        <f>3005.7</f>
        <v>3005.7</v>
      </c>
      <c r="E510" s="71">
        <v>-4729.3</v>
      </c>
      <c r="F510" s="71">
        <f t="shared" si="154"/>
        <v>115.89999999999964</v>
      </c>
      <c r="G510" s="72">
        <v>5000</v>
      </c>
      <c r="H510" s="72">
        <f>2382.2-5000+62.58</f>
        <v>-2555.2200000000003</v>
      </c>
      <c r="I510" s="72">
        <f t="shared" si="161"/>
        <v>2560.6799999999994</v>
      </c>
      <c r="J510" s="71">
        <v>101.9</v>
      </c>
      <c r="K510" s="71"/>
      <c r="L510" s="71">
        <f t="shared" si="162"/>
        <v>2662.5799999999995</v>
      </c>
      <c r="M510" s="71"/>
      <c r="N510" s="71">
        <v>1500</v>
      </c>
      <c r="O510" s="71">
        <f t="shared" si="163"/>
        <v>4162.58</v>
      </c>
      <c r="P510" s="76">
        <f>559-590.48</f>
        <v>-31.480000000000018</v>
      </c>
      <c r="Q510" s="60">
        <v>4131.1</v>
      </c>
      <c r="R510" s="60">
        <v>0</v>
      </c>
      <c r="S510" s="50">
        <f t="shared" si="143"/>
        <v>0</v>
      </c>
    </row>
    <row r="511" spans="1:19" ht="12.75">
      <c r="A511" s="6" t="s">
        <v>151</v>
      </c>
      <c r="B511" s="90"/>
      <c r="C511" s="71">
        <f>SUM(C512:C515)</f>
        <v>1500</v>
      </c>
      <c r="D511" s="71">
        <f>SUM(D512:D515)</f>
        <v>479.3</v>
      </c>
      <c r="E511" s="71">
        <f>SUM(E512:E515)</f>
        <v>0</v>
      </c>
      <c r="F511" s="71">
        <f>SUM(F512:F515)</f>
        <v>1979.3</v>
      </c>
      <c r="G511" s="72">
        <f aca="true" t="shared" si="164" ref="G511:R511">SUM(G512:G515)</f>
        <v>0</v>
      </c>
      <c r="H511" s="72">
        <f t="shared" si="164"/>
        <v>10.6</v>
      </c>
      <c r="I511" s="72">
        <f t="shared" si="164"/>
        <v>1989.9</v>
      </c>
      <c r="J511" s="71">
        <f t="shared" si="164"/>
        <v>0</v>
      </c>
      <c r="K511" s="71">
        <f t="shared" si="164"/>
        <v>0</v>
      </c>
      <c r="L511" s="71">
        <f t="shared" si="164"/>
        <v>1989.9</v>
      </c>
      <c r="M511" s="71">
        <f t="shared" si="164"/>
        <v>0</v>
      </c>
      <c r="N511" s="71">
        <f t="shared" si="164"/>
        <v>0</v>
      </c>
      <c r="O511" s="71">
        <f t="shared" si="164"/>
        <v>1989.9</v>
      </c>
      <c r="P511" s="71">
        <f t="shared" si="164"/>
        <v>0</v>
      </c>
      <c r="Q511" s="71">
        <f t="shared" si="164"/>
        <v>1989.9</v>
      </c>
      <c r="R511" s="72">
        <f t="shared" si="164"/>
        <v>1343.01</v>
      </c>
      <c r="S511" s="50">
        <f t="shared" si="143"/>
        <v>67.4913312226745</v>
      </c>
    </row>
    <row r="512" spans="1:19" ht="12.75">
      <c r="A512" s="6" t="s">
        <v>140</v>
      </c>
      <c r="B512" s="90"/>
      <c r="C512" s="71">
        <v>735</v>
      </c>
      <c r="D512" s="71"/>
      <c r="E512" s="71"/>
      <c r="F512" s="71">
        <f t="shared" si="154"/>
        <v>735</v>
      </c>
      <c r="G512" s="72">
        <v>381</v>
      </c>
      <c r="H512" s="72"/>
      <c r="I512" s="72">
        <f>F512+G512+H512</f>
        <v>1116</v>
      </c>
      <c r="J512" s="71"/>
      <c r="K512" s="71"/>
      <c r="L512" s="71">
        <f>I512+J512+K512</f>
        <v>1116</v>
      </c>
      <c r="M512" s="71">
        <f>-200+400</f>
        <v>200</v>
      </c>
      <c r="N512" s="71"/>
      <c r="O512" s="71">
        <f>L512+M512+N512</f>
        <v>1316</v>
      </c>
      <c r="P512" s="76"/>
      <c r="Q512" s="60">
        <v>1316</v>
      </c>
      <c r="R512" s="60">
        <v>854.93</v>
      </c>
      <c r="S512" s="50">
        <f t="shared" si="143"/>
        <v>64.96428571428571</v>
      </c>
    </row>
    <row r="513" spans="1:19" ht="12.75">
      <c r="A513" s="6" t="s">
        <v>141</v>
      </c>
      <c r="B513" s="90"/>
      <c r="C513" s="71">
        <v>265</v>
      </c>
      <c r="D513" s="71"/>
      <c r="E513" s="71"/>
      <c r="F513" s="71">
        <f t="shared" si="154"/>
        <v>265</v>
      </c>
      <c r="G513" s="72">
        <f>100-55</f>
        <v>45</v>
      </c>
      <c r="H513" s="72"/>
      <c r="I513" s="72">
        <f>F513+G513+H513</f>
        <v>310</v>
      </c>
      <c r="J513" s="71"/>
      <c r="K513" s="71"/>
      <c r="L513" s="71">
        <f>I513+J513+K513</f>
        <v>310</v>
      </c>
      <c r="M513" s="71"/>
      <c r="N513" s="71"/>
      <c r="O513" s="71">
        <f>L513+M513+N513</f>
        <v>310</v>
      </c>
      <c r="P513" s="76"/>
      <c r="Q513" s="60">
        <v>310</v>
      </c>
      <c r="R513" s="60">
        <v>306.58</v>
      </c>
      <c r="S513" s="50">
        <f t="shared" si="143"/>
        <v>98.89677419354838</v>
      </c>
    </row>
    <row r="514" spans="1:19" ht="12.75">
      <c r="A514" s="6" t="s">
        <v>142</v>
      </c>
      <c r="B514" s="90"/>
      <c r="C514" s="71">
        <v>500</v>
      </c>
      <c r="D514" s="71"/>
      <c r="E514" s="71"/>
      <c r="F514" s="71">
        <f t="shared" si="154"/>
        <v>500</v>
      </c>
      <c r="G514" s="72"/>
      <c r="H514" s="72"/>
      <c r="I514" s="72">
        <f>F514+G514+H514</f>
        <v>500</v>
      </c>
      <c r="J514" s="71"/>
      <c r="K514" s="71"/>
      <c r="L514" s="71">
        <f>I514+J514+K514</f>
        <v>500</v>
      </c>
      <c r="M514" s="71">
        <f>-200</f>
        <v>-200</v>
      </c>
      <c r="N514" s="71"/>
      <c r="O514" s="71">
        <f>L514+M514+N514</f>
        <v>300</v>
      </c>
      <c r="P514" s="76"/>
      <c r="Q514" s="60">
        <v>300</v>
      </c>
      <c r="R514" s="60">
        <v>181.5</v>
      </c>
      <c r="S514" s="50">
        <f t="shared" si="143"/>
        <v>60.5</v>
      </c>
    </row>
    <row r="515" spans="1:19" ht="13.5" thickBot="1">
      <c r="A515" s="163" t="s">
        <v>143</v>
      </c>
      <c r="B515" s="156"/>
      <c r="C515" s="101">
        <v>0</v>
      </c>
      <c r="D515" s="101">
        <v>479.3</v>
      </c>
      <c r="E515" s="101"/>
      <c r="F515" s="101">
        <f t="shared" si="154"/>
        <v>479.3</v>
      </c>
      <c r="G515" s="102">
        <f>-100-326</f>
        <v>-426</v>
      </c>
      <c r="H515" s="102">
        <v>10.6</v>
      </c>
      <c r="I515" s="102">
        <f>F515+G515+H515</f>
        <v>63.90000000000001</v>
      </c>
      <c r="J515" s="101"/>
      <c r="K515" s="101"/>
      <c r="L515" s="101">
        <f>I515+J515+K515</f>
        <v>63.90000000000001</v>
      </c>
      <c r="M515" s="101"/>
      <c r="N515" s="101"/>
      <c r="O515" s="101">
        <f>L515+M515+N515</f>
        <v>63.90000000000001</v>
      </c>
      <c r="P515" s="132"/>
      <c r="Q515" s="154">
        <v>63.90000000000001</v>
      </c>
      <c r="R515" s="154">
        <v>0</v>
      </c>
      <c r="S515" s="157">
        <f t="shared" si="143"/>
        <v>0</v>
      </c>
    </row>
    <row r="516" spans="1:19" ht="12.75">
      <c r="A516" s="6" t="s">
        <v>152</v>
      </c>
      <c r="B516" s="90"/>
      <c r="C516" s="71">
        <f>SUM(C517:C521)</f>
        <v>18000</v>
      </c>
      <c r="D516" s="71">
        <f>SUM(D517:D521)</f>
        <v>36227</v>
      </c>
      <c r="E516" s="71">
        <f>SUM(E517:E521)</f>
        <v>0</v>
      </c>
      <c r="F516" s="71">
        <f>SUM(F517:F521)</f>
        <v>54227</v>
      </c>
      <c r="G516" s="72">
        <f aca="true" t="shared" si="165" ref="G516:R516">SUM(G517:G521)</f>
        <v>1900</v>
      </c>
      <c r="H516" s="72">
        <f t="shared" si="165"/>
        <v>2.7</v>
      </c>
      <c r="I516" s="72">
        <f t="shared" si="165"/>
        <v>56129.700000000004</v>
      </c>
      <c r="J516" s="71">
        <f t="shared" si="165"/>
        <v>0</v>
      </c>
      <c r="K516" s="71">
        <f t="shared" si="165"/>
        <v>0</v>
      </c>
      <c r="L516" s="71">
        <f t="shared" si="165"/>
        <v>56129.700000000004</v>
      </c>
      <c r="M516" s="71">
        <f t="shared" si="165"/>
        <v>0</v>
      </c>
      <c r="N516" s="71">
        <f t="shared" si="165"/>
        <v>0</v>
      </c>
      <c r="O516" s="71">
        <f t="shared" si="165"/>
        <v>56129.700000000004</v>
      </c>
      <c r="P516" s="71">
        <f t="shared" si="165"/>
        <v>0</v>
      </c>
      <c r="Q516" s="71">
        <f t="shared" si="165"/>
        <v>56129.700000000004</v>
      </c>
      <c r="R516" s="72">
        <f t="shared" si="165"/>
        <v>40578.340000000004</v>
      </c>
      <c r="S516" s="50">
        <f t="shared" si="143"/>
        <v>72.29388363023497</v>
      </c>
    </row>
    <row r="517" spans="1:19" ht="12.75">
      <c r="A517" s="6" t="s">
        <v>140</v>
      </c>
      <c r="B517" s="90"/>
      <c r="C517" s="71"/>
      <c r="D517" s="71">
        <f>4411.1+5000</f>
        <v>9411.1</v>
      </c>
      <c r="E517" s="71">
        <v>988.9</v>
      </c>
      <c r="F517" s="71">
        <f t="shared" si="154"/>
        <v>10400</v>
      </c>
      <c r="G517" s="72">
        <v>900</v>
      </c>
      <c r="H517" s="72"/>
      <c r="I517" s="72">
        <f aca="true" t="shared" si="166" ref="I517:I524">F517+G517+H517</f>
        <v>11300</v>
      </c>
      <c r="J517" s="71">
        <f>-1000</f>
        <v>-1000</v>
      </c>
      <c r="K517" s="71">
        <v>-6266</v>
      </c>
      <c r="L517" s="71">
        <f>I517+J517+K517</f>
        <v>4034</v>
      </c>
      <c r="M517" s="71"/>
      <c r="N517" s="71"/>
      <c r="O517" s="71">
        <f>L517+M517+N517</f>
        <v>4034</v>
      </c>
      <c r="P517" s="76"/>
      <c r="Q517" s="60">
        <v>4034</v>
      </c>
      <c r="R517" s="60">
        <v>2530.44</v>
      </c>
      <c r="S517" s="50">
        <f t="shared" si="143"/>
        <v>62.72781358453149</v>
      </c>
    </row>
    <row r="518" spans="1:19" ht="12.75">
      <c r="A518" s="6" t="s">
        <v>141</v>
      </c>
      <c r="B518" s="90"/>
      <c r="C518" s="71"/>
      <c r="D518" s="71">
        <f>652.1</f>
        <v>652.1</v>
      </c>
      <c r="E518" s="71">
        <v>-52.1</v>
      </c>
      <c r="F518" s="71">
        <f t="shared" si="154"/>
        <v>600</v>
      </c>
      <c r="G518" s="72"/>
      <c r="H518" s="72"/>
      <c r="I518" s="72">
        <f t="shared" si="166"/>
        <v>600</v>
      </c>
      <c r="J518" s="71">
        <v>1000</v>
      </c>
      <c r="K518" s="71"/>
      <c r="L518" s="71">
        <f>I518+J518+K518</f>
        <v>1600</v>
      </c>
      <c r="M518" s="71"/>
      <c r="N518" s="71"/>
      <c r="O518" s="71">
        <f>L518+M518+N518</f>
        <v>1600</v>
      </c>
      <c r="P518" s="76"/>
      <c r="Q518" s="60">
        <v>1600</v>
      </c>
      <c r="R518" s="60">
        <v>1588.29</v>
      </c>
      <c r="S518" s="50">
        <f t="shared" si="143"/>
        <v>99.268125</v>
      </c>
    </row>
    <row r="519" spans="1:19" ht="12.75">
      <c r="A519" s="6" t="s">
        <v>153</v>
      </c>
      <c r="B519" s="90"/>
      <c r="C519" s="71">
        <v>17000</v>
      </c>
      <c r="D519" s="71">
        <f>26119.8</f>
        <v>26119.8</v>
      </c>
      <c r="E519" s="71">
        <v>-66.4</v>
      </c>
      <c r="F519" s="71">
        <f t="shared" si="154"/>
        <v>43053.4</v>
      </c>
      <c r="G519" s="72">
        <f>100+1000</f>
        <v>1100</v>
      </c>
      <c r="H519" s="72"/>
      <c r="I519" s="72">
        <f t="shared" si="166"/>
        <v>44153.4</v>
      </c>
      <c r="J519" s="71"/>
      <c r="K519" s="71">
        <v>6266</v>
      </c>
      <c r="L519" s="71">
        <f>I519+J519+K519</f>
        <v>50419.4</v>
      </c>
      <c r="M519" s="71">
        <v>-2200</v>
      </c>
      <c r="N519" s="71"/>
      <c r="O519" s="71">
        <f>L519+M519+N519</f>
        <v>48219.4</v>
      </c>
      <c r="P519" s="76"/>
      <c r="Q519" s="60">
        <v>48219.4</v>
      </c>
      <c r="R519" s="60">
        <v>34616.74</v>
      </c>
      <c r="S519" s="50">
        <f t="shared" si="143"/>
        <v>71.79006789798296</v>
      </c>
    </row>
    <row r="520" spans="1:19" ht="12.75">
      <c r="A520" s="6" t="s">
        <v>150</v>
      </c>
      <c r="B520" s="90"/>
      <c r="C520" s="71"/>
      <c r="D520" s="71"/>
      <c r="E520" s="71"/>
      <c r="F520" s="71">
        <f t="shared" si="154"/>
        <v>0</v>
      </c>
      <c r="G520" s="72"/>
      <c r="H520" s="72"/>
      <c r="I520" s="72">
        <f t="shared" si="166"/>
        <v>0</v>
      </c>
      <c r="J520" s="71"/>
      <c r="K520" s="71"/>
      <c r="L520" s="71">
        <f>I520+J520+K520</f>
        <v>0</v>
      </c>
      <c r="M520" s="71">
        <v>2200</v>
      </c>
      <c r="N520" s="71"/>
      <c r="O520" s="71">
        <f>L520+M520+N520</f>
        <v>2200</v>
      </c>
      <c r="P520" s="76"/>
      <c r="Q520" s="60">
        <v>2200</v>
      </c>
      <c r="R520" s="60">
        <v>1842.87</v>
      </c>
      <c r="S520" s="50">
        <f aca="true" t="shared" si="167" ref="S520:S539">R520/Q520*100</f>
        <v>83.76681818181818</v>
      </c>
    </row>
    <row r="521" spans="1:19" ht="12.75">
      <c r="A521" s="6" t="s">
        <v>143</v>
      </c>
      <c r="B521" s="90"/>
      <c r="C521" s="71">
        <v>1000</v>
      </c>
      <c r="D521" s="78">
        <v>44</v>
      </c>
      <c r="E521" s="71">
        <v>-870.4</v>
      </c>
      <c r="F521" s="71">
        <f t="shared" si="154"/>
        <v>173.60000000000002</v>
      </c>
      <c r="G521" s="72">
        <v>-100</v>
      </c>
      <c r="H521" s="72">
        <v>2.7</v>
      </c>
      <c r="I521" s="72">
        <f t="shared" si="166"/>
        <v>76.30000000000003</v>
      </c>
      <c r="J521" s="71"/>
      <c r="K521" s="71"/>
      <c r="L521" s="71">
        <f>I521+J521+K521</f>
        <v>76.30000000000003</v>
      </c>
      <c r="M521" s="71"/>
      <c r="N521" s="71"/>
      <c r="O521" s="71">
        <f>L521+M521+N521</f>
        <v>76.30000000000003</v>
      </c>
      <c r="P521" s="76"/>
      <c r="Q521" s="60">
        <v>76.30000000000003</v>
      </c>
      <c r="R521" s="60">
        <v>0</v>
      </c>
      <c r="S521" s="50">
        <f t="shared" si="143"/>
        <v>0</v>
      </c>
    </row>
    <row r="522" spans="1:19" ht="12.75">
      <c r="A522" s="7" t="s">
        <v>154</v>
      </c>
      <c r="B522" s="90"/>
      <c r="C522" s="71">
        <f>C523+C524</f>
        <v>0</v>
      </c>
      <c r="D522" s="78"/>
      <c r="E522" s="71"/>
      <c r="F522" s="71">
        <f aca="true" t="shared" si="168" ref="F522:O522">F523+F524</f>
        <v>0</v>
      </c>
      <c r="G522" s="72">
        <f t="shared" si="168"/>
        <v>10</v>
      </c>
      <c r="H522" s="72">
        <f t="shared" si="168"/>
        <v>3147.92</v>
      </c>
      <c r="I522" s="72">
        <f t="shared" si="168"/>
        <v>3157.92</v>
      </c>
      <c r="J522" s="71">
        <f t="shared" si="168"/>
        <v>0</v>
      </c>
      <c r="K522" s="71">
        <f t="shared" si="168"/>
        <v>0</v>
      </c>
      <c r="L522" s="71">
        <f t="shared" si="168"/>
        <v>3157.92</v>
      </c>
      <c r="M522" s="71">
        <f t="shared" si="168"/>
        <v>-2155.2</v>
      </c>
      <c r="N522" s="71">
        <f t="shared" si="168"/>
        <v>0</v>
      </c>
      <c r="O522" s="71">
        <f t="shared" si="168"/>
        <v>1002.7200000000003</v>
      </c>
      <c r="P522" s="76">
        <f>P523+P524</f>
        <v>0</v>
      </c>
      <c r="Q522" s="76">
        <f>Q523+Q524</f>
        <v>1002.7200000000003</v>
      </c>
      <c r="R522" s="60">
        <f>R523+R524</f>
        <v>6.7</v>
      </c>
      <c r="S522" s="50">
        <f t="shared" si="167"/>
        <v>0.6681825434817296</v>
      </c>
    </row>
    <row r="523" spans="1:19" ht="12.75">
      <c r="A523" s="7" t="s">
        <v>333</v>
      </c>
      <c r="B523" s="90"/>
      <c r="C523" s="71"/>
      <c r="D523" s="78"/>
      <c r="E523" s="71"/>
      <c r="F523" s="71">
        <f t="shared" si="154"/>
        <v>0</v>
      </c>
      <c r="G523" s="72"/>
      <c r="H523" s="72">
        <v>3147.92</v>
      </c>
      <c r="I523" s="72">
        <f t="shared" si="166"/>
        <v>3147.92</v>
      </c>
      <c r="J523" s="71"/>
      <c r="K523" s="71"/>
      <c r="L523" s="71">
        <f>I523+J523+K523</f>
        <v>3147.92</v>
      </c>
      <c r="M523" s="71">
        <f>-150-500-429.75-1075.45</f>
        <v>-2155.2</v>
      </c>
      <c r="N523" s="71"/>
      <c r="O523" s="71">
        <f>L523+M523+N523</f>
        <v>992.7200000000003</v>
      </c>
      <c r="P523" s="76"/>
      <c r="Q523" s="60">
        <v>992.7200000000003</v>
      </c>
      <c r="R523" s="60">
        <v>0</v>
      </c>
      <c r="S523" s="50">
        <f t="shared" si="143"/>
        <v>0</v>
      </c>
    </row>
    <row r="524" spans="1:19" ht="12.75">
      <c r="A524" s="10" t="s">
        <v>332</v>
      </c>
      <c r="B524" s="94"/>
      <c r="C524" s="95"/>
      <c r="D524" s="104"/>
      <c r="E524" s="95"/>
      <c r="F524" s="95">
        <f t="shared" si="154"/>
        <v>0</v>
      </c>
      <c r="G524" s="96">
        <v>10</v>
      </c>
      <c r="H524" s="96"/>
      <c r="I524" s="96">
        <f t="shared" si="166"/>
        <v>10</v>
      </c>
      <c r="J524" s="95"/>
      <c r="K524" s="95"/>
      <c r="L524" s="71">
        <f>I524+J524+K524</f>
        <v>10</v>
      </c>
      <c r="M524" s="95"/>
      <c r="N524" s="95"/>
      <c r="O524" s="95">
        <f>L524+M524+N524</f>
        <v>10</v>
      </c>
      <c r="P524" s="97"/>
      <c r="Q524" s="53">
        <v>10</v>
      </c>
      <c r="R524" s="53">
        <v>6.7</v>
      </c>
      <c r="S524" s="52">
        <f t="shared" si="167"/>
        <v>67</v>
      </c>
    </row>
    <row r="525" spans="1:19" ht="13.5" thickBot="1">
      <c r="A525" s="19" t="s">
        <v>155</v>
      </c>
      <c r="B525" s="91"/>
      <c r="C525" s="79">
        <v>4959.7</v>
      </c>
      <c r="D525" s="79">
        <v>88.3</v>
      </c>
      <c r="E525" s="79"/>
      <c r="F525" s="79">
        <f>SUM(C525:E525)</f>
        <v>5048</v>
      </c>
      <c r="G525" s="80"/>
      <c r="H525" s="80">
        <f>1953.34-2.67</f>
        <v>1950.6699999999998</v>
      </c>
      <c r="I525" s="80">
        <f>SUM(F525:H525)</f>
        <v>6998.67</v>
      </c>
      <c r="J525" s="79">
        <v>19.2</v>
      </c>
      <c r="K525" s="79"/>
      <c r="L525" s="112">
        <f>SUM(I525:K525)</f>
        <v>7017.87</v>
      </c>
      <c r="M525" s="79">
        <v>10</v>
      </c>
      <c r="N525" s="79"/>
      <c r="O525" s="79">
        <f>SUM(L525:N525)</f>
        <v>7027.87</v>
      </c>
      <c r="P525" s="81"/>
      <c r="Q525" s="80">
        <v>7027.87</v>
      </c>
      <c r="R525" s="74">
        <v>5156.77</v>
      </c>
      <c r="S525" s="148">
        <f t="shared" si="167"/>
        <v>73.37600154812198</v>
      </c>
    </row>
    <row r="526" spans="1:19" ht="14.25" thickBot="1">
      <c r="A526" s="20" t="s">
        <v>156</v>
      </c>
      <c r="B526" s="34"/>
      <c r="C526" s="113">
        <f aca="true" t="shared" si="169" ref="C526:R526">C104+C122+C149+C166+C176+C196+C206+C251+C299+C319+C388+C420+C440+C447+C471+C475+C525+C454+C336</f>
        <v>3228042.1000000006</v>
      </c>
      <c r="D526" s="113">
        <f t="shared" si="169"/>
        <v>5328275.059999999</v>
      </c>
      <c r="E526" s="113">
        <f t="shared" si="169"/>
        <v>3227.7000000000007</v>
      </c>
      <c r="F526" s="113">
        <f t="shared" si="169"/>
        <v>8559544.86</v>
      </c>
      <c r="G526" s="114">
        <f t="shared" si="169"/>
        <v>663522.53</v>
      </c>
      <c r="H526" s="114">
        <f t="shared" si="169"/>
        <v>22793.310000000005</v>
      </c>
      <c r="I526" s="114">
        <f t="shared" si="169"/>
        <v>9245860.699999997</v>
      </c>
      <c r="J526" s="113">
        <f t="shared" si="169"/>
        <v>425388.72000000003</v>
      </c>
      <c r="K526" s="113">
        <f t="shared" si="169"/>
        <v>421.92999999999995</v>
      </c>
      <c r="L526" s="113">
        <f t="shared" si="169"/>
        <v>9671671.349999998</v>
      </c>
      <c r="M526" s="113">
        <f t="shared" si="169"/>
        <v>452440.98</v>
      </c>
      <c r="N526" s="113">
        <f t="shared" si="169"/>
        <v>23141.11</v>
      </c>
      <c r="O526" s="113">
        <f t="shared" si="169"/>
        <v>10147253.439999998</v>
      </c>
      <c r="P526" s="113">
        <f t="shared" si="169"/>
        <v>16783.069999999956</v>
      </c>
      <c r="Q526" s="113">
        <f t="shared" si="169"/>
        <v>10164036.52</v>
      </c>
      <c r="R526" s="114">
        <f t="shared" si="169"/>
        <v>9220009.03</v>
      </c>
      <c r="S526" s="114">
        <f t="shared" si="167"/>
        <v>90.71208089283803</v>
      </c>
    </row>
    <row r="527" spans="1:19" ht="13.5" thickBot="1">
      <c r="A527" s="21" t="s">
        <v>157</v>
      </c>
      <c r="B527" s="34"/>
      <c r="C527" s="115">
        <v>-4959.7</v>
      </c>
      <c r="D527" s="115">
        <v>-88.3</v>
      </c>
      <c r="E527" s="115"/>
      <c r="F527" s="115">
        <f>SUM(C527:E527)</f>
        <v>-5048</v>
      </c>
      <c r="G527" s="116"/>
      <c r="H527" s="116"/>
      <c r="I527" s="116">
        <f>SUM(F527:H527)</f>
        <v>-5048</v>
      </c>
      <c r="J527" s="115">
        <v>-19.2</v>
      </c>
      <c r="K527" s="115"/>
      <c r="L527" s="115">
        <f>SUM(I527:K527)</f>
        <v>-5067.2</v>
      </c>
      <c r="M527" s="115">
        <v>-10</v>
      </c>
      <c r="N527" s="115"/>
      <c r="O527" s="115">
        <f>SUM(L527:N527)</f>
        <v>-5077.2</v>
      </c>
      <c r="P527" s="76"/>
      <c r="Q527" s="74">
        <v>-5077.2</v>
      </c>
      <c r="R527" s="74">
        <v>-5055.61</v>
      </c>
      <c r="S527" s="74">
        <f t="shared" si="167"/>
        <v>99.57476561884503</v>
      </c>
    </row>
    <row r="528" spans="1:19" ht="15.75" thickBot="1">
      <c r="A528" s="22" t="s">
        <v>158</v>
      </c>
      <c r="B528" s="34"/>
      <c r="C528" s="117">
        <f aca="true" t="shared" si="170" ref="C528:Q528">C526+C527</f>
        <v>3223082.4000000004</v>
      </c>
      <c r="D528" s="117">
        <f t="shared" si="170"/>
        <v>5328186.759999999</v>
      </c>
      <c r="E528" s="117">
        <f>E526+E527</f>
        <v>3227.7000000000007</v>
      </c>
      <c r="F528" s="117">
        <f t="shared" si="170"/>
        <v>8554496.86</v>
      </c>
      <c r="G528" s="118">
        <f t="shared" si="170"/>
        <v>663522.53</v>
      </c>
      <c r="H528" s="118">
        <f t="shared" si="170"/>
        <v>22793.310000000005</v>
      </c>
      <c r="I528" s="118">
        <f t="shared" si="170"/>
        <v>9240812.699999997</v>
      </c>
      <c r="J528" s="117">
        <f t="shared" si="170"/>
        <v>425369.52</v>
      </c>
      <c r="K528" s="117">
        <f t="shared" si="170"/>
        <v>421.92999999999995</v>
      </c>
      <c r="L528" s="117">
        <f t="shared" si="170"/>
        <v>9666604.149999999</v>
      </c>
      <c r="M528" s="117">
        <f t="shared" si="170"/>
        <v>452430.98</v>
      </c>
      <c r="N528" s="117">
        <f t="shared" si="170"/>
        <v>23141.11</v>
      </c>
      <c r="O528" s="117">
        <f t="shared" si="170"/>
        <v>10142176.239999998</v>
      </c>
      <c r="P528" s="113">
        <f t="shared" si="170"/>
        <v>16783.069999999956</v>
      </c>
      <c r="Q528" s="113">
        <f t="shared" si="170"/>
        <v>10158959.32</v>
      </c>
      <c r="R528" s="118">
        <f>R526+R527</f>
        <v>9214953.42</v>
      </c>
      <c r="S528" s="118">
        <f t="shared" si="167"/>
        <v>90.70765153925234</v>
      </c>
    </row>
    <row r="529" spans="1:19" ht="15">
      <c r="A529" s="23" t="s">
        <v>34</v>
      </c>
      <c r="B529" s="35"/>
      <c r="C529" s="119"/>
      <c r="D529" s="119"/>
      <c r="E529" s="119"/>
      <c r="F529" s="119"/>
      <c r="G529" s="120"/>
      <c r="H529" s="120"/>
      <c r="I529" s="120"/>
      <c r="J529" s="119"/>
      <c r="K529" s="119"/>
      <c r="L529" s="119"/>
      <c r="M529" s="119"/>
      <c r="N529" s="119"/>
      <c r="O529" s="119"/>
      <c r="P529" s="76"/>
      <c r="Q529" s="60"/>
      <c r="R529" s="56"/>
      <c r="S529" s="61"/>
    </row>
    <row r="530" spans="1:19" ht="15">
      <c r="A530" s="24" t="s">
        <v>63</v>
      </c>
      <c r="B530" s="36"/>
      <c r="C530" s="121">
        <f aca="true" t="shared" si="171" ref="C530:R530">C105+C123+C150+C167+C177+C197+C207+C252+C300+C320+C389+C421+C441+C448+C472+C477+C525+C527+C455+C337</f>
        <v>2832911.5000000005</v>
      </c>
      <c r="D530" s="121">
        <f t="shared" si="171"/>
        <v>4677558.01</v>
      </c>
      <c r="E530" s="121">
        <f t="shared" si="171"/>
        <v>-20253.1</v>
      </c>
      <c r="F530" s="121">
        <f t="shared" si="171"/>
        <v>7490216.410000001</v>
      </c>
      <c r="G530" s="57">
        <f t="shared" si="171"/>
        <v>500211.04000000004</v>
      </c>
      <c r="H530" s="57">
        <f t="shared" si="171"/>
        <v>-113.63000000000011</v>
      </c>
      <c r="I530" s="57">
        <f t="shared" si="171"/>
        <v>7990313.82</v>
      </c>
      <c r="J530" s="121">
        <f t="shared" si="171"/>
        <v>334627.9599999999</v>
      </c>
      <c r="K530" s="121">
        <f t="shared" si="171"/>
        <v>-712.29</v>
      </c>
      <c r="L530" s="121">
        <f t="shared" si="171"/>
        <v>8324229.490000001</v>
      </c>
      <c r="M530" s="121">
        <f t="shared" si="171"/>
        <v>156085.93</v>
      </c>
      <c r="N530" s="121">
        <f t="shared" si="171"/>
        <v>10312.41</v>
      </c>
      <c r="O530" s="121">
        <f t="shared" si="171"/>
        <v>8490627.83</v>
      </c>
      <c r="P530" s="121">
        <f t="shared" si="171"/>
        <v>-66727.05999999998</v>
      </c>
      <c r="Q530" s="121">
        <f t="shared" si="171"/>
        <v>8423900.77</v>
      </c>
      <c r="R530" s="57">
        <f t="shared" si="171"/>
        <v>8168619.179999999</v>
      </c>
      <c r="S530" s="57">
        <f t="shared" si="167"/>
        <v>96.96955606470183</v>
      </c>
    </row>
    <row r="531" spans="1:19" ht="15.75" thickBot="1">
      <c r="A531" s="12" t="s">
        <v>68</v>
      </c>
      <c r="B531" s="37"/>
      <c r="C531" s="122">
        <f aca="true" t="shared" si="172" ref="C531:R531">C117+C145+C159+C172+C191+C202+C237+C291+C313+C330+C415+C431+C444+C478+C466+C360</f>
        <v>390170.9</v>
      </c>
      <c r="D531" s="122">
        <f t="shared" si="172"/>
        <v>650628.75</v>
      </c>
      <c r="E531" s="122">
        <f t="shared" si="172"/>
        <v>23480.8</v>
      </c>
      <c r="F531" s="122">
        <f t="shared" si="172"/>
        <v>1064280.45</v>
      </c>
      <c r="G531" s="58">
        <f t="shared" si="172"/>
        <v>163311.49000000002</v>
      </c>
      <c r="H531" s="58">
        <f t="shared" si="172"/>
        <v>22906.940000000002</v>
      </c>
      <c r="I531" s="58">
        <f t="shared" si="172"/>
        <v>1250498.8800000001</v>
      </c>
      <c r="J531" s="122">
        <f t="shared" si="172"/>
        <v>90741.56000000003</v>
      </c>
      <c r="K531" s="122">
        <f t="shared" si="172"/>
        <v>1134.2199999999998</v>
      </c>
      <c r="L531" s="122">
        <f t="shared" si="172"/>
        <v>1342374.6600000001</v>
      </c>
      <c r="M531" s="122">
        <f t="shared" si="172"/>
        <v>296345.05</v>
      </c>
      <c r="N531" s="122">
        <f t="shared" si="172"/>
        <v>12828.7</v>
      </c>
      <c r="O531" s="122">
        <f t="shared" si="172"/>
        <v>1651548.4100000001</v>
      </c>
      <c r="P531" s="122">
        <f t="shared" si="172"/>
        <v>83510.12999999995</v>
      </c>
      <c r="Q531" s="122">
        <f t="shared" si="172"/>
        <v>1735058.5499999998</v>
      </c>
      <c r="R531" s="58">
        <f t="shared" si="172"/>
        <v>1046334.24</v>
      </c>
      <c r="S531" s="58">
        <f t="shared" si="167"/>
        <v>60.30541390087384</v>
      </c>
    </row>
    <row r="532" spans="1:19" ht="15">
      <c r="A532" s="23" t="s">
        <v>159</v>
      </c>
      <c r="B532" s="35"/>
      <c r="C532" s="123">
        <f>SUM(C534:C539)</f>
        <v>-112500</v>
      </c>
      <c r="D532" s="123">
        <f>SUM(D534:D539)</f>
        <v>903316.2499999999</v>
      </c>
      <c r="E532" s="123">
        <f>SUM(E534:E539)</f>
        <v>2500</v>
      </c>
      <c r="F532" s="123">
        <f>SUM(F534:F539)</f>
        <v>793316.2499999999</v>
      </c>
      <c r="G532" s="59">
        <f aca="true" t="shared" si="173" ref="G532:Q532">SUM(G534:G539)</f>
        <v>26583.6</v>
      </c>
      <c r="H532" s="59">
        <f t="shared" si="173"/>
        <v>20012.48</v>
      </c>
      <c r="I532" s="59">
        <f t="shared" si="173"/>
        <v>839912.33</v>
      </c>
      <c r="J532" s="123">
        <f t="shared" si="173"/>
        <v>0</v>
      </c>
      <c r="K532" s="123">
        <f t="shared" si="173"/>
        <v>0</v>
      </c>
      <c r="L532" s="123">
        <f t="shared" si="173"/>
        <v>839912.33</v>
      </c>
      <c r="M532" s="123">
        <f t="shared" si="173"/>
        <v>0</v>
      </c>
      <c r="N532" s="123">
        <f t="shared" si="173"/>
        <v>0</v>
      </c>
      <c r="O532" s="123">
        <f t="shared" si="173"/>
        <v>839912.33</v>
      </c>
      <c r="P532" s="123">
        <f t="shared" si="173"/>
        <v>0</v>
      </c>
      <c r="Q532" s="123">
        <f t="shared" si="173"/>
        <v>839912.33</v>
      </c>
      <c r="R532" s="59">
        <f>SUM(R534:R539)</f>
        <v>-339104.19</v>
      </c>
      <c r="S532" s="152" t="s">
        <v>368</v>
      </c>
    </row>
    <row r="533" spans="1:19" ht="12.75" customHeight="1">
      <c r="A533" s="25" t="s">
        <v>34</v>
      </c>
      <c r="B533" s="38"/>
      <c r="C533" s="124"/>
      <c r="D533" s="124"/>
      <c r="E533" s="124"/>
      <c r="F533" s="125"/>
      <c r="G533" s="126"/>
      <c r="H533" s="126"/>
      <c r="I533" s="127"/>
      <c r="J533" s="124"/>
      <c r="K533" s="124"/>
      <c r="L533" s="125"/>
      <c r="M533" s="124"/>
      <c r="N533" s="124"/>
      <c r="O533" s="125"/>
      <c r="P533" s="76"/>
      <c r="Q533" s="60"/>
      <c r="R533" s="60"/>
      <c r="S533" s="50"/>
    </row>
    <row r="534" spans="1:19" ht="13.5">
      <c r="A534" s="25" t="s">
        <v>160</v>
      </c>
      <c r="B534" s="38"/>
      <c r="C534" s="125">
        <v>50000</v>
      </c>
      <c r="D534" s="125"/>
      <c r="E534" s="125"/>
      <c r="F534" s="125">
        <f aca="true" t="shared" si="174" ref="F534:F539">SUM(C534:E534)</f>
        <v>50000</v>
      </c>
      <c r="G534" s="127"/>
      <c r="H534" s="127"/>
      <c r="I534" s="127">
        <f aca="true" t="shared" si="175" ref="I534:I539">SUM(F534:H534)</f>
        <v>50000</v>
      </c>
      <c r="J534" s="125"/>
      <c r="K534" s="125"/>
      <c r="L534" s="125">
        <f aca="true" t="shared" si="176" ref="L534:L539">SUM(I534:K534)</f>
        <v>50000</v>
      </c>
      <c r="M534" s="125"/>
      <c r="N534" s="125"/>
      <c r="O534" s="125">
        <f aca="true" t="shared" si="177" ref="O534:O539">SUM(L534:N534)</f>
        <v>50000</v>
      </c>
      <c r="P534" s="76"/>
      <c r="Q534" s="142">
        <v>50000</v>
      </c>
      <c r="R534" s="142">
        <v>19355.38</v>
      </c>
      <c r="S534" s="143">
        <f t="shared" si="167"/>
        <v>38.71076</v>
      </c>
    </row>
    <row r="535" spans="1:19" ht="13.5">
      <c r="A535" s="26" t="s">
        <v>169</v>
      </c>
      <c r="B535" s="38"/>
      <c r="C535" s="125">
        <v>-162500</v>
      </c>
      <c r="D535" s="125"/>
      <c r="E535" s="125"/>
      <c r="F535" s="125">
        <f t="shared" si="174"/>
        <v>-162500</v>
      </c>
      <c r="G535" s="127"/>
      <c r="H535" s="127"/>
      <c r="I535" s="127">
        <f t="shared" si="175"/>
        <v>-162500</v>
      </c>
      <c r="J535" s="125"/>
      <c r="K535" s="125"/>
      <c r="L535" s="125">
        <f t="shared" si="176"/>
        <v>-162500</v>
      </c>
      <c r="M535" s="125"/>
      <c r="N535" s="125"/>
      <c r="O535" s="125">
        <f t="shared" si="177"/>
        <v>-162500</v>
      </c>
      <c r="P535" s="76"/>
      <c r="Q535" s="142">
        <v>-162500</v>
      </c>
      <c r="R535" s="142">
        <v>-162500</v>
      </c>
      <c r="S535" s="143">
        <f t="shared" si="167"/>
        <v>100</v>
      </c>
    </row>
    <row r="536" spans="1:19" ht="13.5" hidden="1">
      <c r="A536" s="26" t="s">
        <v>161</v>
      </c>
      <c r="B536" s="38"/>
      <c r="C536" s="125"/>
      <c r="D536" s="128"/>
      <c r="E536" s="125"/>
      <c r="F536" s="125">
        <f t="shared" si="174"/>
        <v>0</v>
      </c>
      <c r="G536" s="127"/>
      <c r="H536" s="127"/>
      <c r="I536" s="127">
        <f t="shared" si="175"/>
        <v>0</v>
      </c>
      <c r="J536" s="125"/>
      <c r="K536" s="125"/>
      <c r="L536" s="125">
        <f t="shared" si="176"/>
        <v>0</v>
      </c>
      <c r="M536" s="125"/>
      <c r="N536" s="125"/>
      <c r="O536" s="125">
        <f t="shared" si="177"/>
        <v>0</v>
      </c>
      <c r="P536" s="76"/>
      <c r="Q536" s="142">
        <v>0</v>
      </c>
      <c r="R536" s="142"/>
      <c r="S536" s="143" t="e">
        <f t="shared" si="167"/>
        <v>#DIV/0!</v>
      </c>
    </row>
    <row r="537" spans="1:19" ht="13.5" hidden="1">
      <c r="A537" s="25" t="s">
        <v>162</v>
      </c>
      <c r="B537" s="38"/>
      <c r="C537" s="125"/>
      <c r="D537" s="125"/>
      <c r="E537" s="125"/>
      <c r="F537" s="125">
        <f t="shared" si="174"/>
        <v>0</v>
      </c>
      <c r="G537" s="127"/>
      <c r="H537" s="127"/>
      <c r="I537" s="127">
        <f t="shared" si="175"/>
        <v>0</v>
      </c>
      <c r="J537" s="125"/>
      <c r="K537" s="125"/>
      <c r="L537" s="125">
        <f t="shared" si="176"/>
        <v>0</v>
      </c>
      <c r="M537" s="125"/>
      <c r="N537" s="125"/>
      <c r="O537" s="125">
        <f t="shared" si="177"/>
        <v>0</v>
      </c>
      <c r="P537" s="76"/>
      <c r="Q537" s="142">
        <v>0</v>
      </c>
      <c r="R537" s="142"/>
      <c r="S537" s="143" t="e">
        <f t="shared" si="167"/>
        <v>#DIV/0!</v>
      </c>
    </row>
    <row r="538" spans="1:19" ht="13.5">
      <c r="A538" s="26" t="s">
        <v>163</v>
      </c>
      <c r="B538" s="38"/>
      <c r="C538" s="125"/>
      <c r="D538" s="125">
        <f>1343.17+3508.29+1120+480+72533.23+84329.85+439.83+10828.07+2276.37+669.5+923.92+1262.83+36084.02+12706.44+1625+17295.76+1561.56+765.65+59.98+5253.5+20704.91+2414.1+479.3+62381.2+1014.7+2721.9+42847.1+31227+20746.96+3156+2843.97+31.86+150.82+308.12+3298.9+162.35+111.81+33271.89+1192.04+705.93+9955.72+1.75+2.37+15172.43+7.91+13.17+14079.26+0.72+2113.87+3832.84+18.63+1732.88+1970.55+14388.11+37011.97+46.86+1008.14+1568.95+346.55+5007.82+72.46+219807.6+200+3737.2+9500+46.77+3305.35+346.06+2957.41+45.34+1+506.9+15945.03+48500+2106.09+291.3+694.23+1375.02+176.3+5.86+578</f>
        <v>903316.2499999999</v>
      </c>
      <c r="E538" s="125">
        <f>500+2000</f>
        <v>2500</v>
      </c>
      <c r="F538" s="125">
        <f t="shared" si="174"/>
        <v>905816.2499999999</v>
      </c>
      <c r="G538" s="127">
        <f>2498.5+700+1298.2-4000+25073.8+13.1+1000</f>
        <v>26583.6</v>
      </c>
      <c r="H538" s="127">
        <f>16390.38+10.6+27.06+62.58+2.7+3147.92+37.44+127+99.2+0.39+259.32+77.64+579.82+20.59-2783.5+2.67</f>
        <v>18061.81</v>
      </c>
      <c r="I538" s="127">
        <f t="shared" si="175"/>
        <v>950461.6599999999</v>
      </c>
      <c r="J538" s="125"/>
      <c r="K538" s="125"/>
      <c r="L538" s="125">
        <f t="shared" si="176"/>
        <v>950461.6599999999</v>
      </c>
      <c r="M538" s="125"/>
      <c r="N538" s="125"/>
      <c r="O538" s="125">
        <f t="shared" si="177"/>
        <v>950461.6599999999</v>
      </c>
      <c r="P538" s="76"/>
      <c r="Q538" s="142">
        <v>950461.6599999999</v>
      </c>
      <c r="R538" s="144">
        <f>-176604.19-101.16-19355.38</f>
        <v>-196060.73</v>
      </c>
      <c r="S538" s="145" t="s">
        <v>368</v>
      </c>
    </row>
    <row r="539" spans="1:19" ht="15.75" thickBot="1">
      <c r="A539" s="31" t="s">
        <v>199</v>
      </c>
      <c r="B539" s="129"/>
      <c r="C539" s="84"/>
      <c r="D539" s="130"/>
      <c r="E539" s="130"/>
      <c r="F539" s="130">
        <f t="shared" si="174"/>
        <v>0</v>
      </c>
      <c r="G539" s="131"/>
      <c r="H539" s="131">
        <f>1953.34-2.67</f>
        <v>1950.6699999999998</v>
      </c>
      <c r="I539" s="131">
        <f t="shared" si="175"/>
        <v>1950.6699999999998</v>
      </c>
      <c r="J539" s="130"/>
      <c r="K539" s="130"/>
      <c r="L539" s="130">
        <f t="shared" si="176"/>
        <v>1950.6699999999998</v>
      </c>
      <c r="M539" s="130"/>
      <c r="N539" s="130"/>
      <c r="O539" s="130">
        <f t="shared" si="177"/>
        <v>1950.6699999999998</v>
      </c>
      <c r="P539" s="132"/>
      <c r="Q539" s="146">
        <v>1950.6699999999998</v>
      </c>
      <c r="R539" s="146">
        <v>101.16</v>
      </c>
      <c r="S539" s="147">
        <f t="shared" si="167"/>
        <v>5.185910482039505</v>
      </c>
    </row>
    <row r="540" spans="2:19" ht="12.75" hidden="1">
      <c r="B540" s="39"/>
      <c r="C540" s="40">
        <f aca="true" t="shared" si="178" ref="C540:R540">C102+C532-C528</f>
        <v>0</v>
      </c>
      <c r="D540" s="40" t="e">
        <f t="shared" si="178"/>
        <v>#REF!</v>
      </c>
      <c r="E540" s="40" t="e">
        <f t="shared" si="178"/>
        <v>#REF!</v>
      </c>
      <c r="F540" s="40" t="e">
        <f t="shared" si="178"/>
        <v>#REF!</v>
      </c>
      <c r="G540" s="43" t="e">
        <f t="shared" si="178"/>
        <v>#REF!</v>
      </c>
      <c r="H540" s="43" t="e">
        <f t="shared" si="178"/>
        <v>#REF!</v>
      </c>
      <c r="I540" s="43" t="e">
        <f t="shared" si="178"/>
        <v>#REF!</v>
      </c>
      <c r="J540" s="40" t="e">
        <f t="shared" si="178"/>
        <v>#REF!</v>
      </c>
      <c r="K540" s="30" t="e">
        <f t="shared" si="178"/>
        <v>#REF!</v>
      </c>
      <c r="L540" s="40" t="e">
        <f t="shared" si="178"/>
        <v>#REF!</v>
      </c>
      <c r="M540" s="40" t="e">
        <f t="shared" si="178"/>
        <v>#REF!</v>
      </c>
      <c r="N540" s="40" t="e">
        <f t="shared" si="178"/>
        <v>#REF!</v>
      </c>
      <c r="O540" s="40" t="e">
        <f t="shared" si="178"/>
        <v>#REF!</v>
      </c>
      <c r="P540" s="45" t="e">
        <f t="shared" si="178"/>
        <v>#REF!</v>
      </c>
      <c r="Q540" s="43">
        <f t="shared" si="178"/>
        <v>0</v>
      </c>
      <c r="R540" s="43">
        <f t="shared" si="178"/>
        <v>0</v>
      </c>
      <c r="S540" s="51"/>
    </row>
    <row r="541" spans="2:19" ht="12.75">
      <c r="B541" s="39"/>
      <c r="G541" s="43"/>
      <c r="H541" s="43"/>
      <c r="I541" s="43"/>
      <c r="J541" s="40"/>
      <c r="M541" s="40"/>
      <c r="N541" s="40"/>
      <c r="O541" s="40"/>
      <c r="P541" s="45"/>
      <c r="Q541" s="43"/>
      <c r="R541" s="43"/>
      <c r="S541" s="51"/>
    </row>
    <row r="542" spans="2:19" ht="12.75">
      <c r="B542" s="39"/>
      <c r="M542" s="40"/>
      <c r="N542" s="40"/>
      <c r="O542" s="40"/>
      <c r="P542" s="45"/>
      <c r="Q542" s="43"/>
      <c r="R542" s="43"/>
      <c r="S542" s="51"/>
    </row>
    <row r="543" spans="2:19" ht="12.75">
      <c r="B543" s="39"/>
      <c r="M543" s="40"/>
      <c r="N543" s="40"/>
      <c r="O543" s="40"/>
      <c r="P543" s="45"/>
      <c r="Q543" s="43"/>
      <c r="R543" s="43"/>
      <c r="S543" s="51"/>
    </row>
    <row r="544" spans="2:19" ht="12.75">
      <c r="B544" s="39"/>
      <c r="M544" s="40"/>
      <c r="N544" s="40"/>
      <c r="O544" s="40"/>
      <c r="P544" s="45"/>
      <c r="Q544" s="43"/>
      <c r="R544" s="43"/>
      <c r="S544" s="51"/>
    </row>
    <row r="545" spans="2:19" ht="12.75">
      <c r="B545" s="39"/>
      <c r="M545" s="40"/>
      <c r="N545" s="40"/>
      <c r="P545" s="45"/>
      <c r="Q545" s="43"/>
      <c r="R545" s="43"/>
      <c r="S545" s="51"/>
    </row>
    <row r="546" spans="2:19" ht="12.75">
      <c r="B546" s="39"/>
      <c r="M546" s="40"/>
      <c r="N546" s="40"/>
      <c r="P546" s="45"/>
      <c r="Q546" s="43"/>
      <c r="R546" s="43"/>
      <c r="S546" s="51"/>
    </row>
    <row r="547" spans="2:19" ht="12.75">
      <c r="B547" s="39"/>
      <c r="M547" s="40"/>
      <c r="N547" s="40"/>
      <c r="P547" s="45"/>
      <c r="Q547" s="43"/>
      <c r="R547" s="43"/>
      <c r="S547" s="51"/>
    </row>
    <row r="548" spans="2:19" ht="12.75">
      <c r="B548" s="39"/>
      <c r="M548" s="40"/>
      <c r="N548" s="40"/>
      <c r="P548" s="45"/>
      <c r="Q548" s="43"/>
      <c r="R548" s="43"/>
      <c r="S548" s="51"/>
    </row>
    <row r="549" spans="2:19" ht="12.75">
      <c r="B549" s="39"/>
      <c r="M549" s="40"/>
      <c r="N549" s="40"/>
      <c r="P549" s="45"/>
      <c r="R549" s="43"/>
      <c r="S549" s="51"/>
    </row>
    <row r="550" spans="2:19" ht="12.75">
      <c r="B550" s="39"/>
      <c r="M550" s="40"/>
      <c r="N550" s="40"/>
      <c r="P550" s="45"/>
      <c r="R550" s="43"/>
      <c r="S550" s="51"/>
    </row>
    <row r="551" spans="2:19" ht="12.75">
      <c r="B551" s="39"/>
      <c r="M551" s="40"/>
      <c r="N551" s="40"/>
      <c r="P551" s="45"/>
      <c r="R551" s="43"/>
      <c r="S551" s="51"/>
    </row>
    <row r="552" spans="2:19" ht="12.75">
      <c r="B552" s="39"/>
      <c r="M552" s="40"/>
      <c r="N552" s="40"/>
      <c r="P552" s="42"/>
      <c r="R552" s="43"/>
      <c r="S552" s="51"/>
    </row>
    <row r="553" spans="2:19" ht="12.75">
      <c r="B553" s="39"/>
      <c r="M553" s="40"/>
      <c r="N553" s="40"/>
      <c r="P553" s="42"/>
      <c r="R553" s="43"/>
      <c r="S553" s="51"/>
    </row>
    <row r="554" spans="2:19" ht="12.75">
      <c r="B554" s="39"/>
      <c r="M554" s="40"/>
      <c r="P554" s="42"/>
      <c r="R554" s="43"/>
      <c r="S554" s="51"/>
    </row>
    <row r="555" spans="2:19" ht="12.75">
      <c r="B555" s="39"/>
      <c r="M555" s="40"/>
      <c r="P555" s="42"/>
      <c r="R555" s="43"/>
      <c r="S555" s="51"/>
    </row>
    <row r="556" spans="2:19" ht="12.75">
      <c r="B556" s="39"/>
      <c r="M556" s="40"/>
      <c r="P556" s="42"/>
      <c r="R556" s="43"/>
      <c r="S556" s="51"/>
    </row>
    <row r="557" spans="2:16" ht="12.75">
      <c r="B557" s="39"/>
      <c r="M557" s="40"/>
      <c r="P557" s="42"/>
    </row>
    <row r="558" spans="2:16" ht="12.75">
      <c r="B558" s="39"/>
      <c r="M558" s="40"/>
      <c r="P558" s="42"/>
    </row>
    <row r="559" spans="2:16" ht="12.75">
      <c r="B559" s="39"/>
      <c r="M559" s="40"/>
      <c r="P559" s="42"/>
    </row>
    <row r="560" spans="13:16" ht="12.75">
      <c r="M560" s="40"/>
      <c r="P560" s="42"/>
    </row>
    <row r="561" spans="13:16" ht="12.75">
      <c r="M561" s="40"/>
      <c r="P561" s="42"/>
    </row>
    <row r="562" spans="13:16" ht="12.75">
      <c r="M562" s="40"/>
      <c r="P562" s="42"/>
    </row>
    <row r="563" spans="13:16" ht="12.75">
      <c r="M563" s="40"/>
      <c r="P563" s="42"/>
    </row>
    <row r="564" spans="13:16" ht="12.75">
      <c r="M564" s="40"/>
      <c r="P564" s="42"/>
    </row>
    <row r="565" spans="13:16" ht="12.75">
      <c r="M565" s="40"/>
      <c r="P565" s="42"/>
    </row>
    <row r="566" spans="13:16" ht="12.75">
      <c r="M566" s="40"/>
      <c r="P566" s="42"/>
    </row>
    <row r="567" spans="13:16" ht="12.75">
      <c r="M567" s="40"/>
      <c r="P567" s="42"/>
    </row>
    <row r="568" spans="13:16" ht="12.75">
      <c r="M568" s="40"/>
      <c r="P568" s="42"/>
    </row>
    <row r="569" ht="12.75">
      <c r="P569" s="42"/>
    </row>
    <row r="570" ht="12.75">
      <c r="P570" s="42"/>
    </row>
    <row r="571" ht="12.75">
      <c r="P571" s="42"/>
    </row>
    <row r="572" ht="12.75">
      <c r="P572" s="42"/>
    </row>
  </sheetData>
  <sheetProtection/>
  <mergeCells count="6">
    <mergeCell ref="A6:A7"/>
    <mergeCell ref="S6:S7"/>
    <mergeCell ref="A2:S2"/>
    <mergeCell ref="A3:S3"/>
    <mergeCell ref="A4:S4"/>
    <mergeCell ref="R1:S1"/>
  </mergeCells>
  <printOptions horizontalCentered="1"/>
  <pageMargins left="0.5118110236220472" right="0.5118110236220472" top="0.984251968503937" bottom="0.7874015748031497" header="0.31496062992125984" footer="0.3937007874015748"/>
  <pageSetup horizontalDpi="600" verticalDpi="600" orientation="portrait" paperSize="9" scale="90" r:id="rId1"/>
  <headerFooter alignWithMargins="0">
    <oddFooter>&amp;CStránka &amp;P&amp;RTab.č.1 Čerpání rozpočtu</oddFooter>
  </headerFooter>
  <rowBreaks count="7" manualBreakCount="7">
    <brk id="63" max="255" man="1"/>
    <brk id="144" max="18" man="1"/>
    <brk id="222" max="18" man="1"/>
    <brk id="309" max="18" man="1"/>
    <brk id="378" max="18" man="1"/>
    <brk id="453" max="18" man="1"/>
    <brk id="51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2015-05-15T07:31:32Z</cp:lastPrinted>
  <dcterms:created xsi:type="dcterms:W3CDTF">2009-01-05T12:05:07Z</dcterms:created>
  <dcterms:modified xsi:type="dcterms:W3CDTF">2015-05-15T07:31:49Z</dcterms:modified>
  <cp:category/>
  <cp:version/>
  <cp:contentType/>
  <cp:contentStatus/>
</cp:coreProperties>
</file>