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2. ZR" sheetId="1" r:id="rId1"/>
    <sheet name="2. ZR vč. PN" sheetId="2" r:id="rId2"/>
    <sheet name="List3" sheetId="3" r:id="rId3"/>
  </sheets>
  <definedNames>
    <definedName name="_xlnm.Print_Titles" localSheetId="0">'2. ZR'!$4:$6</definedName>
    <definedName name="_xlnm.Print_Titles" localSheetId="1">'2. ZR vč. PN'!$4:$6</definedName>
    <definedName name="_xlnm.Print_Area" localSheetId="0">'2. ZR'!$A$1:$AC$148</definedName>
    <definedName name="_xlnm.Print_Area" localSheetId="1">'2. ZR vč. PN'!$A$1:$AC$148</definedName>
  </definedNames>
  <calcPr fullCalcOnLoad="1"/>
</workbook>
</file>

<file path=xl/sharedStrings.xml><?xml version="1.0" encoding="utf-8"?>
<sst xmlns="http://schemas.openxmlformats.org/spreadsheetml/2006/main" count="632" uniqueCount="259">
  <si>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</si>
  <si>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</si>
  <si>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</si>
  <si>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</si>
  <si>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</si>
  <si>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</si>
  <si>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</si>
  <si>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</si>
  <si>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</si>
  <si>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</si>
  <si>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</si>
  <si>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</si>
  <si>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</si>
  <si>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</si>
  <si>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</si>
  <si>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</si>
  <si>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</si>
  <si>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</si>
  <si>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</si>
  <si>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</si>
  <si>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</si>
  <si>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</si>
  <si>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</si>
  <si>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</si>
  <si>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</si>
  <si>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</si>
  <si>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</si>
  <si>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</si>
  <si>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</si>
  <si>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</si>
  <si>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</si>
  <si>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</si>
  <si>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</si>
  <si>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</si>
  <si>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</si>
  <si>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</si>
  <si>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</si>
  <si>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</si>
  <si>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</si>
  <si>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</si>
  <si>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</si>
  <si>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</si>
  <si>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</si>
  <si>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</si>
  <si>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</si>
  <si>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</si>
  <si>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</si>
  <si>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</si>
  <si>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</si>
  <si>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</si>
  <si>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</si>
  <si>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</si>
  <si>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</si>
  <si>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</si>
  <si>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</si>
  <si>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</si>
  <si>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</si>
  <si>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</si>
  <si>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</si>
  <si>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</si>
  <si>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</si>
  <si>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</si>
  <si>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</si>
  <si>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</si>
  <si>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</si>
  <si>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</si>
  <si>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</si>
  <si>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</si>
  <si>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</si>
  <si>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</si>
  <si>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</si>
  <si>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</si>
  <si>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</si>
  <si>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</si>
  <si>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</si>
  <si>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</si>
  <si>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</si>
  <si>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Domov Dědina Opočno</t>
  </si>
  <si>
    <t>Dětský domov, Potštejn,Českých bratří 141</t>
  </si>
  <si>
    <t xml:space="preserve">Galerie výtvarného umění v Náchodě </t>
  </si>
  <si>
    <t>Po 1. ZR pol. 6351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</si>
  <si>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</si>
  <si>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</si>
  <si>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</si>
  <si>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</si>
  <si>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</si>
  <si>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</si>
  <si>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</si>
  <si>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</si>
  <si>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</si>
  <si>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</si>
  <si>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</si>
  <si>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</si>
  <si>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</si>
  <si>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</si>
  <si>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</si>
  <si>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</si>
  <si>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</si>
  <si>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</si>
  <si>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Sdružení ozdr.a léčeben okr.Trutnov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</si>
  <si>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</si>
  <si>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</si>
  <si>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</si>
  <si>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</si>
  <si>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</si>
  <si>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</si>
  <si>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SŠ a ZŠ, Nové Město n.Met., Husovo nám.1218</t>
  </si>
  <si>
    <t>SPŠ, SOŠ a SOU,Nové Město nad Metují,Školní 1377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</si>
  <si>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</si>
  <si>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</si>
  <si>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</si>
  <si>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</si>
  <si>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</si>
  <si>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Impuls HK, centrum podpory umělec.aktivit      </t>
  </si>
  <si>
    <t>Závazné ukazatele rozpočtu příspěvkových organizací na rok 2018 z vlastních prostředků kraje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</si>
  <si>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</si>
  <si>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</si>
  <si>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</si>
  <si>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</si>
  <si>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</si>
  <si>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</si>
  <si>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</si>
  <si>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</si>
  <si>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</si>
  <si>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</si>
  <si>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</si>
  <si>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</si>
  <si>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</si>
  <si>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</si>
  <si>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Obchodní akademie,Náchod,Denisovo nábřeží 673</t>
  </si>
  <si>
    <t>VOŠ st.a SPŠ st.arch.Jana Letzela,Náchod</t>
  </si>
  <si>
    <t>SŠ prop.tvorby a polygr.,Velké Poříčí, Náchodská 285</t>
  </si>
  <si>
    <t>Dětský domov,ZŠ spec. a PrŠ,Jaroměř,Palackého 142</t>
  </si>
  <si>
    <t xml:space="preserve">ZŠ logoped.a MŠ logop.,Choustníkovo Hradiště </t>
  </si>
  <si>
    <t>Školské zařízení pro DVPP KHK, HK, Štefánikova 566</t>
  </si>
  <si>
    <t>SŠ hotel.a spol.str.,Teplice n.M.,Střmenské Podhr.218</t>
  </si>
  <si>
    <t>SŠ oděvní, ekon.a sl.,Červ.Kostelec, 17.listopadu 1197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</si>
  <si>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</si>
  <si>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</si>
  <si>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</si>
  <si>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</si>
  <si>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SŠ zem.a eko.a SOU chlad.a klim.tech.,Kostelec n/O</t>
  </si>
  <si>
    <t>ZŠ a PrŠ, Rychnov nad Kněžnou,Kolowratská 485</t>
  </si>
  <si>
    <t>Gymnázium,SOŠ, SOU a VOŠ, Hořice,Riegrova 1403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</si>
  <si>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</si>
  <si>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</si>
  <si>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</si>
  <si>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</si>
  <si>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Obchodní akademie,Trutnov,Malé náměstí 158</t>
  </si>
  <si>
    <t xml:space="preserve">VOŠ zdr.a Stř.zdr. škola,Trutnov,Procházkova 303 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</si>
  <si>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</si>
  <si>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</si>
  <si>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</si>
  <si>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</si>
  <si>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</si>
  <si>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</si>
  <si>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</si>
  <si>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</si>
  <si>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</si>
  <si>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</si>
  <si>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</si>
  <si>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</si>
  <si>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Po 1. změně rozpočtu pol. 5331</t>
  </si>
  <si>
    <t>Domov U Biřičky Hradec Králové</t>
  </si>
  <si>
    <t xml:space="preserve">Domov sociálních služeb Chotělice  </t>
  </si>
  <si>
    <t>Domov bez bariér Hořice v Podkrkonoší</t>
  </si>
  <si>
    <t>Školské zařízení pro DVPP KHK, HK, Štefánikova 566    (1843tis.z kap.9)</t>
  </si>
  <si>
    <t>Po 2. změně rozpočtu pol. 5331</t>
  </si>
  <si>
    <t>Po 2. ZR pol. 6351</t>
  </si>
  <si>
    <t>Po 2. změně rozpočtu pol. 2122</t>
  </si>
  <si>
    <t>Po 2. zm.rozp. neinv. transfery
pol. 5331</t>
  </si>
  <si>
    <t>Po 2.zm. rozpočtu inv.transf. pol. 6351</t>
  </si>
  <si>
    <t>Gymnázium B.Němcové, HK, Pospíšilova tř.324     (67tis.BV z kap.9)</t>
  </si>
  <si>
    <t>Gymnázium J.K.Tyla,HK,Tylovo nábřeží 682           (92tis.BV z kap.9)</t>
  </si>
  <si>
    <t>Gymnázium, Nový Bydžov, Komenského 77             (23tis.BV z kap.9)</t>
  </si>
  <si>
    <t>SOŠ veterinární,HK-Kukleny,Pražská 68              (42tis.BV z kap.9)</t>
  </si>
  <si>
    <t>SPŠ, SOŠ a SOU, HK, Hradební 1029                   (145tis.BV z kap.9)</t>
  </si>
  <si>
    <t>SOŠ a SOU, HK, Vocelova 1338                      (131tis.BV z kap.9)</t>
  </si>
  <si>
    <t>VOŠ a SOŠ, Nový Bydžov,J. Maláta 1869          (37tis.BV z kap.9)</t>
  </si>
  <si>
    <t>OA,SOŠ a JŠ s právem st.jaz.zk.,HK,Pospíšilova 365    (158,5tis.BV z kap.9)</t>
  </si>
  <si>
    <t>VOŠ zdravotnická a SZŠ, HK , Komenského 234     (56tis.BV z kap.9)</t>
  </si>
  <si>
    <t>Stř.uměleckoprům.šk.HNN, HK, 17.listopadu 1202 (20tis.BV z kap.9)</t>
  </si>
  <si>
    <t>SŠ služeb,obchodu a gastronomie, HK, Velká 3     (104tis.BV z kap.9)</t>
  </si>
  <si>
    <t>SŠ profesní přípravy,Hradec Králové,17.listopadu 1212    (46tis.BV z kap.9)</t>
  </si>
  <si>
    <t>MŠ, Speciální ZŠ a Praktická škola,HK,Hradecká 1231    (24,5tis.BV z kap.9)</t>
  </si>
  <si>
    <t>Dětský domov a ŠJ, Nechanice,Hrádecká 267     (25tis.BV z kap.9)</t>
  </si>
  <si>
    <t>ZŠ, Nový Bydžov, F. Palackého 1240                   (37tis.BV z kap.9)</t>
  </si>
  <si>
    <t>ZŠ a MŠ při Fakultní nemocnici, HK,Sokolská tř. 581(40tis.BV z kap.9)</t>
  </si>
  <si>
    <t>Domov mládeže,internát a ŠJ, HK,Vocelova 1469/5 (63tis.BV z kap.9)</t>
  </si>
  <si>
    <t>Gymnázium,Broumov,Hradební 218                  (70tis.BV z kap.9)</t>
  </si>
  <si>
    <t>Jiráskovo gymnázium,Náchod,Řezníčkova 451     (186tis.BV z kap.9)</t>
  </si>
  <si>
    <t>Obchodní akademie,Náchod,Denisovo nábřeží 673 (46tis.BV z kap.9)</t>
  </si>
  <si>
    <t>VOŠ st.a SPŠ st.arch.Jana Letzela,Náchod     (6tis.BV z kap.9)</t>
  </si>
  <si>
    <t>SŠ a ZŠ, Nové Město n.Met., Husovo nám.1218     (37tis.BV z kap.9)</t>
  </si>
  <si>
    <t>Dětský domov,ZŠ spec. a PrŠ,Jaroměř,Palackého 142    (39tis.BV z kap.9)</t>
  </si>
  <si>
    <t>ZŠ logoped.a MŠ logop.,Choustníkovo Hradiště    (25tis.BV z kap.9)</t>
  </si>
  <si>
    <t>SPŠ,Hronov,Hostovského 910          (22tis.BV z kap.9)</t>
  </si>
  <si>
    <t>SŠ hotel.a spol.str.,Teplice n.M.,Střmenské Podhr.218      (90tis.BV z kap.9)</t>
  </si>
  <si>
    <t>SPŠ, SOŠ a SOU,Nové Město nad Metují,Školní 1377    (20tis.BV z kap.9)</t>
  </si>
  <si>
    <t>ZŠ,Broumov,Kladská 164       (22tis.BV z kap.9)</t>
  </si>
  <si>
    <t>PrŠ, ZŠ a MŠ Josefa  Zemana,Náchod,Jiráskova 461    (23tis.BV z kap.9)</t>
  </si>
  <si>
    <t>Gymnázium F.M.Pelcla,Rychnov n.K.,Hrdinů odboje 36     (70tis.BV z kap.9)</t>
  </si>
  <si>
    <t>Gymnázium,Dobruška,Pulická 779        (47tis.BV z kap.9)</t>
  </si>
  <si>
    <t>SPŠ elektrotech.a inf.techn.,Dobruška, Čs.odboje 670     (57tis.BV z kap.9)</t>
  </si>
  <si>
    <t>OA T.G.Masaryka,Kostelec n.O.,Komenského 522 (75tis.BV z kap.9)</t>
  </si>
  <si>
    <t>SŠ zem.a eko.a SOU chlad.a klim.tech.,Kostelec n/O    (23tis.BV z kap.9)</t>
  </si>
  <si>
    <t>Základní škola,Dobruška,Opočenská 115     (38tis.BV z kap.9)</t>
  </si>
  <si>
    <t>ZŠ a PrŠ, Rychnov nad Kněžnou,Kolowratská 485  (39tis.BV z kap.9)</t>
  </si>
  <si>
    <t>Gymnázium,SOŠ, SOU a VOŠ, Hořice,Riegrova 1403    (37tis.BV z kap.9)</t>
  </si>
  <si>
    <t>G a SOŠ pedagog.,Nová Paka,Kumburská 740 (110tis.BV z kap.9)</t>
  </si>
  <si>
    <t>Masarykova obch.akademie,Jičín,17.listopadu 220 (21tis.BV z kap.9)</t>
  </si>
  <si>
    <t>VOŠ a SPŠ,Jičín,Pod Koželuhy 100       (400tis.KV z kap.21; 90tis.BV z kap.9)</t>
  </si>
  <si>
    <t>SŠ gastronomie a sl.,Nová Paka,Masarykovo nám.2    (30tis.BV z kap.9)</t>
  </si>
  <si>
    <t>Střední škola řemesel a Základní škola, Hořice   (18tis.BV z kap.9)</t>
  </si>
  <si>
    <t>Gymnázium,Dvůr Králové nad Labem,nám.Odboje 304   (45tis.BV z kap.9)</t>
  </si>
  <si>
    <t>Gymnázium,Trutnov,Jiráskovo náměstí 325     (49tis.BV z kap.9)</t>
  </si>
  <si>
    <t>Gymnázium,Vrchlabí,Komenského 586    (36tis.BV z kap.9)</t>
  </si>
  <si>
    <t>VOŠ zdr.a Stř.zdr.škola,Trutnov,Procházkova 303 (300tis.BV z kap.15; 101,5tis.BV z Kap.9)</t>
  </si>
  <si>
    <t>Česká les.akademie Trutnov - SŠ a VOŠ, Lesnická 9 (32tis.BV z kap.9)</t>
  </si>
  <si>
    <t>SŠ inf.a služeb,Dvůr Králové n.L.,E.Krásnohorské 2069  (39tis.BV z kap.9)</t>
  </si>
  <si>
    <t>SPŠ,Trutnov,Školní 101      (57tis.BV z kap.9)</t>
  </si>
  <si>
    <t>SOŠ a SOU,Trutnov,Volanovská 243     (84tis.BV z kap.9)</t>
  </si>
  <si>
    <t>Střední škola a Základní škola Sluneční, Hostinné (39,5tis.BV z kap.9)</t>
  </si>
  <si>
    <t>Dětský domov a ŠJ,Vrchlabí,Žižkova 497     (52tis.BV z kap.9)</t>
  </si>
  <si>
    <t>Dětský domov, ZŠ a ŠJ,Dolní Lánov 240      (73tis.BV z kap.9)</t>
  </si>
  <si>
    <t>ZŠ a MŠ,Vrchlabí,Krkonošská 230     (9,6tis.BV z kap.9)</t>
  </si>
  <si>
    <t>SŠ technická a řemeslná,Nový Bydžov, M.Tyrše 112    (132tis.BV z kap.9)</t>
  </si>
  <si>
    <t>SŠ řemeslná,Jaroměř,Studničkova 260     (9tis.BV z kap.9)</t>
  </si>
  <si>
    <t>SOU,Lázně Bělohrad,Zámecká 478      (23tis.BV z kap.9)</t>
  </si>
  <si>
    <t>VOŠ a SPŠ, Rychnov nad Kněžnou, U Stadionu 1166     (35tis.BV z kap.9)</t>
  </si>
  <si>
    <t>CIRI  Hradec Králové - kofi a předfi      (BV 365tis.z kap.28, 340tis.z kap.02)  802 tis. BV z kap. 13</t>
  </si>
  <si>
    <t>SŠ strojírenská a elektrotechnická, Nová Paka, Kumburská 846</t>
  </si>
  <si>
    <t>Zemědělská akademie Hořice - SŠ a VOŠ, Riegrova 1403</t>
  </si>
  <si>
    <t>SŠ průmyslová, textilní a polygrafická, Hronov, Hostovského 910</t>
  </si>
  <si>
    <t>SPŠ stavební a OA Náchod, Pražská 931</t>
  </si>
  <si>
    <t>SŠ gastronomie a služeb, Trutnov, Volanovská 243</t>
  </si>
  <si>
    <t>Spec.ZŠ Augustina Bartoše,Úpice,Nábř.pplk.A.B.660    (10tis.BV z kap.9)</t>
  </si>
  <si>
    <t>v tom:  (v 1.sl.1843 tis.BV z kap.9, 300tis.BV z kap.15, 3219,6tis.BV z kap.9; v 6.sl.400tis.KV z kap.21)</t>
  </si>
  <si>
    <t>Střední škola zahradnická,Kopidlno, nám.Hilmarovo 1    (41tis.BV z kap.9)   720,65tis.BV z kap.21</t>
  </si>
  <si>
    <t>Muzeum Náchodska</t>
  </si>
  <si>
    <t>CIRI  Hradec Králové - kofi a předfi      (BV 365tis.z kap.28, 340tis.z kap.02)  802 tis. BV z kap. 13;  877,53tis.z kap. 39</t>
  </si>
  <si>
    <t>SOŠ veterinární,HK-Kukleny,Pražská 68 (42tis.BV z kap.9) 9tis.BV z kap.9</t>
  </si>
  <si>
    <t>SŠ profesní přípravy,Hradec Králové,17.listopadu 1212    (46tis.BV z kap.9)  15tis.BV z kap.9</t>
  </si>
  <si>
    <t>MŠ, Speciální ZŠ a Praktická škola,HK,Hradecká 1231    (24,5tis.BV z kap.9)   15tis.BV z kap.9</t>
  </si>
  <si>
    <t>VOŠ, SŠ, ZŠ a MŠ,HK,Štefánikova 549    15tis.BV z kap.9</t>
  </si>
  <si>
    <t>ZŠ a MŠ při Fakultní nemocnici, HK,Sokolská tř. 581(40tis.BV z kap.9)   10tis.BV z kap.9</t>
  </si>
  <si>
    <t>Domov mládeže,internát a ŠJ, HK,Vocelova 1469/5 (63tis.BV z kap.9)  10tis.BV z kap.9</t>
  </si>
  <si>
    <t>Dětský domov,ZŠ spec. a PrŠ,Jaroměř,Palackého 142    (39tis.BV z kap.9)    5tis.BV z kap.9</t>
  </si>
  <si>
    <t>Dětský domov,MŠ a ŠJ,Broumov,tř.Masarykova 246   10tis.BV z kap.9</t>
  </si>
  <si>
    <t>SŠ hotel.a spol.str.,Teplice n.M.,Střmenské Podhr.218      (90tis.BV z kap.9)   10tis.BV z kap.9</t>
  </si>
  <si>
    <t>ZŠ,Broumov,Kladská 164       (22tis.BV z kap.9)   9tis.BV z kap.9</t>
  </si>
  <si>
    <t>Gymnázium F.M.Pelcla,Rychnov n.K.,Hrdinů odboje 36     (70tis.BV z kap.9)   15tis.BV z kap.9</t>
  </si>
  <si>
    <t>Základní škola,Dobruška,Opočenská 115 (38tis.BV z kap.9)  15tis.BV z kap.9</t>
  </si>
  <si>
    <t>ZŠ a PrŠ, Rychnov nad Kněžnou,Kolowratská 485  (39tis.BV z kap.9)   12tis.BV z kap.9</t>
  </si>
  <si>
    <t>Lepařovo gymnázium,Jičín,Jiráskova 30   3tis.BV z kap.9</t>
  </si>
  <si>
    <t>G a SOŠ pedagog.,Nová Paka,Kumburská 740 (110tis.BV z kap.9)  12tis.BV z kap.9</t>
  </si>
  <si>
    <t>Obchodní akademie,Trutnov,Malé náměstí 158   13tis.BV z kap.9</t>
  </si>
  <si>
    <t>VOŠ zdr.a Stř.zdr.škola,Trutnov,Procházkova 303 (300tis.BV z kap.15; 101,5tis.BV z Kap.9)   3tis.BV z kap.9</t>
  </si>
  <si>
    <t>Střední škola a Základní škola Sluneční, Hostinné (39,5tis.BV z kap.9)  4tis.BV z kap.9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</si>
</sst>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/>
    </xf>
    <xf numFmtId="44" fontId="10" fillId="0" borderId="11" xfId="38" applyFont="1" applyBorder="1" applyAlignment="1">
      <alignment wrapText="1"/>
    </xf>
    <xf numFmtId="4" fontId="0" fillId="0" borderId="10" xfId="38" applyNumberFormat="1" applyFont="1" applyFill="1" applyBorder="1" applyAlignment="1">
      <alignment/>
    </xf>
    <xf numFmtId="4" fontId="0" fillId="0" borderId="15" xfId="3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 wrapText="1"/>
    </xf>
    <xf numFmtId="4" fontId="0" fillId="0" borderId="19" xfId="38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5" sqref="D1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8.7109375" style="0" customWidth="1"/>
    <col min="4" max="4" width="10.28125" style="0" customWidth="1"/>
    <col min="5" max="5" width="9.7109375" style="0" customWidth="1"/>
    <col min="6" max="6" width="7.5742187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8.7109375" style="0" customWidth="1"/>
    <col min="13" max="13" width="0" style="0" hidden="1" customWidth="1"/>
    <col min="14" max="14" width="9.851562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73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72</v>
      </c>
    </row>
    <row r="2" spans="1:29" ht="21" customHeight="1">
      <c r="A2" s="97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46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46</v>
      </c>
    </row>
    <row r="4" spans="1:29" ht="13.5" customHeight="1" thickBot="1">
      <c r="A4" s="91" t="s">
        <v>17</v>
      </c>
      <c r="B4" s="93" t="s">
        <v>40</v>
      </c>
      <c r="C4" s="95" t="s">
        <v>0</v>
      </c>
      <c r="D4" s="85" t="s">
        <v>68</v>
      </c>
      <c r="E4" s="86"/>
      <c r="F4" s="86"/>
      <c r="G4" s="86"/>
      <c r="H4" s="87"/>
      <c r="I4" s="14"/>
      <c r="J4" s="85" t="s">
        <v>75</v>
      </c>
      <c r="K4" s="86"/>
      <c r="L4" s="87"/>
      <c r="M4" s="15"/>
      <c r="N4" s="88" t="s">
        <v>110</v>
      </c>
      <c r="O4" s="89"/>
      <c r="P4" s="90"/>
      <c r="Q4" s="30"/>
      <c r="R4" s="91" t="s">
        <v>17</v>
      </c>
      <c r="S4" s="93" t="s">
        <v>40</v>
      </c>
      <c r="T4" s="95" t="s">
        <v>0</v>
      </c>
      <c r="U4" s="88" t="s">
        <v>93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99"/>
      <c r="B5" s="99"/>
      <c r="C5" s="100"/>
      <c r="D5" s="16" t="s">
        <v>162</v>
      </c>
      <c r="E5" s="16" t="s">
        <v>71</v>
      </c>
      <c r="F5" s="16" t="s">
        <v>74</v>
      </c>
      <c r="G5" s="17" t="s">
        <v>69</v>
      </c>
      <c r="H5" s="16" t="s">
        <v>167</v>
      </c>
      <c r="I5" s="16"/>
      <c r="J5" s="18" t="s">
        <v>80</v>
      </c>
      <c r="K5" s="18" t="s">
        <v>76</v>
      </c>
      <c r="L5" s="18" t="s">
        <v>168</v>
      </c>
      <c r="M5" s="18"/>
      <c r="N5" s="19" t="s">
        <v>81</v>
      </c>
      <c r="O5" s="16" t="s">
        <v>71</v>
      </c>
      <c r="P5" s="19" t="s">
        <v>169</v>
      </c>
      <c r="Q5" s="19"/>
      <c r="R5" s="92"/>
      <c r="S5" s="94"/>
      <c r="T5" s="96"/>
      <c r="U5" s="27" t="s">
        <v>94</v>
      </c>
      <c r="V5" s="27" t="s">
        <v>70</v>
      </c>
      <c r="W5" s="27" t="s">
        <v>74</v>
      </c>
      <c r="X5" s="27" t="s">
        <v>170</v>
      </c>
      <c r="Y5" s="18"/>
      <c r="Z5" s="27" t="s">
        <v>82</v>
      </c>
      <c r="AA5" s="27" t="s">
        <v>70</v>
      </c>
      <c r="AB5" s="27" t="s">
        <v>74</v>
      </c>
      <c r="AC5" s="27" t="s">
        <v>171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22</v>
      </c>
      <c r="D7" s="42">
        <f>D9</f>
        <v>21152.9</v>
      </c>
      <c r="E7" s="42">
        <f aca="true" t="shared" si="0" ref="E7:P7">E9</f>
        <v>4147.1</v>
      </c>
      <c r="F7" s="42">
        <f t="shared" si="0"/>
        <v>0</v>
      </c>
      <c r="G7" s="42">
        <f t="shared" si="0"/>
        <v>0</v>
      </c>
      <c r="H7" s="42">
        <f t="shared" si="0"/>
        <v>25300</v>
      </c>
      <c r="I7" s="42">
        <f t="shared" si="0"/>
        <v>0</v>
      </c>
      <c r="J7" s="42">
        <f t="shared" si="0"/>
        <v>6000</v>
      </c>
      <c r="K7" s="42">
        <f t="shared" si="0"/>
        <v>-6000</v>
      </c>
      <c r="L7" s="42">
        <f t="shared" si="0"/>
        <v>0</v>
      </c>
      <c r="M7" s="42">
        <f t="shared" si="0"/>
        <v>0</v>
      </c>
      <c r="N7" s="42">
        <f t="shared" si="0"/>
        <v>4.6</v>
      </c>
      <c r="O7" s="42">
        <f t="shared" si="0"/>
        <v>105.55</v>
      </c>
      <c r="P7" s="42">
        <f t="shared" si="0"/>
        <v>110.14999999999999</v>
      </c>
      <c r="Q7" s="42"/>
      <c r="R7" s="61"/>
      <c r="S7" s="62"/>
      <c r="T7" s="42" t="s">
        <v>88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47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108</v>
      </c>
      <c r="D9" s="44">
        <v>21152.9</v>
      </c>
      <c r="E9" s="44">
        <f>4147.1</f>
        <v>4147.1</v>
      </c>
      <c r="F9" s="45"/>
      <c r="G9" s="44"/>
      <c r="H9" s="44">
        <f>D9+E9+F9+G9</f>
        <v>25300</v>
      </c>
      <c r="I9" s="44"/>
      <c r="J9" s="44">
        <v>6000</v>
      </c>
      <c r="K9" s="44">
        <v>-6000</v>
      </c>
      <c r="L9" s="44">
        <f>J9+K9</f>
        <v>0</v>
      </c>
      <c r="M9" s="44"/>
      <c r="N9" s="44">
        <v>4.6</v>
      </c>
      <c r="O9" s="44">
        <f>105.55</f>
        <v>105.55</v>
      </c>
      <c r="P9" s="44">
        <f>N9+O9</f>
        <v>110.14999999999999</v>
      </c>
      <c r="Q9" s="44"/>
      <c r="R9" s="63">
        <v>2212</v>
      </c>
      <c r="S9" s="64">
        <v>901</v>
      </c>
      <c r="T9" s="47" t="s">
        <v>108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101</v>
      </c>
      <c r="D10" s="42">
        <f>D13+D12</f>
        <v>50547</v>
      </c>
      <c r="E10" s="42">
        <f aca="true" t="shared" si="1" ref="E10:P10">E13+E12</f>
        <v>5000</v>
      </c>
      <c r="F10" s="42">
        <f t="shared" si="1"/>
        <v>0</v>
      </c>
      <c r="G10" s="42">
        <f t="shared" si="1"/>
        <v>802</v>
      </c>
      <c r="H10" s="42">
        <f t="shared" si="1"/>
        <v>56349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0</v>
      </c>
      <c r="P10" s="42">
        <f t="shared" si="1"/>
        <v>268.8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115</v>
      </c>
      <c r="D12" s="44">
        <v>33842</v>
      </c>
      <c r="E12" s="44">
        <f>5000</f>
        <v>5000</v>
      </c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/>
      <c r="P12" s="44">
        <f>N12+O12</f>
        <v>268.8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230</v>
      </c>
      <c r="D13" s="55">
        <v>16705</v>
      </c>
      <c r="E13" s="48"/>
      <c r="F13" s="44"/>
      <c r="G13" s="44">
        <f>802</f>
        <v>802</v>
      </c>
      <c r="H13" s="44">
        <f>D13+E13+F13+G13</f>
        <v>17507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23</v>
      </c>
      <c r="D14" s="51">
        <f>SUM(D16:D20)</f>
        <v>232794</v>
      </c>
      <c r="E14" s="51">
        <f aca="true" t="shared" si="2" ref="E14:P14">SUM(E16:E20)</f>
        <v>0</v>
      </c>
      <c r="F14" s="51">
        <f t="shared" si="2"/>
        <v>0</v>
      </c>
      <c r="G14" s="51">
        <f t="shared" si="2"/>
        <v>0</v>
      </c>
      <c r="H14" s="51">
        <f t="shared" si="2"/>
        <v>232794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89</v>
      </c>
      <c r="U14" s="51">
        <f>SUM(U16:U20)</f>
        <v>6201.91</v>
      </c>
      <c r="V14" s="51">
        <f>SUM(V16:V20)</f>
        <v>1472</v>
      </c>
      <c r="W14" s="51">
        <f>SUM(W16:W20)</f>
        <v>0</v>
      </c>
      <c r="X14" s="51">
        <f>SUM(X16:X20)</f>
        <v>7673.91</v>
      </c>
      <c r="Y14" s="51"/>
      <c r="Z14" s="51">
        <f>SUM(Z16:Z20)</f>
        <v>45907.16</v>
      </c>
      <c r="AA14" s="51">
        <f>SUM(AA16:AA20)</f>
        <v>-1822</v>
      </c>
      <c r="AB14" s="51">
        <f>SUM(AB16:AB20)</f>
        <v>0</v>
      </c>
      <c r="AC14" s="51">
        <f>SUM(AC16:AC20)</f>
        <v>44085.16</v>
      </c>
    </row>
    <row r="15" spans="1:29" ht="12.75">
      <c r="A15" s="36"/>
      <c r="B15" s="4"/>
      <c r="C15" s="6" t="s">
        <v>47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99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/>
      <c r="L16" s="44">
        <f>J16+K16</f>
        <v>0</v>
      </c>
      <c r="M16" s="44"/>
      <c r="N16" s="44">
        <v>8270</v>
      </c>
      <c r="O16" s="44"/>
      <c r="P16" s="44">
        <f>N16+O16</f>
        <v>8270</v>
      </c>
      <c r="Q16" s="44"/>
      <c r="R16" s="63">
        <v>3526</v>
      </c>
      <c r="S16" s="4">
        <v>507</v>
      </c>
      <c r="T16" s="52" t="s">
        <v>29</v>
      </c>
      <c r="U16" s="44">
        <v>757</v>
      </c>
      <c r="V16" s="44">
        <f>1822</f>
        <v>1822</v>
      </c>
      <c r="W16" s="44"/>
      <c r="X16" s="44">
        <f>SUM(U16:W16)</f>
        <v>2579</v>
      </c>
      <c r="Y16" s="44"/>
      <c r="Z16" s="44">
        <v>16222</v>
      </c>
      <c r="AA16" s="44">
        <f>-1822</f>
        <v>-1822</v>
      </c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30</v>
      </c>
      <c r="D17" s="44">
        <v>9800</v>
      </c>
      <c r="E17" s="44"/>
      <c r="F17" s="44"/>
      <c r="G17" s="44"/>
      <c r="H17" s="44">
        <f>D17+E17+F17+G17</f>
        <v>9800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63">
        <v>3524</v>
      </c>
      <c r="S17" s="4">
        <v>508</v>
      </c>
      <c r="T17" s="52" t="s">
        <v>30</v>
      </c>
      <c r="U17" s="44">
        <v>5444.91</v>
      </c>
      <c r="V17" s="44">
        <f>-350</f>
        <v>-350</v>
      </c>
      <c r="W17" s="44"/>
      <c r="X17" s="44">
        <f>SUM(U17:W17)</f>
        <v>5094.91</v>
      </c>
      <c r="Y17" s="44"/>
      <c r="Z17" s="44"/>
      <c r="AA17" s="44"/>
      <c r="AB17" s="44"/>
      <c r="AC17" s="44">
        <f>SUM(Z17:AB17)</f>
        <v>0</v>
      </c>
    </row>
    <row r="18" spans="1:29" ht="12.75" customHeight="1">
      <c r="A18" s="36">
        <v>3524</v>
      </c>
      <c r="B18" s="4">
        <v>509</v>
      </c>
      <c r="C18" s="7" t="s">
        <v>28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63">
        <v>3524</v>
      </c>
      <c r="S18" s="4">
        <v>509</v>
      </c>
      <c r="T18" s="52" t="s">
        <v>28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111</v>
      </c>
      <c r="D19" s="44">
        <v>174570</v>
      </c>
      <c r="E19" s="44"/>
      <c r="F19" s="44"/>
      <c r="G19" s="44"/>
      <c r="H19" s="44">
        <f>D19+E19+F19+G19</f>
        <v>174570</v>
      </c>
      <c r="I19" s="44"/>
      <c r="J19" s="44"/>
      <c r="K19" s="44"/>
      <c r="L19" s="44">
        <f>J19+K19</f>
        <v>0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63">
        <v>3533</v>
      </c>
      <c r="S19" s="4">
        <v>511</v>
      </c>
      <c r="T19" s="52" t="s">
        <v>45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/>
      <c r="G20" s="44"/>
      <c r="H20" s="44">
        <f>D20+E20+F20+G20</f>
        <v>6535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24</v>
      </c>
      <c r="D21" s="42">
        <f>SUM(D23:D32)</f>
        <v>184583.94000000003</v>
      </c>
      <c r="E21" s="42">
        <f aca="true" t="shared" si="3" ref="E21:P21">SUM(E23:E32)</f>
        <v>-533.6</v>
      </c>
      <c r="F21" s="42">
        <f t="shared" si="3"/>
        <v>0</v>
      </c>
      <c r="G21" s="42">
        <f t="shared" si="3"/>
        <v>0</v>
      </c>
      <c r="H21" s="42">
        <f t="shared" si="3"/>
        <v>184050.34000000003</v>
      </c>
      <c r="I21" s="42">
        <f t="shared" si="3"/>
        <v>0</v>
      </c>
      <c r="J21" s="42">
        <f t="shared" si="3"/>
        <v>0</v>
      </c>
      <c r="K21" s="42">
        <f t="shared" si="3"/>
        <v>3760</v>
      </c>
      <c r="L21" s="42">
        <f t="shared" si="3"/>
        <v>3760</v>
      </c>
      <c r="M21" s="42">
        <f t="shared" si="3"/>
        <v>0</v>
      </c>
      <c r="N21" s="42">
        <f t="shared" si="3"/>
        <v>9053.099999999999</v>
      </c>
      <c r="O21" s="42">
        <f t="shared" si="3"/>
        <v>526.4</v>
      </c>
      <c r="P21" s="42">
        <f t="shared" si="3"/>
        <v>9579.5</v>
      </c>
      <c r="Q21" s="42"/>
      <c r="R21" s="61"/>
      <c r="S21" s="62"/>
      <c r="T21" s="42" t="s">
        <v>90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2348</v>
      </c>
      <c r="AA21" s="42">
        <f>SUM(AA23:AA32)</f>
        <v>0</v>
      </c>
      <c r="AB21" s="42">
        <f>SUM(AB23:AB32)</f>
        <v>0</v>
      </c>
      <c r="AC21" s="42">
        <f>SUM(AC23:AC32)</f>
        <v>2348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1"/>
      <c r="S22" s="62"/>
      <c r="T22" s="46" t="s">
        <v>47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22320.1</v>
      </c>
      <c r="E23" s="44">
        <f>-1200</f>
        <v>-1200</v>
      </c>
      <c r="F23" s="44"/>
      <c r="G23" s="44"/>
      <c r="H23" s="44">
        <f>D23+E23+F23+G23</f>
        <v>21120.1</v>
      </c>
      <c r="I23" s="44"/>
      <c r="J23" s="44"/>
      <c r="K23" s="44">
        <f>1200</f>
        <v>1200</v>
      </c>
      <c r="L23" s="44">
        <f aca="true" t="shared" si="4" ref="L23:L32">J23+K23</f>
        <v>1200</v>
      </c>
      <c r="M23" s="44"/>
      <c r="N23" s="44">
        <v>751.1</v>
      </c>
      <c r="O23" s="44">
        <v>3</v>
      </c>
      <c r="P23" s="44">
        <f aca="true" t="shared" si="5" ref="P23:P32">N23+O23</f>
        <v>754.1</v>
      </c>
      <c r="Q23" s="44"/>
      <c r="R23" s="6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4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79</v>
      </c>
      <c r="D24" s="44">
        <v>6953.3</v>
      </c>
      <c r="E24" s="44"/>
      <c r="F24" s="44"/>
      <c r="G24" s="44"/>
      <c r="H24" s="44">
        <f aca="true" t="shared" si="8" ref="H24:H32">D24+E24+F24+G24</f>
        <v>6953.3</v>
      </c>
      <c r="I24" s="44"/>
      <c r="J24" s="44"/>
      <c r="K24" s="44"/>
      <c r="L24" s="44">
        <f t="shared" si="4"/>
        <v>0</v>
      </c>
      <c r="M24" s="44"/>
      <c r="N24" s="44">
        <v>224</v>
      </c>
      <c r="O24" s="44">
        <v>-44</v>
      </c>
      <c r="P24" s="44">
        <f t="shared" si="5"/>
        <v>180</v>
      </c>
      <c r="Q24" s="44"/>
      <c r="R24" s="6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6"/>
        <v>880</v>
      </c>
      <c r="Y24" s="44"/>
      <c r="Z24" s="44"/>
      <c r="AA24" s="44"/>
      <c r="AB24" s="44"/>
      <c r="AC24" s="44">
        <f t="shared" si="7"/>
        <v>0</v>
      </c>
    </row>
    <row r="25" spans="1:29" ht="12.75">
      <c r="A25" s="36">
        <v>3315</v>
      </c>
      <c r="B25" s="4">
        <v>603</v>
      </c>
      <c r="C25" s="40" t="s">
        <v>100</v>
      </c>
      <c r="D25" s="44">
        <v>40305.5</v>
      </c>
      <c r="E25" s="44">
        <f>526.4-120</f>
        <v>406.4</v>
      </c>
      <c r="F25" s="44"/>
      <c r="G25" s="44"/>
      <c r="H25" s="44">
        <f t="shared" si="8"/>
        <v>40711.9</v>
      </c>
      <c r="I25" s="44"/>
      <c r="J25" s="44"/>
      <c r="K25" s="44">
        <f>120+2400</f>
        <v>2520</v>
      </c>
      <c r="L25" s="44">
        <f t="shared" si="4"/>
        <v>2520</v>
      </c>
      <c r="M25" s="44"/>
      <c r="N25" s="44">
        <v>659.6</v>
      </c>
      <c r="O25" s="44">
        <v>526.4</v>
      </c>
      <c r="P25" s="44">
        <f t="shared" si="5"/>
        <v>1186</v>
      </c>
      <c r="Q25" s="44"/>
      <c r="R25" s="63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4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48</v>
      </c>
      <c r="D26" s="44">
        <v>58344.6</v>
      </c>
      <c r="E26" s="44"/>
      <c r="F26" s="44"/>
      <c r="G26" s="44"/>
      <c r="H26" s="44">
        <f t="shared" si="8"/>
        <v>58344.6</v>
      </c>
      <c r="I26" s="44"/>
      <c r="J26" s="44"/>
      <c r="K26" s="44"/>
      <c r="L26" s="44">
        <f t="shared" si="4"/>
        <v>0</v>
      </c>
      <c r="M26" s="44"/>
      <c r="N26" s="44">
        <v>4424</v>
      </c>
      <c r="O26" s="44">
        <v>-5.8</v>
      </c>
      <c r="P26" s="44">
        <f t="shared" si="5"/>
        <v>4418.2</v>
      </c>
      <c r="Q26" s="44"/>
      <c r="R26" s="63">
        <v>3314</v>
      </c>
      <c r="S26" s="4">
        <v>604</v>
      </c>
      <c r="T26" s="47" t="s">
        <v>48</v>
      </c>
      <c r="U26" s="44"/>
      <c r="V26" s="44"/>
      <c r="W26" s="44"/>
      <c r="X26" s="44">
        <f t="shared" si="6"/>
        <v>0</v>
      </c>
      <c r="Y26" s="44"/>
      <c r="Z26" s="44">
        <v>1500</v>
      </c>
      <c r="AA26" s="44"/>
      <c r="AB26" s="44"/>
      <c r="AC26" s="44">
        <f t="shared" si="7"/>
        <v>1500</v>
      </c>
    </row>
    <row r="27" spans="1:29" ht="12.75">
      <c r="A27" s="36">
        <v>3319</v>
      </c>
      <c r="B27" s="4">
        <v>605</v>
      </c>
      <c r="C27" s="8" t="s">
        <v>113</v>
      </c>
      <c r="D27" s="44">
        <v>5256.4</v>
      </c>
      <c r="E27" s="44">
        <f>300</f>
        <v>300</v>
      </c>
      <c r="F27" s="44"/>
      <c r="G27" s="44"/>
      <c r="H27" s="44">
        <f t="shared" si="8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5"/>
        <v>65.7</v>
      </c>
      <c r="Q27" s="44"/>
      <c r="R27" s="63">
        <v>3319</v>
      </c>
      <c r="S27" s="4">
        <v>605</v>
      </c>
      <c r="T27" s="47" t="s">
        <v>37</v>
      </c>
      <c r="U27" s="44">
        <v>130</v>
      </c>
      <c r="V27" s="44"/>
      <c r="W27" s="44"/>
      <c r="X27" s="44">
        <f t="shared" si="6"/>
        <v>130</v>
      </c>
      <c r="Y27" s="44"/>
      <c r="Z27" s="44">
        <v>270</v>
      </c>
      <c r="AA27" s="44"/>
      <c r="AB27" s="44"/>
      <c r="AC27" s="44">
        <f t="shared" si="7"/>
        <v>270</v>
      </c>
    </row>
    <row r="28" spans="1:29" ht="12.75">
      <c r="A28" s="36">
        <v>3319</v>
      </c>
      <c r="B28" s="4">
        <v>606</v>
      </c>
      <c r="C28" s="8" t="s">
        <v>18</v>
      </c>
      <c r="D28" s="44">
        <v>11786.6</v>
      </c>
      <c r="E28" s="44"/>
      <c r="F28" s="44"/>
      <c r="G28" s="44"/>
      <c r="H28" s="44">
        <f t="shared" si="8"/>
        <v>11786.6</v>
      </c>
      <c r="I28" s="44"/>
      <c r="J28" s="44"/>
      <c r="K28" s="44"/>
      <c r="L28" s="44">
        <f t="shared" si="4"/>
        <v>0</v>
      </c>
      <c r="M28" s="44"/>
      <c r="N28" s="44">
        <v>458.2</v>
      </c>
      <c r="O28" s="44">
        <v>30.7</v>
      </c>
      <c r="P28" s="44">
        <f t="shared" si="5"/>
        <v>488.9</v>
      </c>
      <c r="Q28" s="44"/>
      <c r="R28" s="63">
        <v>3319</v>
      </c>
      <c r="S28" s="4">
        <v>606</v>
      </c>
      <c r="T28" s="47" t="s">
        <v>18</v>
      </c>
      <c r="U28" s="44"/>
      <c r="V28" s="44"/>
      <c r="W28" s="44"/>
      <c r="X28" s="44">
        <f t="shared" si="6"/>
        <v>0</v>
      </c>
      <c r="Y28" s="44"/>
      <c r="Z28" s="44"/>
      <c r="AA28" s="44"/>
      <c r="AB28" s="44"/>
      <c r="AC28" s="44">
        <f t="shared" si="7"/>
        <v>0</v>
      </c>
    </row>
    <row r="29" spans="1:29" ht="12.75">
      <c r="A29" s="36">
        <v>3319</v>
      </c>
      <c r="B29" s="4">
        <v>607</v>
      </c>
      <c r="C29" s="8" t="s">
        <v>98</v>
      </c>
      <c r="D29" s="44">
        <v>6060.7</v>
      </c>
      <c r="E29" s="44"/>
      <c r="F29" s="44"/>
      <c r="G29" s="44"/>
      <c r="H29" s="44">
        <f t="shared" si="8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/>
      <c r="P29" s="44">
        <f t="shared" si="5"/>
        <v>130.1</v>
      </c>
      <c r="Q29" s="44"/>
      <c r="R29" s="63">
        <v>3319</v>
      </c>
      <c r="S29" s="4">
        <v>607</v>
      </c>
      <c r="T29" s="47" t="s">
        <v>19</v>
      </c>
      <c r="U29" s="44"/>
      <c r="V29" s="44"/>
      <c r="W29" s="44"/>
      <c r="X29" s="44">
        <f t="shared" si="6"/>
        <v>0</v>
      </c>
      <c r="Y29" s="44"/>
      <c r="Z29" s="44">
        <v>100</v>
      </c>
      <c r="AA29" s="44"/>
      <c r="AB29" s="44"/>
      <c r="AC29" s="44">
        <f t="shared" si="7"/>
        <v>100</v>
      </c>
    </row>
    <row r="30" spans="1:29" ht="12.75">
      <c r="A30" s="36">
        <v>3315</v>
      </c>
      <c r="B30" s="4">
        <v>608</v>
      </c>
      <c r="C30" s="8" t="s">
        <v>49</v>
      </c>
      <c r="D30" s="44">
        <v>10239</v>
      </c>
      <c r="E30" s="44"/>
      <c r="F30" s="44"/>
      <c r="G30" s="44"/>
      <c r="H30" s="44">
        <f t="shared" si="8"/>
        <v>10239</v>
      </c>
      <c r="I30" s="44"/>
      <c r="J30" s="44"/>
      <c r="K30" s="44"/>
      <c r="L30" s="44">
        <f t="shared" si="4"/>
        <v>0</v>
      </c>
      <c r="M30" s="44"/>
      <c r="N30" s="44">
        <v>108.6</v>
      </c>
      <c r="O30" s="44">
        <v>53.4</v>
      </c>
      <c r="P30" s="44">
        <f t="shared" si="5"/>
        <v>162</v>
      </c>
      <c r="Q30" s="44"/>
      <c r="R30" s="63">
        <v>3315</v>
      </c>
      <c r="S30" s="4">
        <v>608</v>
      </c>
      <c r="T30" s="47" t="s">
        <v>49</v>
      </c>
      <c r="U30" s="44"/>
      <c r="V30" s="44"/>
      <c r="W30" s="44"/>
      <c r="X30" s="44">
        <f t="shared" si="6"/>
        <v>0</v>
      </c>
      <c r="Y30" s="44"/>
      <c r="Z30" s="44"/>
      <c r="AA30" s="44"/>
      <c r="AB30" s="44"/>
      <c r="AC30" s="44">
        <f t="shared" si="7"/>
        <v>0</v>
      </c>
    </row>
    <row r="31" spans="1:29" ht="12.75">
      <c r="A31" s="36">
        <v>3315</v>
      </c>
      <c r="B31" s="4">
        <v>609</v>
      </c>
      <c r="C31" s="8" t="s">
        <v>35</v>
      </c>
      <c r="D31" s="44">
        <v>9975.7</v>
      </c>
      <c r="E31" s="44"/>
      <c r="F31" s="44"/>
      <c r="G31" s="44"/>
      <c r="H31" s="44">
        <f t="shared" si="8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/>
      <c r="P31" s="44">
        <f t="shared" si="5"/>
        <v>1600</v>
      </c>
      <c r="Q31" s="44"/>
      <c r="R31" s="63">
        <v>3315</v>
      </c>
      <c r="S31" s="4">
        <v>609</v>
      </c>
      <c r="T31" s="47" t="s">
        <v>35</v>
      </c>
      <c r="U31" s="44"/>
      <c r="V31" s="44"/>
      <c r="W31" s="44"/>
      <c r="X31" s="44">
        <f t="shared" si="6"/>
        <v>0</v>
      </c>
      <c r="Y31" s="44"/>
      <c r="Z31" s="44">
        <v>478</v>
      </c>
      <c r="AA31" s="44"/>
      <c r="AB31" s="44"/>
      <c r="AC31" s="44">
        <f t="shared" si="7"/>
        <v>478</v>
      </c>
    </row>
    <row r="32" spans="1:29" ht="12.75">
      <c r="A32" s="36">
        <v>3315</v>
      </c>
      <c r="B32" s="4">
        <v>610</v>
      </c>
      <c r="C32" s="40" t="s">
        <v>109</v>
      </c>
      <c r="D32" s="44">
        <v>13342.04</v>
      </c>
      <c r="E32" s="44">
        <f>-40</f>
        <v>-40</v>
      </c>
      <c r="F32" s="44"/>
      <c r="G32" s="44"/>
      <c r="H32" s="44">
        <f t="shared" si="8"/>
        <v>13302.04</v>
      </c>
      <c r="I32" s="44"/>
      <c r="J32" s="44"/>
      <c r="K32" s="44">
        <f>40</f>
        <v>40</v>
      </c>
      <c r="L32" s="44">
        <f t="shared" si="4"/>
        <v>40</v>
      </c>
      <c r="M32" s="44"/>
      <c r="N32" s="44">
        <v>631.8</v>
      </c>
      <c r="O32" s="44">
        <v>-37.3</v>
      </c>
      <c r="P32" s="44">
        <f t="shared" si="5"/>
        <v>594.5</v>
      </c>
      <c r="Q32" s="44"/>
      <c r="R32" s="63">
        <v>3315</v>
      </c>
      <c r="S32" s="4">
        <v>610</v>
      </c>
      <c r="T32" s="47" t="s">
        <v>36</v>
      </c>
      <c r="U32" s="44"/>
      <c r="V32" s="44"/>
      <c r="W32" s="44"/>
      <c r="X32" s="44">
        <f t="shared" si="6"/>
        <v>0</v>
      </c>
      <c r="Y32" s="44"/>
      <c r="Z32" s="44"/>
      <c r="AA32" s="44"/>
      <c r="AB32" s="44"/>
      <c r="AC32" s="44">
        <f t="shared" si="7"/>
        <v>0</v>
      </c>
    </row>
    <row r="33" spans="1:29" ht="12.75">
      <c r="A33" s="36"/>
      <c r="B33" s="4"/>
      <c r="C33" s="10" t="s">
        <v>25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91</v>
      </c>
      <c r="U33" s="56">
        <f>SUM(U35:U58)</f>
        <v>4600</v>
      </c>
      <c r="V33" s="56">
        <f>SUM(V35:V58)</f>
        <v>0</v>
      </c>
      <c r="W33" s="56">
        <f>SUM(W35:W58)</f>
        <v>0</v>
      </c>
      <c r="X33" s="56">
        <f>SUM(X35:X58)</f>
        <v>4600</v>
      </c>
      <c r="Y33" s="56"/>
      <c r="Z33" s="56">
        <f>SUM(Z35:Z58)</f>
        <v>10555.71</v>
      </c>
      <c r="AA33" s="56">
        <f>SUM(AA35:AA58)</f>
        <v>-500</v>
      </c>
      <c r="AB33" s="56">
        <f>SUM(AB35:AB58)</f>
        <v>0</v>
      </c>
      <c r="AC33" s="56">
        <f>SUM(AC35:AC58)</f>
        <v>10055.710000000001</v>
      </c>
    </row>
    <row r="34" spans="1:29" ht="12.75">
      <c r="A34" s="36"/>
      <c r="B34" s="4"/>
      <c r="C34" s="6" t="s">
        <v>47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86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31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31</v>
      </c>
      <c r="U35" s="44"/>
      <c r="V35" s="44"/>
      <c r="W35" s="44"/>
      <c r="X35" s="44">
        <f aca="true" t="shared" si="12" ref="X35:X58">SUM(U35:W35)</f>
        <v>0</v>
      </c>
      <c r="Y35" s="44"/>
      <c r="Z35" s="44"/>
      <c r="AA35" s="44"/>
      <c r="AB35" s="44"/>
      <c r="AC35" s="44">
        <f aca="true" t="shared" si="13" ref="AC35:AC58">SUM(Z35:AB35)</f>
        <v>0</v>
      </c>
    </row>
    <row r="36" spans="1:29" ht="12.75">
      <c r="A36" s="36">
        <v>4350</v>
      </c>
      <c r="B36" s="4">
        <v>802</v>
      </c>
      <c r="C36" s="7" t="s">
        <v>20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20</v>
      </c>
      <c r="U36" s="44"/>
      <c r="V36" s="44"/>
      <c r="W36" s="44"/>
      <c r="X36" s="44">
        <f t="shared" si="12"/>
        <v>0</v>
      </c>
      <c r="Y36" s="44"/>
      <c r="Z36" s="44"/>
      <c r="AA36" s="44"/>
      <c r="AB36" s="44"/>
      <c r="AC36" s="44">
        <f t="shared" si="13"/>
        <v>0</v>
      </c>
    </row>
    <row r="37" spans="1:29" ht="12.75">
      <c r="A37" s="36">
        <v>4357</v>
      </c>
      <c r="B37" s="4">
        <v>803</v>
      </c>
      <c r="C37" s="7" t="s">
        <v>38</v>
      </c>
      <c r="D37" s="44">
        <v>8615</v>
      </c>
      <c r="E37" s="44"/>
      <c r="F37" s="44"/>
      <c r="G37" s="44"/>
      <c r="H37" s="44">
        <f t="shared" si="14"/>
        <v>8615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38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83</v>
      </c>
      <c r="D38" s="44">
        <v>5741</v>
      </c>
      <c r="E38" s="44"/>
      <c r="F38" s="44"/>
      <c r="G38" s="44"/>
      <c r="H38" s="44">
        <f t="shared" si="14"/>
        <v>5741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83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163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163</v>
      </c>
      <c r="U39" s="44"/>
      <c r="V39" s="44"/>
      <c r="W39" s="44"/>
      <c r="X39" s="44">
        <f t="shared" si="12"/>
        <v>0</v>
      </c>
      <c r="Y39" s="44"/>
      <c r="Z39" s="44">
        <v>4114.22</v>
      </c>
      <c r="AA39" s="44">
        <f>-500</f>
        <v>-500</v>
      </c>
      <c r="AB39" s="44"/>
      <c r="AC39" s="44">
        <f t="shared" si="13"/>
        <v>3614.2200000000003</v>
      </c>
    </row>
    <row r="40" spans="1:29" ht="12.75">
      <c r="A40" s="36">
        <v>4350</v>
      </c>
      <c r="B40" s="4">
        <v>806</v>
      </c>
      <c r="C40" s="7" t="s">
        <v>39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39</v>
      </c>
      <c r="U40" s="44"/>
      <c r="V40" s="44"/>
      <c r="W40" s="44"/>
      <c r="X40" s="44">
        <f t="shared" si="12"/>
        <v>0</v>
      </c>
      <c r="Y40" s="44"/>
      <c r="Z40" s="44"/>
      <c r="AA40" s="44"/>
      <c r="AB40" s="44"/>
      <c r="AC40" s="44">
        <f t="shared" si="13"/>
        <v>0</v>
      </c>
    </row>
    <row r="41" spans="1:29" ht="12.75">
      <c r="A41" s="36">
        <v>4357</v>
      </c>
      <c r="B41" s="4">
        <v>807</v>
      </c>
      <c r="C41" s="7" t="s">
        <v>104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104</v>
      </c>
      <c r="U41" s="44">
        <v>3600</v>
      </c>
      <c r="V41" s="44"/>
      <c r="W41" s="44"/>
      <c r="X41" s="44">
        <f t="shared" si="12"/>
        <v>3600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21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21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32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32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102</v>
      </c>
      <c r="D44" s="44">
        <v>2962</v>
      </c>
      <c r="E44" s="44"/>
      <c r="F44" s="44"/>
      <c r="G44" s="48"/>
      <c r="H44" s="44">
        <f t="shared" si="14"/>
        <v>2962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102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/>
      <c r="AB44" s="44"/>
      <c r="AC44" s="44">
        <f t="shared" si="13"/>
        <v>2000</v>
      </c>
    </row>
    <row r="45" spans="1:29" ht="12.75">
      <c r="A45" s="36">
        <v>4350</v>
      </c>
      <c r="B45" s="4">
        <v>811</v>
      </c>
      <c r="C45" s="7" t="s">
        <v>97</v>
      </c>
      <c r="D45" s="44">
        <v>4285</v>
      </c>
      <c r="E45" s="44"/>
      <c r="F45" s="44"/>
      <c r="G45" s="48"/>
      <c r="H45" s="44">
        <f t="shared" si="14"/>
        <v>4285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97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95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95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165</v>
      </c>
      <c r="D47" s="44">
        <v>8344</v>
      </c>
      <c r="E47" s="44"/>
      <c r="F47" s="44"/>
      <c r="G47" s="48"/>
      <c r="H47" s="44">
        <f t="shared" si="14"/>
        <v>8344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165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164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164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33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33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77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77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105</v>
      </c>
      <c r="D51" s="44">
        <v>8986</v>
      </c>
      <c r="E51" s="48"/>
      <c r="F51" s="44"/>
      <c r="G51" s="48"/>
      <c r="H51" s="44">
        <f t="shared" si="14"/>
        <v>8986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105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84</v>
      </c>
      <c r="D52" s="44">
        <v>8386</v>
      </c>
      <c r="E52" s="48"/>
      <c r="F52" s="44"/>
      <c r="G52" s="48"/>
      <c r="H52" s="44">
        <f t="shared" si="14"/>
        <v>8386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84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87</v>
      </c>
      <c r="D53" s="44">
        <v>7430</v>
      </c>
      <c r="E53" s="48"/>
      <c r="F53" s="44"/>
      <c r="G53" s="48"/>
      <c r="H53" s="44">
        <f t="shared" si="14"/>
        <v>7430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87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103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103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44</v>
      </c>
      <c r="D55" s="44">
        <v>2625</v>
      </c>
      <c r="E55" s="44"/>
      <c r="F55" s="44"/>
      <c r="G55" s="44"/>
      <c r="H55" s="44">
        <f t="shared" si="14"/>
        <v>2625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44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85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85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43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43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96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96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26</v>
      </c>
      <c r="D59" s="56">
        <f>SUM(D61:D148)</f>
        <v>356352.8100000002</v>
      </c>
      <c r="E59" s="56">
        <f aca="true" t="shared" si="15" ref="E59:P59">SUM(E61:E148)</f>
        <v>12029.99</v>
      </c>
      <c r="F59" s="56">
        <f t="shared" si="15"/>
        <v>0</v>
      </c>
      <c r="G59" s="56">
        <f t="shared" si="15"/>
        <v>720.65</v>
      </c>
      <c r="H59" s="56">
        <f t="shared" si="15"/>
        <v>369103.45</v>
      </c>
      <c r="I59" s="56">
        <f t="shared" si="15"/>
        <v>0</v>
      </c>
      <c r="J59" s="56">
        <f t="shared" si="15"/>
        <v>1087.3</v>
      </c>
      <c r="K59" s="56">
        <f t="shared" si="15"/>
        <v>805</v>
      </c>
      <c r="L59" s="56">
        <f t="shared" si="15"/>
        <v>1892.3</v>
      </c>
      <c r="M59" s="56">
        <f t="shared" si="15"/>
        <v>0</v>
      </c>
      <c r="N59" s="56">
        <f t="shared" si="15"/>
        <v>40205.710000000014</v>
      </c>
      <c r="O59" s="56">
        <f t="shared" si="15"/>
        <v>35.94</v>
      </c>
      <c r="P59" s="56">
        <f t="shared" si="15"/>
        <v>40241.650000000016</v>
      </c>
      <c r="Q59" s="56"/>
      <c r="R59" s="63"/>
      <c r="S59" s="64"/>
      <c r="T59" s="56" t="s">
        <v>92</v>
      </c>
      <c r="U59" s="56">
        <f aca="true" t="shared" si="16" ref="U59:AC59">SUM(U61:U148)</f>
        <v>31946.1</v>
      </c>
      <c r="V59" s="56">
        <f t="shared" si="16"/>
        <v>2443</v>
      </c>
      <c r="W59" s="56">
        <f t="shared" si="16"/>
        <v>0</v>
      </c>
      <c r="X59" s="56">
        <f t="shared" si="16"/>
        <v>34389.1</v>
      </c>
      <c r="Y59" s="56">
        <f t="shared" si="16"/>
        <v>0</v>
      </c>
      <c r="Z59" s="56">
        <f t="shared" si="16"/>
        <v>80532</v>
      </c>
      <c r="AA59" s="56">
        <f t="shared" si="16"/>
        <v>3966.3899999999994</v>
      </c>
      <c r="AB59" s="56">
        <f t="shared" si="16"/>
        <v>0</v>
      </c>
      <c r="AC59" s="56">
        <f t="shared" si="16"/>
        <v>84498.39</v>
      </c>
    </row>
    <row r="60" spans="1:29" ht="24" customHeight="1">
      <c r="A60" s="36"/>
      <c r="B60" s="4"/>
      <c r="C60" s="29" t="s">
        <v>237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47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172</v>
      </c>
      <c r="D61" s="44">
        <v>4144.84</v>
      </c>
      <c r="E61" s="44">
        <f>47</f>
        <v>47</v>
      </c>
      <c r="F61" s="44"/>
      <c r="G61" s="48"/>
      <c r="H61" s="44">
        <f aca="true" t="shared" si="17" ref="H61:H124">D61+E61+F61+G61</f>
        <v>4191.84</v>
      </c>
      <c r="I61" s="44"/>
      <c r="J61" s="44"/>
      <c r="K61" s="44"/>
      <c r="L61" s="44">
        <f aca="true" t="shared" si="18" ref="L61:L124">J61+K61</f>
        <v>0</v>
      </c>
      <c r="M61" s="44"/>
      <c r="N61" s="44">
        <v>418.97</v>
      </c>
      <c r="O61" s="44"/>
      <c r="P61" s="44">
        <f aca="true" t="shared" si="19" ref="P61:P124">N61+O61</f>
        <v>418.97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/>
      <c r="AB61" s="44"/>
      <c r="AC61" s="44">
        <f aca="true" t="shared" si="21" ref="AC61:AC124">SUM(Z61:AB61)</f>
        <v>700</v>
      </c>
    </row>
    <row r="62" spans="1:29" ht="12.75">
      <c r="A62" s="36">
        <v>3121</v>
      </c>
      <c r="B62" s="4">
        <v>302</v>
      </c>
      <c r="C62" s="37" t="s">
        <v>173</v>
      </c>
      <c r="D62" s="44">
        <v>5775.49</v>
      </c>
      <c r="E62" s="44">
        <f>32</f>
        <v>32</v>
      </c>
      <c r="F62" s="44"/>
      <c r="G62" s="48"/>
      <c r="H62" s="44">
        <f t="shared" si="17"/>
        <v>5807.49</v>
      </c>
      <c r="I62" s="44"/>
      <c r="J62" s="44"/>
      <c r="K62" s="44"/>
      <c r="L62" s="44">
        <f t="shared" si="18"/>
        <v>0</v>
      </c>
      <c r="M62" s="44"/>
      <c r="N62" s="44">
        <v>379.82</v>
      </c>
      <c r="O62" s="44"/>
      <c r="P62" s="44">
        <f t="shared" si="19"/>
        <v>379.82</v>
      </c>
      <c r="Q62" s="44"/>
      <c r="R62" s="36">
        <v>3121</v>
      </c>
      <c r="S62" s="4">
        <v>302</v>
      </c>
      <c r="T62" s="37" t="s">
        <v>116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12.75">
      <c r="A63" s="36">
        <v>3121</v>
      </c>
      <c r="B63" s="4">
        <v>303</v>
      </c>
      <c r="C63" s="37" t="s">
        <v>174</v>
      </c>
      <c r="D63" s="44">
        <v>1480.1000000000001</v>
      </c>
      <c r="E63" s="44">
        <f>621+4</f>
        <v>625</v>
      </c>
      <c r="F63" s="44"/>
      <c r="G63" s="48"/>
      <c r="H63" s="44">
        <f t="shared" si="17"/>
        <v>2105.1000000000004</v>
      </c>
      <c r="I63" s="44"/>
      <c r="J63" s="44"/>
      <c r="K63" s="44"/>
      <c r="L63" s="44">
        <f t="shared" si="18"/>
        <v>0</v>
      </c>
      <c r="M63" s="44"/>
      <c r="N63" s="44">
        <v>101.7</v>
      </c>
      <c r="O63" s="44"/>
      <c r="P63" s="44">
        <f t="shared" si="19"/>
        <v>101.7</v>
      </c>
      <c r="Q63" s="44"/>
      <c r="R63" s="36">
        <v>3121</v>
      </c>
      <c r="S63" s="4">
        <v>303</v>
      </c>
      <c r="T63" s="37" t="s">
        <v>7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117</v>
      </c>
      <c r="D64" s="44">
        <v>5271.83</v>
      </c>
      <c r="E64" s="44">
        <f>12.5+57.6</f>
        <v>70.1</v>
      </c>
      <c r="F64" s="44"/>
      <c r="G64" s="48"/>
      <c r="H64" s="44">
        <f t="shared" si="17"/>
        <v>5341.93</v>
      </c>
      <c r="I64" s="44"/>
      <c r="J64" s="44">
        <v>52</v>
      </c>
      <c r="K64" s="44"/>
      <c r="L64" s="44">
        <f t="shared" si="18"/>
        <v>52</v>
      </c>
      <c r="M64" s="44"/>
      <c r="N64" s="44">
        <v>1031.04</v>
      </c>
      <c r="O64" s="44"/>
      <c r="P64" s="44">
        <f t="shared" si="19"/>
        <v>1031.04</v>
      </c>
      <c r="Q64" s="44"/>
      <c r="R64" s="36">
        <v>3122</v>
      </c>
      <c r="S64" s="4">
        <v>305</v>
      </c>
      <c r="T64" s="37" t="s">
        <v>117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175</v>
      </c>
      <c r="D65" s="44">
        <v>4770.070000000001</v>
      </c>
      <c r="E65" s="44">
        <f>45.2+134</f>
        <v>179.2</v>
      </c>
      <c r="F65" s="44"/>
      <c r="G65" s="48"/>
      <c r="H65" s="44">
        <f t="shared" si="17"/>
        <v>4949.27</v>
      </c>
      <c r="I65" s="44"/>
      <c r="J65" s="44"/>
      <c r="K65" s="44">
        <f>185</f>
        <v>185</v>
      </c>
      <c r="L65" s="44">
        <f t="shared" si="18"/>
        <v>185</v>
      </c>
      <c r="M65" s="44"/>
      <c r="N65" s="44">
        <v>679.8199999999999</v>
      </c>
      <c r="O65" s="44"/>
      <c r="P65" s="44">
        <f t="shared" si="19"/>
        <v>679.8199999999999</v>
      </c>
      <c r="Q65" s="44"/>
      <c r="R65" s="36">
        <v>3122</v>
      </c>
      <c r="S65" s="4">
        <v>307</v>
      </c>
      <c r="T65" s="37" t="s">
        <v>118</v>
      </c>
      <c r="U65" s="44"/>
      <c r="V65" s="48"/>
      <c r="W65" s="44"/>
      <c r="X65" s="44">
        <f t="shared" si="20"/>
        <v>0</v>
      </c>
      <c r="Y65" s="44"/>
      <c r="Z65" s="44"/>
      <c r="AA65" s="48"/>
      <c r="AB65" s="44"/>
      <c r="AC65" s="44">
        <f t="shared" si="21"/>
        <v>0</v>
      </c>
    </row>
    <row r="66" spans="1:29" ht="12.75">
      <c r="A66" s="36">
        <v>3127</v>
      </c>
      <c r="B66" s="4">
        <v>308</v>
      </c>
      <c r="C66" s="37" t="s">
        <v>176</v>
      </c>
      <c r="D66" s="44">
        <v>14149.65</v>
      </c>
      <c r="E66" s="44">
        <f>842.6+135</f>
        <v>977.6</v>
      </c>
      <c r="F66" s="44"/>
      <c r="G66" s="48"/>
      <c r="H66" s="44">
        <f t="shared" si="17"/>
        <v>15127.25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/>
      <c r="P66" s="44">
        <f t="shared" si="19"/>
        <v>1058.48</v>
      </c>
      <c r="Q66" s="44"/>
      <c r="R66" s="36">
        <v>3127</v>
      </c>
      <c r="S66" s="4">
        <v>308</v>
      </c>
      <c r="T66" s="37" t="s">
        <v>119</v>
      </c>
      <c r="U66" s="44">
        <v>2000</v>
      </c>
      <c r="V66" s="44">
        <f>90</f>
        <v>90</v>
      </c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177</v>
      </c>
      <c r="D67" s="44">
        <v>7844.5599999999995</v>
      </c>
      <c r="E67" s="44">
        <f>268.9+36</f>
        <v>304.9</v>
      </c>
      <c r="F67" s="44"/>
      <c r="G67" s="48"/>
      <c r="H67" s="44">
        <f t="shared" si="17"/>
        <v>8149.459999999999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/>
      <c r="P67" s="44">
        <f t="shared" si="19"/>
        <v>1234.25</v>
      </c>
      <c r="Q67" s="44"/>
      <c r="R67" s="36">
        <v>3127</v>
      </c>
      <c r="S67" s="4">
        <v>309</v>
      </c>
      <c r="T67" s="37" t="s">
        <v>50</v>
      </c>
      <c r="U67" s="44"/>
      <c r="V67" s="44"/>
      <c r="W67" s="44"/>
      <c r="X67" s="44">
        <f t="shared" si="20"/>
        <v>0</v>
      </c>
      <c r="Y67" s="44"/>
      <c r="Z67" s="44">
        <v>2447</v>
      </c>
      <c r="AA67" s="44">
        <f>100+250</f>
        <v>350</v>
      </c>
      <c r="AB67" s="44"/>
      <c r="AC67" s="44">
        <f t="shared" si="21"/>
        <v>2797</v>
      </c>
    </row>
    <row r="68" spans="1:29" ht="12.75">
      <c r="A68" s="36">
        <v>3122</v>
      </c>
      <c r="B68" s="4">
        <v>310</v>
      </c>
      <c r="C68" s="37" t="s">
        <v>178</v>
      </c>
      <c r="D68" s="44">
        <v>1863.17</v>
      </c>
      <c r="E68" s="44">
        <f>-621</f>
        <v>-621</v>
      </c>
      <c r="F68" s="44"/>
      <c r="G68" s="48"/>
      <c r="H68" s="44">
        <f t="shared" si="17"/>
        <v>1242.17</v>
      </c>
      <c r="I68" s="44"/>
      <c r="J68" s="44"/>
      <c r="K68" s="44"/>
      <c r="L68" s="44">
        <f t="shared" si="18"/>
        <v>0</v>
      </c>
      <c r="M68" s="44"/>
      <c r="N68" s="44">
        <v>310.68</v>
      </c>
      <c r="O68" s="44"/>
      <c r="P68" s="44">
        <f t="shared" si="19"/>
        <v>310.68</v>
      </c>
      <c r="Q68" s="44"/>
      <c r="R68" s="36">
        <v>3122</v>
      </c>
      <c r="S68" s="4">
        <v>310</v>
      </c>
      <c r="T68" s="37" t="s">
        <v>51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179</v>
      </c>
      <c r="D69" s="44">
        <v>6701.179999999999</v>
      </c>
      <c r="E69" s="44">
        <f>16.8+78.2</f>
        <v>95</v>
      </c>
      <c r="F69" s="44"/>
      <c r="G69" s="48"/>
      <c r="H69" s="44">
        <f t="shared" si="17"/>
        <v>6796.179999999999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/>
      <c r="P69" s="44">
        <f t="shared" si="19"/>
        <v>1245.44</v>
      </c>
      <c r="Q69" s="44"/>
      <c r="R69" s="36">
        <v>3122</v>
      </c>
      <c r="S69" s="4">
        <v>312</v>
      </c>
      <c r="T69" s="37" t="s">
        <v>120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180</v>
      </c>
      <c r="D70" s="44">
        <v>6005.72</v>
      </c>
      <c r="E70" s="44">
        <f>150+150</f>
        <v>300</v>
      </c>
      <c r="F70" s="44"/>
      <c r="G70" s="48"/>
      <c r="H70" s="44">
        <f t="shared" si="17"/>
        <v>6305.72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/>
      <c r="P70" s="44">
        <f t="shared" si="19"/>
        <v>543.8199999999999</v>
      </c>
      <c r="Q70" s="44"/>
      <c r="R70" s="36">
        <v>3122</v>
      </c>
      <c r="S70" s="4">
        <v>314</v>
      </c>
      <c r="T70" s="37" t="s">
        <v>121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>
      <c r="A71" s="36">
        <v>3127</v>
      </c>
      <c r="B71" s="5">
        <v>317</v>
      </c>
      <c r="C71" s="65" t="s">
        <v>181</v>
      </c>
      <c r="D71" s="44">
        <v>6316.2</v>
      </c>
      <c r="E71" s="49">
        <f>87.2+142.25</f>
        <v>229.45</v>
      </c>
      <c r="F71" s="49"/>
      <c r="G71" s="58"/>
      <c r="H71" s="44">
        <f t="shared" si="17"/>
        <v>6545.65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/>
      <c r="P71" s="44">
        <f t="shared" si="19"/>
        <v>1079.76</v>
      </c>
      <c r="Q71" s="49"/>
      <c r="R71" s="36">
        <v>3127</v>
      </c>
      <c r="S71" s="5">
        <v>317</v>
      </c>
      <c r="T71" s="65" t="s">
        <v>122</v>
      </c>
      <c r="U71" s="49"/>
      <c r="V71" s="49">
        <f>200</f>
        <v>200</v>
      </c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182</v>
      </c>
      <c r="D72" s="44">
        <v>8094.07</v>
      </c>
      <c r="E72" s="44">
        <f>624.55+144</f>
        <v>768.55</v>
      </c>
      <c r="F72" s="44"/>
      <c r="G72" s="48"/>
      <c r="H72" s="44">
        <f t="shared" si="17"/>
        <v>8862.619999999999</v>
      </c>
      <c r="I72" s="44"/>
      <c r="J72" s="44"/>
      <c r="K72" s="44"/>
      <c r="L72" s="44">
        <f t="shared" si="18"/>
        <v>0</v>
      </c>
      <c r="M72" s="44"/>
      <c r="N72" s="44">
        <v>445.41999999999996</v>
      </c>
      <c r="O72" s="44">
        <f>-22.45</f>
        <v>-22.45</v>
      </c>
      <c r="P72" s="44">
        <f t="shared" si="19"/>
        <v>422.96999999999997</v>
      </c>
      <c r="Q72" s="44"/>
      <c r="R72" s="36">
        <v>3127</v>
      </c>
      <c r="S72" s="4">
        <v>318</v>
      </c>
      <c r="T72" s="37" t="s">
        <v>123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3124</v>
      </c>
      <c r="B73" s="4">
        <v>319</v>
      </c>
      <c r="C73" s="72" t="s">
        <v>183</v>
      </c>
      <c r="D73" s="44">
        <v>6134.85</v>
      </c>
      <c r="E73" s="44">
        <f>121.1+72</f>
        <v>193.1</v>
      </c>
      <c r="F73" s="44"/>
      <c r="G73" s="48"/>
      <c r="H73" s="44">
        <f t="shared" si="17"/>
        <v>6327.950000000001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124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320</v>
      </c>
      <c r="C74" s="72" t="s">
        <v>184</v>
      </c>
      <c r="D74" s="44">
        <v>4826.24</v>
      </c>
      <c r="E74" s="44">
        <f>164</f>
        <v>164</v>
      </c>
      <c r="F74" s="44"/>
      <c r="G74" s="48"/>
      <c r="H74" s="44">
        <f t="shared" si="17"/>
        <v>4990.24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125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112</v>
      </c>
      <c r="D75" s="44">
        <v>7281.83</v>
      </c>
      <c r="E75" s="44">
        <f>6.5+64.3</f>
        <v>70.8</v>
      </c>
      <c r="F75" s="44"/>
      <c r="G75" s="48"/>
      <c r="H75" s="44">
        <f t="shared" si="17"/>
        <v>7352.63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/>
      <c r="P75" s="44">
        <f t="shared" si="19"/>
        <v>687.5600000000001</v>
      </c>
      <c r="Q75" s="44"/>
      <c r="R75" s="36">
        <v>3114</v>
      </c>
      <c r="S75" s="4">
        <v>321</v>
      </c>
      <c r="T75" s="37" t="s">
        <v>112</v>
      </c>
      <c r="U75" s="44">
        <v>700</v>
      </c>
      <c r="V75" s="44"/>
      <c r="W75" s="44"/>
      <c r="X75" s="44">
        <f t="shared" si="20"/>
        <v>700</v>
      </c>
      <c r="Y75" s="44"/>
      <c r="Z75" s="44">
        <v>3300</v>
      </c>
      <c r="AA75" s="44"/>
      <c r="AB75" s="44"/>
      <c r="AC75" s="44">
        <f t="shared" si="21"/>
        <v>3300</v>
      </c>
    </row>
    <row r="76" spans="1:29" ht="12.75">
      <c r="A76" s="36">
        <v>3133</v>
      </c>
      <c r="B76" s="4">
        <v>322</v>
      </c>
      <c r="C76" s="37" t="s">
        <v>185</v>
      </c>
      <c r="D76" s="44">
        <v>3532.89</v>
      </c>
      <c r="E76" s="44">
        <f>110</f>
        <v>110</v>
      </c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53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186</v>
      </c>
      <c r="D77" s="44">
        <v>1240.23</v>
      </c>
      <c r="E77" s="44">
        <f>12.3</f>
        <v>12.3</v>
      </c>
      <c r="F77" s="44"/>
      <c r="G77" s="48"/>
      <c r="H77" s="44">
        <f t="shared" si="17"/>
        <v>1252.53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126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3114</v>
      </c>
      <c r="B78" s="4">
        <v>327</v>
      </c>
      <c r="C78" s="37" t="s">
        <v>187</v>
      </c>
      <c r="D78" s="44">
        <v>386.7</v>
      </c>
      <c r="E78" s="44">
        <f>19.2</f>
        <v>19.2</v>
      </c>
      <c r="F78" s="44"/>
      <c r="G78" s="48"/>
      <c r="H78" s="44">
        <f t="shared" si="17"/>
        <v>405.9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127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12.75">
      <c r="A79" s="36">
        <v>3147</v>
      </c>
      <c r="B79" s="4">
        <v>332</v>
      </c>
      <c r="C79" s="37" t="s">
        <v>188</v>
      </c>
      <c r="D79" s="44">
        <v>4166.2</v>
      </c>
      <c r="E79" s="44">
        <f>102</f>
        <v>102</v>
      </c>
      <c r="F79" s="44"/>
      <c r="G79" s="69"/>
      <c r="H79" s="44">
        <f t="shared" si="17"/>
        <v>4268.2</v>
      </c>
      <c r="I79" s="44"/>
      <c r="J79" s="44"/>
      <c r="K79" s="44"/>
      <c r="L79" s="44">
        <f t="shared" si="18"/>
        <v>0</v>
      </c>
      <c r="M79" s="44"/>
      <c r="N79" s="44">
        <v>1100</v>
      </c>
      <c r="O79" s="44"/>
      <c r="P79" s="44">
        <f t="shared" si="19"/>
        <v>1100</v>
      </c>
      <c r="Q79" s="44"/>
      <c r="R79" s="36">
        <v>3147</v>
      </c>
      <c r="S79" s="4">
        <v>332</v>
      </c>
      <c r="T79" s="37" t="s">
        <v>54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52</v>
      </c>
      <c r="D80" s="44">
        <v>2739.69</v>
      </c>
      <c r="E80" s="44">
        <f>14</f>
        <v>14</v>
      </c>
      <c r="F80" s="44"/>
      <c r="G80" s="48"/>
      <c r="H80" s="44">
        <f t="shared" si="17"/>
        <v>2753.69</v>
      </c>
      <c r="I80" s="44"/>
      <c r="J80" s="44"/>
      <c r="K80" s="44"/>
      <c r="L80" s="44">
        <f t="shared" si="18"/>
        <v>0</v>
      </c>
      <c r="M80" s="44"/>
      <c r="N80" s="44">
        <v>775.22</v>
      </c>
      <c r="O80" s="44"/>
      <c r="P80" s="44">
        <f t="shared" si="19"/>
        <v>775.22</v>
      </c>
      <c r="Q80" s="44"/>
      <c r="R80" s="36">
        <v>3141</v>
      </c>
      <c r="S80" s="4">
        <v>335</v>
      </c>
      <c r="T80" s="37" t="s">
        <v>52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/>
      <c r="AB80" s="44"/>
      <c r="AC80" s="44">
        <f t="shared" si="21"/>
        <v>152</v>
      </c>
    </row>
    <row r="81" spans="1:29" ht="12.75">
      <c r="A81" s="36">
        <v>3121</v>
      </c>
      <c r="B81" s="4">
        <v>338</v>
      </c>
      <c r="C81" s="37" t="s">
        <v>189</v>
      </c>
      <c r="D81" s="44">
        <v>2600.5</v>
      </c>
      <c r="E81" s="44">
        <f>45</f>
        <v>45</v>
      </c>
      <c r="F81" s="44"/>
      <c r="G81" s="48"/>
      <c r="H81" s="44">
        <f t="shared" si="17"/>
        <v>2645.5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/>
      <c r="P81" s="44">
        <f t="shared" si="19"/>
        <v>89</v>
      </c>
      <c r="Q81" s="44"/>
      <c r="R81" s="36">
        <v>3121</v>
      </c>
      <c r="S81" s="4">
        <v>338</v>
      </c>
      <c r="T81" s="37" t="s">
        <v>8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339</v>
      </c>
      <c r="C82" s="37" t="s">
        <v>128</v>
      </c>
      <c r="D82" s="44">
        <v>2911.3199999999997</v>
      </c>
      <c r="E82" s="44">
        <f>138</f>
        <v>138</v>
      </c>
      <c r="F82" s="44"/>
      <c r="G82" s="48"/>
      <c r="H82" s="44">
        <f t="shared" si="17"/>
        <v>3049.3199999999997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/>
      <c r="P82" s="44">
        <f t="shared" si="19"/>
        <v>156.47</v>
      </c>
      <c r="Q82" s="44"/>
      <c r="R82" s="36">
        <v>3121</v>
      </c>
      <c r="S82" s="4">
        <v>339</v>
      </c>
      <c r="T82" s="37" t="s">
        <v>128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190</v>
      </c>
      <c r="D83" s="44">
        <v>4000.25</v>
      </c>
      <c r="E83" s="44">
        <f>65</f>
        <v>65</v>
      </c>
      <c r="F83" s="44"/>
      <c r="G83" s="48"/>
      <c r="H83" s="44">
        <f t="shared" si="17"/>
        <v>4065.25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9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12.75">
      <c r="A84" s="36">
        <v>3122</v>
      </c>
      <c r="B84" s="4">
        <v>341</v>
      </c>
      <c r="C84" s="37" t="s">
        <v>191</v>
      </c>
      <c r="D84" s="44">
        <v>2500</v>
      </c>
      <c r="E84" s="44">
        <f>-762+280</f>
        <v>-482</v>
      </c>
      <c r="F84" s="44"/>
      <c r="G84" s="48"/>
      <c r="H84" s="44">
        <f t="shared" si="17"/>
        <v>2018</v>
      </c>
      <c r="I84" s="44"/>
      <c r="J84" s="44"/>
      <c r="K84" s="55"/>
      <c r="L84" s="44">
        <f t="shared" si="18"/>
        <v>0</v>
      </c>
      <c r="M84" s="44"/>
      <c r="N84" s="44">
        <v>96.5</v>
      </c>
      <c r="O84" s="44"/>
      <c r="P84" s="44">
        <f t="shared" si="19"/>
        <v>96.5</v>
      </c>
      <c r="Q84" s="44"/>
      <c r="R84" s="36">
        <v>3122</v>
      </c>
      <c r="S84" s="4">
        <v>341</v>
      </c>
      <c r="T84" s="37" t="s">
        <v>129</v>
      </c>
      <c r="U84" s="44"/>
      <c r="V84" s="48">
        <f>200</f>
        <v>200</v>
      </c>
      <c r="W84" s="44"/>
      <c r="X84" s="44">
        <f t="shared" si="20"/>
        <v>200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3127</v>
      </c>
      <c r="B85" s="4">
        <v>342</v>
      </c>
      <c r="C85" s="65" t="s">
        <v>192</v>
      </c>
      <c r="D85" s="44">
        <v>6597.85</v>
      </c>
      <c r="E85" s="44">
        <f>-2054.1+76.63</f>
        <v>-1977.4699999999998</v>
      </c>
      <c r="F85" s="44"/>
      <c r="G85" s="48"/>
      <c r="H85" s="44">
        <f t="shared" si="17"/>
        <v>4620.380000000001</v>
      </c>
      <c r="I85" s="44"/>
      <c r="J85" s="44"/>
      <c r="K85" s="44"/>
      <c r="L85" s="44">
        <f t="shared" si="18"/>
        <v>0</v>
      </c>
      <c r="M85" s="44"/>
      <c r="N85" s="44">
        <v>1280.38</v>
      </c>
      <c r="O85" s="44"/>
      <c r="P85" s="44">
        <f t="shared" si="19"/>
        <v>1280.38</v>
      </c>
      <c r="Q85" s="44"/>
      <c r="R85" s="36">
        <v>3127</v>
      </c>
      <c r="S85" s="4">
        <v>342</v>
      </c>
      <c r="T85" s="65" t="s">
        <v>130</v>
      </c>
      <c r="U85" s="44"/>
      <c r="V85" s="44"/>
      <c r="W85" s="44"/>
      <c r="X85" s="44">
        <f t="shared" si="20"/>
        <v>0</v>
      </c>
      <c r="Y85" s="44"/>
      <c r="Z85" s="44">
        <v>6000</v>
      </c>
      <c r="AA85" s="44"/>
      <c r="AB85" s="44"/>
      <c r="AC85" s="44">
        <f t="shared" si="21"/>
        <v>6000</v>
      </c>
    </row>
    <row r="86" spans="1:29" ht="12.75">
      <c r="A86" s="36">
        <v>3127</v>
      </c>
      <c r="B86" s="4">
        <v>344</v>
      </c>
      <c r="C86" s="65" t="s">
        <v>131</v>
      </c>
      <c r="D86" s="44">
        <v>4042.28</v>
      </c>
      <c r="E86" s="44">
        <f>-1167+20</f>
        <v>-1147</v>
      </c>
      <c r="F86" s="44"/>
      <c r="G86" s="48"/>
      <c r="H86" s="44">
        <f t="shared" si="17"/>
        <v>2895.28</v>
      </c>
      <c r="I86" s="44"/>
      <c r="J86" s="44"/>
      <c r="K86" s="44"/>
      <c r="L86" s="44">
        <f t="shared" si="18"/>
        <v>0</v>
      </c>
      <c r="M86" s="44"/>
      <c r="N86" s="44">
        <v>855.1800000000001</v>
      </c>
      <c r="O86" s="44"/>
      <c r="P86" s="44">
        <f t="shared" si="19"/>
        <v>855.1800000000001</v>
      </c>
      <c r="Q86" s="44"/>
      <c r="R86" s="36">
        <v>3127</v>
      </c>
      <c r="S86" s="4">
        <v>344</v>
      </c>
      <c r="T86" s="65" t="s">
        <v>131</v>
      </c>
      <c r="U86" s="44">
        <v>100</v>
      </c>
      <c r="V86" s="44">
        <f>-100</f>
        <v>-100</v>
      </c>
      <c r="W86" s="44"/>
      <c r="X86" s="44">
        <f t="shared" si="20"/>
        <v>0</v>
      </c>
      <c r="Y86" s="44"/>
      <c r="Z86" s="44">
        <v>6376</v>
      </c>
      <c r="AA86" s="44">
        <f>100</f>
        <v>100</v>
      </c>
      <c r="AB86" s="44"/>
      <c r="AC86" s="44">
        <f t="shared" si="21"/>
        <v>6476</v>
      </c>
    </row>
    <row r="87" spans="1:29" ht="12.75">
      <c r="A87" s="36">
        <v>3124</v>
      </c>
      <c r="B87" s="4">
        <v>345</v>
      </c>
      <c r="C87" s="37" t="s">
        <v>193</v>
      </c>
      <c r="D87" s="44">
        <v>8304.75</v>
      </c>
      <c r="E87" s="44">
        <f>3115.4+21.6</f>
        <v>3137</v>
      </c>
      <c r="F87" s="44"/>
      <c r="G87" s="48"/>
      <c r="H87" s="44">
        <f t="shared" si="17"/>
        <v>11441.75</v>
      </c>
      <c r="I87" s="44"/>
      <c r="J87" s="44"/>
      <c r="K87" s="44"/>
      <c r="L87" s="44">
        <f t="shared" si="18"/>
        <v>0</v>
      </c>
      <c r="M87" s="44"/>
      <c r="N87" s="44">
        <v>1069.3600000000001</v>
      </c>
      <c r="O87" s="44"/>
      <c r="P87" s="44">
        <f t="shared" si="19"/>
        <v>1069.3600000000001</v>
      </c>
      <c r="Q87" s="44"/>
      <c r="R87" s="36">
        <v>3124</v>
      </c>
      <c r="S87" s="4">
        <v>345</v>
      </c>
      <c r="T87" s="37" t="s">
        <v>106</v>
      </c>
      <c r="U87" s="44"/>
      <c r="V87" s="44"/>
      <c r="W87" s="44"/>
      <c r="X87" s="44">
        <f t="shared" si="20"/>
        <v>0</v>
      </c>
      <c r="Y87" s="44"/>
      <c r="Z87" s="44">
        <v>6912</v>
      </c>
      <c r="AA87" s="44">
        <f>-180.61</f>
        <v>-180.61</v>
      </c>
      <c r="AB87" s="44"/>
      <c r="AC87" s="44">
        <f t="shared" si="21"/>
        <v>6731.39</v>
      </c>
    </row>
    <row r="88" spans="1:29" ht="12.75">
      <c r="A88" s="36">
        <v>3114</v>
      </c>
      <c r="B88" s="4">
        <v>346</v>
      </c>
      <c r="C88" s="72" t="s">
        <v>194</v>
      </c>
      <c r="D88" s="44">
        <v>2920.81</v>
      </c>
      <c r="E88" s="44">
        <f>64</f>
        <v>64</v>
      </c>
      <c r="F88" s="44"/>
      <c r="G88" s="48"/>
      <c r="H88" s="44">
        <f t="shared" si="17"/>
        <v>2984.81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/>
      <c r="P88" s="44">
        <f t="shared" si="19"/>
        <v>314.57</v>
      </c>
      <c r="Q88" s="44"/>
      <c r="R88" s="36">
        <v>3114</v>
      </c>
      <c r="S88" s="4">
        <v>346</v>
      </c>
      <c r="T88" s="37" t="s">
        <v>132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347</v>
      </c>
      <c r="C89" s="65" t="s">
        <v>195</v>
      </c>
      <c r="D89" s="44">
        <v>1704.1</v>
      </c>
      <c r="E89" s="44">
        <f>-6.39+44.5</f>
        <v>38.11</v>
      </c>
      <c r="F89" s="44"/>
      <c r="G89" s="48"/>
      <c r="H89" s="44">
        <f t="shared" si="17"/>
        <v>1742.2099999999998</v>
      </c>
      <c r="I89" s="44"/>
      <c r="J89" s="44"/>
      <c r="K89" s="44"/>
      <c r="L89" s="44">
        <f t="shared" si="18"/>
        <v>0</v>
      </c>
      <c r="M89" s="44"/>
      <c r="N89" s="44">
        <v>182</v>
      </c>
      <c r="O89" s="44">
        <f>-6.39</f>
        <v>-6.39</v>
      </c>
      <c r="P89" s="44">
        <f t="shared" si="19"/>
        <v>175.61</v>
      </c>
      <c r="Q89" s="44"/>
      <c r="R89" s="36">
        <v>3114</v>
      </c>
      <c r="S89" s="4">
        <v>347</v>
      </c>
      <c r="T89" s="65" t="s">
        <v>133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37" t="s">
        <v>55</v>
      </c>
      <c r="D90" s="44">
        <v>5249.3</v>
      </c>
      <c r="E90" s="44">
        <f>33.55+97</f>
        <v>130.55</v>
      </c>
      <c r="F90" s="44"/>
      <c r="G90" s="48"/>
      <c r="H90" s="44">
        <f t="shared" si="17"/>
        <v>5379.85</v>
      </c>
      <c r="I90" s="44"/>
      <c r="J90" s="44"/>
      <c r="K90" s="44"/>
      <c r="L90" s="44">
        <f t="shared" si="18"/>
        <v>0</v>
      </c>
      <c r="M90" s="44"/>
      <c r="N90" s="44">
        <v>322.4</v>
      </c>
      <c r="O90" s="44">
        <f>8.55</f>
        <v>8.55</v>
      </c>
      <c r="P90" s="44">
        <f t="shared" si="19"/>
        <v>330.95</v>
      </c>
      <c r="Q90" s="44"/>
      <c r="R90" s="36">
        <v>3133</v>
      </c>
      <c r="S90" s="4">
        <v>349</v>
      </c>
      <c r="T90" s="37" t="s">
        <v>55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/>
      <c r="AB90" s="44"/>
      <c r="AC90" s="44">
        <f t="shared" si="21"/>
        <v>525</v>
      </c>
    </row>
    <row r="91" spans="1:29" ht="12.75">
      <c r="A91" s="36">
        <v>3294</v>
      </c>
      <c r="B91" s="1">
        <v>352</v>
      </c>
      <c r="C91" s="72" t="s">
        <v>166</v>
      </c>
      <c r="D91" s="44">
        <v>4140.2</v>
      </c>
      <c r="E91" s="44">
        <f>105+39</f>
        <v>144</v>
      </c>
      <c r="F91" s="44"/>
      <c r="G91" s="48"/>
      <c r="H91" s="44">
        <f t="shared" si="17"/>
        <v>4284.2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134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>
      <c r="A92" s="36">
        <v>3127</v>
      </c>
      <c r="B92" s="4">
        <v>353</v>
      </c>
      <c r="C92" s="37" t="s">
        <v>196</v>
      </c>
      <c r="D92" s="44">
        <v>5040.92</v>
      </c>
      <c r="E92" s="44">
        <f>-1164.29+225</f>
        <v>-939.29</v>
      </c>
      <c r="F92" s="44"/>
      <c r="G92" s="48"/>
      <c r="H92" s="44">
        <f t="shared" si="17"/>
        <v>4101.63</v>
      </c>
      <c r="I92" s="44"/>
      <c r="J92" s="44"/>
      <c r="K92" s="44"/>
      <c r="L92" s="44">
        <f t="shared" si="18"/>
        <v>0</v>
      </c>
      <c r="M92" s="44"/>
      <c r="N92" s="44">
        <v>379.78000000000003</v>
      </c>
      <c r="O92" s="44">
        <f>35.01</f>
        <v>35.01</v>
      </c>
      <c r="P92" s="44">
        <f t="shared" si="19"/>
        <v>414.79</v>
      </c>
      <c r="Q92" s="44"/>
      <c r="R92" s="36">
        <v>3127</v>
      </c>
      <c r="S92" s="4">
        <v>353</v>
      </c>
      <c r="T92" s="37" t="s">
        <v>56</v>
      </c>
      <c r="U92" s="44">
        <v>100</v>
      </c>
      <c r="V92" s="44"/>
      <c r="W92" s="44"/>
      <c r="X92" s="44">
        <f t="shared" si="20"/>
        <v>100</v>
      </c>
      <c r="Y92" s="44"/>
      <c r="Z92" s="44">
        <v>1600</v>
      </c>
      <c r="AA92" s="44"/>
      <c r="AB92" s="44"/>
      <c r="AC92" s="44">
        <f t="shared" si="21"/>
        <v>1600</v>
      </c>
    </row>
    <row r="93" spans="1:29" ht="12.75">
      <c r="A93" s="36">
        <v>3127</v>
      </c>
      <c r="B93" s="4">
        <v>354</v>
      </c>
      <c r="C93" s="73" t="s">
        <v>197</v>
      </c>
      <c r="D93" s="44">
        <v>3183.96</v>
      </c>
      <c r="E93" s="44">
        <f>-1003+25</f>
        <v>-978</v>
      </c>
      <c r="F93" s="44"/>
      <c r="G93" s="48"/>
      <c r="H93" s="44">
        <f t="shared" si="17"/>
        <v>2205.96</v>
      </c>
      <c r="I93" s="44"/>
      <c r="J93" s="44"/>
      <c r="K93" s="44"/>
      <c r="L93" s="44">
        <f t="shared" si="18"/>
        <v>0</v>
      </c>
      <c r="M93" s="44"/>
      <c r="N93" s="44">
        <v>275.65</v>
      </c>
      <c r="O93" s="44"/>
      <c r="P93" s="44">
        <f t="shared" si="19"/>
        <v>275.65</v>
      </c>
      <c r="Q93" s="44"/>
      <c r="R93" s="36">
        <v>3127</v>
      </c>
      <c r="S93" s="4">
        <v>354</v>
      </c>
      <c r="T93" s="65" t="s">
        <v>135</v>
      </c>
      <c r="U93" s="55" t="s">
        <v>86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136</v>
      </c>
      <c r="D94" s="44">
        <v>2671.24</v>
      </c>
      <c r="E94" s="44">
        <f>-829.7</f>
        <v>-829.7</v>
      </c>
      <c r="F94" s="44"/>
      <c r="G94" s="48"/>
      <c r="H94" s="44">
        <f t="shared" si="17"/>
        <v>1841.5399999999997</v>
      </c>
      <c r="I94" s="44"/>
      <c r="J94" s="44"/>
      <c r="K94" s="44"/>
      <c r="L94" s="44">
        <f t="shared" si="18"/>
        <v>0</v>
      </c>
      <c r="M94" s="44"/>
      <c r="N94" s="44">
        <v>575.18</v>
      </c>
      <c r="O94" s="44"/>
      <c r="P94" s="44">
        <f t="shared" si="19"/>
        <v>575.18</v>
      </c>
      <c r="Q94" s="44"/>
      <c r="R94" s="36">
        <v>3122</v>
      </c>
      <c r="S94" s="4">
        <v>355</v>
      </c>
      <c r="T94" s="65" t="s">
        <v>136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198</v>
      </c>
      <c r="D95" s="44">
        <v>9416.18</v>
      </c>
      <c r="E95" s="44">
        <f>-2939.5+446</f>
        <v>-2493.5</v>
      </c>
      <c r="F95" s="44"/>
      <c r="G95" s="48"/>
      <c r="H95" s="44">
        <f t="shared" si="17"/>
        <v>6922.68</v>
      </c>
      <c r="I95" s="44"/>
      <c r="J95" s="44"/>
      <c r="K95" s="44"/>
      <c r="L95" s="44">
        <f t="shared" si="18"/>
        <v>0</v>
      </c>
      <c r="M95" s="44"/>
      <c r="N95" s="44">
        <v>1056.47</v>
      </c>
      <c r="O95" s="44"/>
      <c r="P95" s="44">
        <f t="shared" si="19"/>
        <v>1056.47</v>
      </c>
      <c r="Q95" s="44"/>
      <c r="R95" s="36">
        <v>3127</v>
      </c>
      <c r="S95" s="4">
        <v>357</v>
      </c>
      <c r="T95" s="37" t="s">
        <v>107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199</v>
      </c>
      <c r="D96" s="44">
        <v>1080.6</v>
      </c>
      <c r="E96" s="44"/>
      <c r="F96" s="44"/>
      <c r="G96" s="48"/>
      <c r="H96" s="44">
        <f t="shared" si="17"/>
        <v>1080.6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57</v>
      </c>
      <c r="U96" s="44"/>
      <c r="V96" s="44"/>
      <c r="W96" s="44"/>
      <c r="X96" s="44">
        <f t="shared" si="20"/>
        <v>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200</v>
      </c>
      <c r="D97" s="44">
        <v>2467.1</v>
      </c>
      <c r="E97" s="44">
        <f>45</f>
        <v>45</v>
      </c>
      <c r="F97" s="44"/>
      <c r="G97" s="48"/>
      <c r="H97" s="44">
        <f t="shared" si="17"/>
        <v>2512.1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137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12.75">
      <c r="A98" s="36">
        <v>3121</v>
      </c>
      <c r="B98" s="4">
        <v>367</v>
      </c>
      <c r="C98" s="73" t="s">
        <v>201</v>
      </c>
      <c r="D98" s="44">
        <v>4112.6</v>
      </c>
      <c r="E98" s="44">
        <f>108.34</f>
        <v>108.34</v>
      </c>
      <c r="F98" s="44"/>
      <c r="G98" s="48"/>
      <c r="H98" s="44">
        <f t="shared" si="17"/>
        <v>4220.9400000000005</v>
      </c>
      <c r="I98" s="44"/>
      <c r="J98" s="44"/>
      <c r="K98" s="44"/>
      <c r="L98" s="44">
        <f t="shared" si="18"/>
        <v>0</v>
      </c>
      <c r="M98" s="44"/>
      <c r="N98" s="44">
        <v>391.36</v>
      </c>
      <c r="O98" s="44"/>
      <c r="P98" s="44">
        <f t="shared" si="19"/>
        <v>391.36</v>
      </c>
      <c r="Q98" s="44"/>
      <c r="R98" s="36">
        <v>3121</v>
      </c>
      <c r="S98" s="4">
        <v>367</v>
      </c>
      <c r="T98" s="65" t="s">
        <v>138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202</v>
      </c>
      <c r="D99" s="44">
        <v>2531.51</v>
      </c>
      <c r="E99" s="49">
        <f>20.45</f>
        <v>20.45</v>
      </c>
      <c r="F99" s="49"/>
      <c r="G99" s="58"/>
      <c r="H99" s="44">
        <f t="shared" si="17"/>
        <v>2551.96</v>
      </c>
      <c r="I99" s="49"/>
      <c r="J99" s="49"/>
      <c r="K99" s="49"/>
      <c r="L99" s="44">
        <f t="shared" si="18"/>
        <v>0</v>
      </c>
      <c r="M99" s="49"/>
      <c r="N99" s="44">
        <v>367.11</v>
      </c>
      <c r="O99" s="49"/>
      <c r="P99" s="44">
        <f t="shared" si="19"/>
        <v>367.11</v>
      </c>
      <c r="Q99" s="49"/>
      <c r="R99" s="36">
        <v>3121</v>
      </c>
      <c r="S99" s="4">
        <v>368</v>
      </c>
      <c r="T99" s="37" t="s">
        <v>10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/>
      <c r="AB99" s="49"/>
      <c r="AC99" s="44">
        <f t="shared" si="21"/>
        <v>3000</v>
      </c>
    </row>
    <row r="100" spans="1:29" ht="12.75">
      <c r="A100" s="36">
        <v>3122</v>
      </c>
      <c r="B100" s="5">
        <v>370</v>
      </c>
      <c r="C100" s="73" t="s">
        <v>203</v>
      </c>
      <c r="D100" s="44">
        <v>2932.96</v>
      </c>
      <c r="E100" s="44">
        <f>148.97+144</f>
        <v>292.97</v>
      </c>
      <c r="F100" s="44"/>
      <c r="G100" s="48"/>
      <c r="H100" s="44">
        <f t="shared" si="17"/>
        <v>3225.9300000000003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258.91</v>
      </c>
      <c r="O100" s="44">
        <f>21.22</f>
        <v>21.22</v>
      </c>
      <c r="P100" s="44">
        <f t="shared" si="19"/>
        <v>280.13</v>
      </c>
      <c r="Q100" s="44"/>
      <c r="R100" s="36">
        <v>3122</v>
      </c>
      <c r="S100" s="5">
        <v>370</v>
      </c>
      <c r="T100" s="65" t="s">
        <v>139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65" t="s">
        <v>204</v>
      </c>
      <c r="D101" s="44">
        <v>2924.9500000000003</v>
      </c>
      <c r="E101" s="44">
        <f>61.65</f>
        <v>61.65</v>
      </c>
      <c r="F101" s="44"/>
      <c r="G101" s="48"/>
      <c r="H101" s="44">
        <f t="shared" si="17"/>
        <v>2986.6000000000004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140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12.75">
      <c r="A102" s="36">
        <v>3127</v>
      </c>
      <c r="B102" s="4">
        <v>372</v>
      </c>
      <c r="C102" s="73" t="s">
        <v>205</v>
      </c>
      <c r="D102" s="44">
        <v>6649.700000000001</v>
      </c>
      <c r="E102" s="44">
        <f>89.8+60.5</f>
        <v>150.3</v>
      </c>
      <c r="F102" s="44"/>
      <c r="G102" s="48"/>
      <c r="H102" s="44">
        <f t="shared" si="17"/>
        <v>6800.000000000001</v>
      </c>
      <c r="I102" s="44"/>
      <c r="J102" s="44"/>
      <c r="K102" s="44">
        <f>435</f>
        <v>435</v>
      </c>
      <c r="L102" s="44">
        <f t="shared" si="18"/>
        <v>435</v>
      </c>
      <c r="M102" s="44"/>
      <c r="N102" s="44">
        <v>650.4</v>
      </c>
      <c r="O102" s="44"/>
      <c r="P102" s="44">
        <f t="shared" si="19"/>
        <v>650.4</v>
      </c>
      <c r="Q102" s="44"/>
      <c r="R102" s="36">
        <v>3127</v>
      </c>
      <c r="S102" s="4">
        <v>372</v>
      </c>
      <c r="T102" s="65" t="s">
        <v>141</v>
      </c>
      <c r="U102" s="44"/>
      <c r="V102" s="44"/>
      <c r="W102" s="44"/>
      <c r="X102" s="44">
        <f t="shared" si="20"/>
        <v>0</v>
      </c>
      <c r="Y102" s="44"/>
      <c r="Z102" s="44">
        <v>248</v>
      </c>
      <c r="AA102" s="48">
        <f>2100</f>
        <v>2100</v>
      </c>
      <c r="AB102" s="48"/>
      <c r="AC102" s="44">
        <f t="shared" si="21"/>
        <v>2348</v>
      </c>
    </row>
    <row r="103" spans="1:29" ht="12.75">
      <c r="A103" s="36">
        <v>3133</v>
      </c>
      <c r="B103" s="4">
        <v>374</v>
      </c>
      <c r="C103" s="37" t="s">
        <v>78</v>
      </c>
      <c r="D103" s="44">
        <v>1929.1</v>
      </c>
      <c r="E103" s="44">
        <f>95</f>
        <v>95</v>
      </c>
      <c r="F103" s="44"/>
      <c r="G103" s="48"/>
      <c r="H103" s="44">
        <f t="shared" si="17"/>
        <v>2024.1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78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37" t="s">
        <v>206</v>
      </c>
      <c r="D104" s="44">
        <v>616.5</v>
      </c>
      <c r="E104" s="44">
        <f>5.5</f>
        <v>5.5</v>
      </c>
      <c r="F104" s="44"/>
      <c r="G104" s="48"/>
      <c r="H104" s="44">
        <f t="shared" si="17"/>
        <v>622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67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58</v>
      </c>
      <c r="D105" s="44">
        <v>2740</v>
      </c>
      <c r="E105" s="44">
        <f>99.5</f>
        <v>99.5</v>
      </c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58</v>
      </c>
      <c r="U105" s="44"/>
      <c r="V105" s="44"/>
      <c r="W105" s="44"/>
      <c r="X105" s="44">
        <f t="shared" si="20"/>
        <v>0</v>
      </c>
      <c r="Y105" s="44"/>
      <c r="Z105" s="44"/>
      <c r="AA105" s="44"/>
      <c r="AB105" s="44"/>
      <c r="AC105" s="44">
        <f t="shared" si="21"/>
        <v>0</v>
      </c>
    </row>
    <row r="106" spans="1:29" ht="12.75">
      <c r="A106" s="36">
        <v>3114</v>
      </c>
      <c r="B106" s="4">
        <v>381</v>
      </c>
      <c r="C106" s="37" t="s">
        <v>207</v>
      </c>
      <c r="D106" s="44">
        <v>2255.3</v>
      </c>
      <c r="E106" s="44"/>
      <c r="F106" s="44"/>
      <c r="G106" s="48"/>
      <c r="H106" s="44">
        <f t="shared" si="17"/>
        <v>2255.3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142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34</v>
      </c>
      <c r="D107" s="44">
        <v>3063.51</v>
      </c>
      <c r="E107" s="44">
        <f>38.7</f>
        <v>38.7</v>
      </c>
      <c r="F107" s="44"/>
      <c r="G107" s="48"/>
      <c r="H107" s="44">
        <f t="shared" si="17"/>
        <v>3102.21</v>
      </c>
      <c r="I107" s="44"/>
      <c r="J107" s="53"/>
      <c r="K107" s="53"/>
      <c r="L107" s="53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34</v>
      </c>
      <c r="U107" s="44"/>
      <c r="V107" s="44"/>
      <c r="W107" s="44"/>
      <c r="X107" s="44">
        <f t="shared" si="20"/>
        <v>0</v>
      </c>
      <c r="Y107" s="44"/>
      <c r="Z107" s="44">
        <v>670</v>
      </c>
      <c r="AA107" s="44">
        <f>200</f>
        <v>200</v>
      </c>
      <c r="AB107" s="44"/>
      <c r="AC107" s="44">
        <f t="shared" si="21"/>
        <v>870</v>
      </c>
    </row>
    <row r="108" spans="1:29" ht="12.75">
      <c r="A108" s="36">
        <v>3127</v>
      </c>
      <c r="B108" s="4">
        <v>391</v>
      </c>
      <c r="C108" s="72" t="s">
        <v>208</v>
      </c>
      <c r="D108" s="44">
        <v>9886.69</v>
      </c>
      <c r="E108" s="44">
        <f>-2996+58</f>
        <v>-2938</v>
      </c>
      <c r="F108" s="44"/>
      <c r="G108" s="48"/>
      <c r="H108" s="44">
        <f t="shared" si="17"/>
        <v>6948.6900000000005</v>
      </c>
      <c r="I108" s="44"/>
      <c r="J108" s="44"/>
      <c r="K108" s="44"/>
      <c r="L108" s="44">
        <f t="shared" si="18"/>
        <v>0</v>
      </c>
      <c r="M108" s="44"/>
      <c r="N108" s="44">
        <v>1656.49</v>
      </c>
      <c r="O108" s="44"/>
      <c r="P108" s="44">
        <f t="shared" si="19"/>
        <v>1656.49</v>
      </c>
      <c r="Q108" s="44"/>
      <c r="R108" s="36">
        <v>3127</v>
      </c>
      <c r="S108" s="4">
        <v>391</v>
      </c>
      <c r="T108" s="37" t="s">
        <v>143</v>
      </c>
      <c r="U108" s="44"/>
      <c r="V108" s="44"/>
      <c r="W108" s="44"/>
      <c r="X108" s="44">
        <f t="shared" si="20"/>
        <v>0</v>
      </c>
      <c r="Y108" s="44"/>
      <c r="Z108" s="44">
        <v>64</v>
      </c>
      <c r="AA108" s="44"/>
      <c r="AB108" s="44"/>
      <c r="AC108" s="44">
        <f t="shared" si="21"/>
        <v>64</v>
      </c>
    </row>
    <row r="109" spans="1:29" ht="12.75">
      <c r="A109" s="36">
        <v>3127</v>
      </c>
      <c r="B109" s="4">
        <v>392</v>
      </c>
      <c r="C109" s="65" t="s">
        <v>209</v>
      </c>
      <c r="D109" s="44">
        <v>3014.33</v>
      </c>
      <c r="E109" s="44">
        <f>85</f>
        <v>85</v>
      </c>
      <c r="F109" s="44"/>
      <c r="G109" s="48"/>
      <c r="H109" s="44">
        <f t="shared" si="17"/>
        <v>3099.33</v>
      </c>
      <c r="I109" s="44"/>
      <c r="J109" s="44"/>
      <c r="K109" s="44"/>
      <c r="L109" s="44">
        <f t="shared" si="18"/>
        <v>0</v>
      </c>
      <c r="M109" s="44"/>
      <c r="N109" s="44">
        <v>231.90000000000003</v>
      </c>
      <c r="O109" s="44"/>
      <c r="P109" s="44">
        <f t="shared" si="19"/>
        <v>231.90000000000003</v>
      </c>
      <c r="Q109" s="44"/>
      <c r="R109" s="36">
        <v>3127</v>
      </c>
      <c r="S109" s="4">
        <v>392</v>
      </c>
      <c r="T109" s="65" t="s">
        <v>144</v>
      </c>
      <c r="U109" s="44"/>
      <c r="V109" s="44"/>
      <c r="W109" s="44"/>
      <c r="X109" s="44">
        <f t="shared" si="20"/>
        <v>0</v>
      </c>
      <c r="Y109" s="44"/>
      <c r="Z109" s="44">
        <v>15954</v>
      </c>
      <c r="AA109" s="44"/>
      <c r="AB109" s="44"/>
      <c r="AC109" s="44">
        <f t="shared" si="21"/>
        <v>15954</v>
      </c>
    </row>
    <row r="110" spans="1:29" ht="12.75">
      <c r="A110" s="36">
        <v>3122</v>
      </c>
      <c r="B110" s="4">
        <v>393</v>
      </c>
      <c r="C110" s="37" t="s">
        <v>210</v>
      </c>
      <c r="D110" s="44">
        <v>2021.04</v>
      </c>
      <c r="E110" s="44">
        <f>47</f>
        <v>47</v>
      </c>
      <c r="F110" s="44"/>
      <c r="G110" s="48"/>
      <c r="H110" s="44">
        <f t="shared" si="17"/>
        <v>2068.04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/>
      <c r="P110" s="44">
        <f t="shared" si="19"/>
        <v>376.17</v>
      </c>
      <c r="Q110" s="44"/>
      <c r="R110" s="36">
        <v>3122</v>
      </c>
      <c r="S110" s="4">
        <v>393</v>
      </c>
      <c r="T110" s="37" t="s">
        <v>11</v>
      </c>
      <c r="U110" s="44">
        <v>225.1</v>
      </c>
      <c r="V110" s="44">
        <f>50</f>
        <v>50</v>
      </c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394</v>
      </c>
      <c r="C111" s="72" t="s">
        <v>211</v>
      </c>
      <c r="D111" s="44">
        <v>6073.57</v>
      </c>
      <c r="E111" s="44">
        <f>349.5+45</f>
        <v>394.5</v>
      </c>
      <c r="F111" s="44"/>
      <c r="G111" s="48"/>
      <c r="H111" s="44">
        <f t="shared" si="17"/>
        <v>6468.07</v>
      </c>
      <c r="I111" s="44"/>
      <c r="J111" s="44">
        <v>400</v>
      </c>
      <c r="K111" s="44"/>
      <c r="L111" s="44">
        <f t="shared" si="18"/>
        <v>400</v>
      </c>
      <c r="M111" s="44"/>
      <c r="N111" s="44">
        <v>673.02</v>
      </c>
      <c r="O111" s="44"/>
      <c r="P111" s="44">
        <f t="shared" si="19"/>
        <v>673.02</v>
      </c>
      <c r="Q111" s="44"/>
      <c r="R111" s="36">
        <v>3127</v>
      </c>
      <c r="S111" s="4">
        <v>394</v>
      </c>
      <c r="T111" s="37" t="s">
        <v>59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60</v>
      </c>
      <c r="D112" s="44">
        <v>2720.12</v>
      </c>
      <c r="E112" s="44">
        <f>28.5</f>
        <v>28.5</v>
      </c>
      <c r="F112" s="44"/>
      <c r="G112" s="48"/>
      <c r="H112" s="44">
        <f t="shared" si="17"/>
        <v>2748.62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/>
      <c r="P112" s="44">
        <f t="shared" si="19"/>
        <v>310.64000000000004</v>
      </c>
      <c r="Q112" s="44"/>
      <c r="R112" s="36">
        <v>3122</v>
      </c>
      <c r="S112" s="4">
        <v>395</v>
      </c>
      <c r="T112" s="37" t="s">
        <v>60</v>
      </c>
      <c r="U112" s="44"/>
      <c r="V112" s="44"/>
      <c r="W112" s="44"/>
      <c r="X112" s="44">
        <f t="shared" si="20"/>
        <v>0</v>
      </c>
      <c r="Y112" s="44"/>
      <c r="Z112" s="44"/>
      <c r="AA112" s="44"/>
      <c r="AB112" s="44"/>
      <c r="AC112" s="44">
        <f t="shared" si="21"/>
        <v>0</v>
      </c>
    </row>
    <row r="113" spans="1:29" ht="26.25">
      <c r="A113" s="36">
        <v>3127</v>
      </c>
      <c r="B113" s="4">
        <v>397</v>
      </c>
      <c r="C113" s="65" t="s">
        <v>238</v>
      </c>
      <c r="D113" s="44">
        <v>5416.3</v>
      </c>
      <c r="E113" s="44">
        <f>20.5+59.01</f>
        <v>79.50999999999999</v>
      </c>
      <c r="F113" s="44"/>
      <c r="G113" s="48">
        <v>720.65</v>
      </c>
      <c r="H113" s="44">
        <f t="shared" si="17"/>
        <v>6216.46</v>
      </c>
      <c r="I113" s="44"/>
      <c r="J113" s="44"/>
      <c r="K113" s="44"/>
      <c r="L113" s="44">
        <f t="shared" si="18"/>
        <v>0</v>
      </c>
      <c r="M113" s="44"/>
      <c r="N113" s="44">
        <v>693.7</v>
      </c>
      <c r="O113" s="44"/>
      <c r="P113" s="44">
        <f t="shared" si="19"/>
        <v>693.7</v>
      </c>
      <c r="Q113" s="44"/>
      <c r="R113" s="36">
        <v>3127</v>
      </c>
      <c r="S113" s="4">
        <v>397</v>
      </c>
      <c r="T113" s="65" t="s">
        <v>145</v>
      </c>
      <c r="U113" s="44">
        <v>850</v>
      </c>
      <c r="V113" s="44">
        <f>-550</f>
        <v>-550</v>
      </c>
      <c r="W113" s="44"/>
      <c r="X113" s="44">
        <f t="shared" si="20"/>
        <v>300</v>
      </c>
      <c r="Y113" s="44"/>
      <c r="Z113" s="44"/>
      <c r="AA113" s="44">
        <f>550</f>
        <v>550</v>
      </c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27</v>
      </c>
      <c r="D114" s="44">
        <v>4047.8399999999997</v>
      </c>
      <c r="E114" s="44">
        <f>-977.3+56.16</f>
        <v>-921.14</v>
      </c>
      <c r="F114" s="44"/>
      <c r="G114" s="48"/>
      <c r="H114" s="44">
        <f t="shared" si="17"/>
        <v>3126.7</v>
      </c>
      <c r="I114" s="44"/>
      <c r="J114" s="44"/>
      <c r="K114" s="44"/>
      <c r="L114" s="44">
        <f t="shared" si="18"/>
        <v>0</v>
      </c>
      <c r="M114" s="44"/>
      <c r="N114" s="44">
        <v>151.77</v>
      </c>
      <c r="O114" s="44"/>
      <c r="P114" s="44">
        <f t="shared" si="19"/>
        <v>151.77</v>
      </c>
      <c r="Q114" s="44"/>
      <c r="R114" s="36">
        <v>3127</v>
      </c>
      <c r="S114" s="4">
        <v>399</v>
      </c>
      <c r="T114" s="65" t="s">
        <v>27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12.75">
      <c r="A115" s="36">
        <v>3127</v>
      </c>
      <c r="B115" s="4">
        <v>400</v>
      </c>
      <c r="C115" s="73" t="s">
        <v>212</v>
      </c>
      <c r="D115" s="44">
        <v>4088.41</v>
      </c>
      <c r="E115" s="44">
        <f>51.3+133.5</f>
        <v>184.8</v>
      </c>
      <c r="F115" s="44"/>
      <c r="G115" s="48"/>
      <c r="H115" s="44">
        <f t="shared" si="17"/>
        <v>4273.21</v>
      </c>
      <c r="I115" s="44"/>
      <c r="J115" s="44"/>
      <c r="K115" s="44"/>
      <c r="L115" s="44">
        <f t="shared" si="18"/>
        <v>0</v>
      </c>
      <c r="M115" s="44"/>
      <c r="N115" s="44">
        <v>490.99</v>
      </c>
      <c r="O115" s="44"/>
      <c r="P115" s="44">
        <f t="shared" si="19"/>
        <v>490.99</v>
      </c>
      <c r="Q115" s="44"/>
      <c r="R115" s="36">
        <v>3127</v>
      </c>
      <c r="S115" s="4">
        <v>400</v>
      </c>
      <c r="T115" s="65" t="s">
        <v>146</v>
      </c>
      <c r="U115" s="44"/>
      <c r="V115" s="44"/>
      <c r="W115" s="44"/>
      <c r="X115" s="44">
        <f t="shared" si="20"/>
        <v>0</v>
      </c>
      <c r="Y115" s="44"/>
      <c r="Z115" s="44"/>
      <c r="AA115" s="44">
        <f>600</f>
        <v>600</v>
      </c>
      <c r="AB115" s="44"/>
      <c r="AC115" s="44">
        <f t="shared" si="21"/>
        <v>600</v>
      </c>
    </row>
    <row r="116" spans="1:29" ht="12.75">
      <c r="A116" s="36">
        <v>3124</v>
      </c>
      <c r="B116" s="4">
        <v>401</v>
      </c>
      <c r="C116" s="37" t="s">
        <v>213</v>
      </c>
      <c r="D116" s="44">
        <v>3380.4500000000003</v>
      </c>
      <c r="E116" s="44">
        <f>8+101</f>
        <v>109</v>
      </c>
      <c r="F116" s="44"/>
      <c r="G116" s="48"/>
      <c r="H116" s="44">
        <f t="shared" si="17"/>
        <v>3489.4500000000003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147</v>
      </c>
      <c r="U116" s="44"/>
      <c r="V116" s="44"/>
      <c r="W116" s="44"/>
      <c r="X116" s="44">
        <f t="shared" si="20"/>
        <v>0</v>
      </c>
      <c r="Y116" s="44"/>
      <c r="Z116" s="44">
        <v>600</v>
      </c>
      <c r="AA116" s="44"/>
      <c r="AB116" s="44"/>
      <c r="AC116" s="44">
        <f t="shared" si="21"/>
        <v>600</v>
      </c>
    </row>
    <row r="117" spans="1:29" ht="12.75">
      <c r="A117" s="36">
        <v>3121</v>
      </c>
      <c r="B117" s="4">
        <v>409</v>
      </c>
      <c r="C117" s="72" t="s">
        <v>214</v>
      </c>
      <c r="D117" s="44">
        <v>2572.3900000000003</v>
      </c>
      <c r="E117" s="44">
        <f>33</f>
        <v>33</v>
      </c>
      <c r="F117" s="44"/>
      <c r="G117" s="48"/>
      <c r="H117" s="44">
        <f t="shared" si="17"/>
        <v>2605.3900000000003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12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215</v>
      </c>
      <c r="D118" s="44">
        <v>6895.570000000001</v>
      </c>
      <c r="E118" s="44">
        <f>83</f>
        <v>83</v>
      </c>
      <c r="F118" s="44"/>
      <c r="G118" s="48"/>
      <c r="H118" s="44">
        <f t="shared" si="17"/>
        <v>6978.570000000001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13</v>
      </c>
      <c r="U118" s="44">
        <v>5933</v>
      </c>
      <c r="V118" s="44"/>
      <c r="W118" s="44"/>
      <c r="X118" s="44">
        <f t="shared" si="20"/>
        <v>5933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3127</v>
      </c>
      <c r="B119" s="4">
        <v>411</v>
      </c>
      <c r="C119" s="37" t="s">
        <v>16</v>
      </c>
      <c r="D119" s="44">
        <v>2787.58</v>
      </c>
      <c r="E119" s="44">
        <f>-894.2</f>
        <v>-894.2</v>
      </c>
      <c r="F119" s="44"/>
      <c r="G119" s="48"/>
      <c r="H119" s="44">
        <f t="shared" si="17"/>
        <v>1893.3799999999999</v>
      </c>
      <c r="I119" s="44"/>
      <c r="J119" s="44"/>
      <c r="K119" s="44"/>
      <c r="L119" s="44">
        <f t="shared" si="18"/>
        <v>0</v>
      </c>
      <c r="M119" s="44"/>
      <c r="N119" s="44">
        <v>568.4</v>
      </c>
      <c r="O119" s="44"/>
      <c r="P119" s="44">
        <f t="shared" si="19"/>
        <v>568.4</v>
      </c>
      <c r="Q119" s="44"/>
      <c r="R119" s="36">
        <v>3127</v>
      </c>
      <c r="S119" s="4">
        <v>411</v>
      </c>
      <c r="T119" s="37" t="s">
        <v>16</v>
      </c>
      <c r="U119" s="44">
        <v>287</v>
      </c>
      <c r="V119" s="44"/>
      <c r="W119" s="44"/>
      <c r="X119" s="44">
        <f t="shared" si="20"/>
        <v>287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37" t="s">
        <v>216</v>
      </c>
      <c r="D120" s="44">
        <v>3891.13</v>
      </c>
      <c r="E120" s="44">
        <f>902+100</f>
        <v>1002</v>
      </c>
      <c r="F120" s="44"/>
      <c r="G120" s="48"/>
      <c r="H120" s="44">
        <f t="shared" si="17"/>
        <v>4893.13</v>
      </c>
      <c r="I120" s="44"/>
      <c r="J120" s="44"/>
      <c r="K120" s="44"/>
      <c r="L120" s="44">
        <f t="shared" si="18"/>
        <v>0</v>
      </c>
      <c r="M120" s="44"/>
      <c r="N120" s="44">
        <v>23.689999999999998</v>
      </c>
      <c r="O120" s="44"/>
      <c r="P120" s="44">
        <f t="shared" si="19"/>
        <v>23.689999999999998</v>
      </c>
      <c r="Q120" s="44"/>
      <c r="R120" s="36">
        <v>3121</v>
      </c>
      <c r="S120" s="4">
        <v>413</v>
      </c>
      <c r="T120" s="37" t="s">
        <v>41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3122</v>
      </c>
      <c r="B121" s="4">
        <v>414</v>
      </c>
      <c r="C121" s="37" t="s">
        <v>148</v>
      </c>
      <c r="D121" s="44">
        <v>1645.2</v>
      </c>
      <c r="E121" s="44">
        <f>-548+9.68</f>
        <v>-538.32</v>
      </c>
      <c r="F121" s="44"/>
      <c r="G121" s="48"/>
      <c r="H121" s="44">
        <f t="shared" si="17"/>
        <v>1106.88</v>
      </c>
      <c r="I121" s="44"/>
      <c r="J121" s="44"/>
      <c r="K121" s="44"/>
      <c r="L121" s="44">
        <f t="shared" si="18"/>
        <v>0</v>
      </c>
      <c r="M121" s="44"/>
      <c r="N121" s="44">
        <v>127.9</v>
      </c>
      <c r="O121" s="44"/>
      <c r="P121" s="44">
        <f t="shared" si="19"/>
        <v>127.9</v>
      </c>
      <c r="Q121" s="44"/>
      <c r="R121" s="36">
        <v>3122</v>
      </c>
      <c r="S121" s="4">
        <v>414</v>
      </c>
      <c r="T121" s="37" t="s">
        <v>148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6.25">
      <c r="A122" s="36">
        <v>3122</v>
      </c>
      <c r="B122" s="4">
        <v>415</v>
      </c>
      <c r="C122" s="65" t="s">
        <v>217</v>
      </c>
      <c r="D122" s="44">
        <v>3353.48</v>
      </c>
      <c r="E122" s="44">
        <f>566.4+402.89</f>
        <v>969.29</v>
      </c>
      <c r="F122" s="44"/>
      <c r="G122" s="48"/>
      <c r="H122" s="44">
        <f t="shared" si="17"/>
        <v>4322.77</v>
      </c>
      <c r="I122" s="44"/>
      <c r="J122" s="44"/>
      <c r="K122" s="44"/>
      <c r="L122" s="44">
        <f t="shared" si="18"/>
        <v>0</v>
      </c>
      <c r="M122" s="44"/>
      <c r="N122" s="44">
        <v>351.52</v>
      </c>
      <c r="O122" s="44"/>
      <c r="P122" s="44">
        <f t="shared" si="19"/>
        <v>351.52</v>
      </c>
      <c r="Q122" s="44"/>
      <c r="R122" s="36">
        <v>3122</v>
      </c>
      <c r="S122" s="4">
        <v>415</v>
      </c>
      <c r="T122" s="65" t="s">
        <v>149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218</v>
      </c>
      <c r="D123" s="44">
        <v>12859.5</v>
      </c>
      <c r="E123" s="44">
        <f>250.6+225</f>
        <v>475.6</v>
      </c>
      <c r="F123" s="44"/>
      <c r="G123" s="48"/>
      <c r="H123" s="44">
        <f t="shared" si="17"/>
        <v>13335.1</v>
      </c>
      <c r="I123" s="44"/>
      <c r="J123" s="44"/>
      <c r="K123" s="55">
        <f>185</f>
        <v>185</v>
      </c>
      <c r="L123" s="44">
        <f t="shared" si="18"/>
        <v>185</v>
      </c>
      <c r="M123" s="44"/>
      <c r="N123" s="44">
        <v>1874.08</v>
      </c>
      <c r="O123" s="44"/>
      <c r="P123" s="44">
        <f t="shared" si="19"/>
        <v>1874.08</v>
      </c>
      <c r="Q123" s="44"/>
      <c r="R123" s="36">
        <v>3127</v>
      </c>
      <c r="S123" s="4">
        <v>416</v>
      </c>
      <c r="T123" s="37" t="s">
        <v>150</v>
      </c>
      <c r="U123" s="44"/>
      <c r="V123" s="44">
        <f>200+100</f>
        <v>300</v>
      </c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12.75">
      <c r="A124" s="36">
        <v>3127</v>
      </c>
      <c r="B124" s="4">
        <v>418</v>
      </c>
      <c r="C124" s="73" t="s">
        <v>219</v>
      </c>
      <c r="D124" s="44">
        <v>6564.49</v>
      </c>
      <c r="E124" s="44">
        <f>154+61</f>
        <v>215</v>
      </c>
      <c r="F124" s="44"/>
      <c r="G124" s="48"/>
      <c r="H124" s="44">
        <f t="shared" si="17"/>
        <v>6779.49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/>
      <c r="P124" s="44">
        <f t="shared" si="19"/>
        <v>585.35</v>
      </c>
      <c r="Q124" s="44"/>
      <c r="R124" s="36">
        <v>3127</v>
      </c>
      <c r="S124" s="4">
        <v>418</v>
      </c>
      <c r="T124" s="65" t="s">
        <v>151</v>
      </c>
      <c r="U124" s="44"/>
      <c r="V124" s="48"/>
      <c r="W124" s="48"/>
      <c r="X124" s="44">
        <f t="shared" si="20"/>
        <v>0</v>
      </c>
      <c r="Y124" s="44"/>
      <c r="Z124" s="44">
        <v>5150</v>
      </c>
      <c r="AA124" s="44">
        <f>400</f>
        <v>400</v>
      </c>
      <c r="AB124" s="44"/>
      <c r="AC124" s="44">
        <f t="shared" si="21"/>
        <v>5550</v>
      </c>
    </row>
    <row r="125" spans="1:29" ht="12.75">
      <c r="A125" s="36">
        <v>3127</v>
      </c>
      <c r="B125" s="4">
        <v>419</v>
      </c>
      <c r="C125" s="37" t="s">
        <v>220</v>
      </c>
      <c r="D125" s="44">
        <v>8214.779999999999</v>
      </c>
      <c r="E125" s="44">
        <f>377.3+90</f>
        <v>467.3</v>
      </c>
      <c r="F125" s="44"/>
      <c r="G125" s="48"/>
      <c r="H125" s="44">
        <f aca="true" t="shared" si="22" ref="H125:H148">D125+E125+F125+G125</f>
        <v>8682.079999999998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/>
      <c r="P125" s="44">
        <f aca="true" t="shared" si="24" ref="P125:P148">N125+O125</f>
        <v>1051.24</v>
      </c>
      <c r="Q125" s="44"/>
      <c r="R125" s="36">
        <v>3127</v>
      </c>
      <c r="S125" s="4">
        <v>419</v>
      </c>
      <c r="T125" s="37" t="s">
        <v>61</v>
      </c>
      <c r="U125" s="44">
        <v>261</v>
      </c>
      <c r="V125" s="44"/>
      <c r="W125" s="44"/>
      <c r="X125" s="44">
        <f aca="true" t="shared" si="25" ref="X125:X148">SUM(U125:W125)</f>
        <v>261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14</v>
      </c>
      <c r="D126" s="44">
        <v>2008.6699999999998</v>
      </c>
      <c r="E126" s="44">
        <f>-557.9</f>
        <v>-557.9</v>
      </c>
      <c r="F126" s="44"/>
      <c r="G126" s="48"/>
      <c r="H126" s="44">
        <f t="shared" si="22"/>
        <v>1450.77</v>
      </c>
      <c r="I126" s="44"/>
      <c r="J126" s="44"/>
      <c r="K126" s="44"/>
      <c r="L126" s="44">
        <f t="shared" si="23"/>
        <v>0</v>
      </c>
      <c r="M126" s="44"/>
      <c r="N126" s="44">
        <v>131.02</v>
      </c>
      <c r="O126" s="44"/>
      <c r="P126" s="44">
        <f t="shared" si="24"/>
        <v>131.02</v>
      </c>
      <c r="Q126" s="44"/>
      <c r="R126" s="36">
        <v>3123</v>
      </c>
      <c r="S126" s="4">
        <v>420</v>
      </c>
      <c r="T126" s="37" t="s">
        <v>14</v>
      </c>
      <c r="U126" s="44">
        <v>800</v>
      </c>
      <c r="V126" s="44"/>
      <c r="W126" s="44"/>
      <c r="X126" s="44">
        <f t="shared" si="25"/>
        <v>800</v>
      </c>
      <c r="Y126" s="44"/>
      <c r="Z126" s="44">
        <v>4052</v>
      </c>
      <c r="AA126" s="44">
        <f>-50</f>
        <v>-50</v>
      </c>
      <c r="AB126" s="44"/>
      <c r="AC126" s="44">
        <f t="shared" si="26"/>
        <v>4002</v>
      </c>
    </row>
    <row r="127" spans="1:29" ht="12.75">
      <c r="A127" s="36">
        <v>3127</v>
      </c>
      <c r="B127" s="4">
        <v>422</v>
      </c>
      <c r="C127" s="37" t="s">
        <v>221</v>
      </c>
      <c r="D127" s="44">
        <v>6660.42</v>
      </c>
      <c r="E127" s="44">
        <f>-2039.6+58</f>
        <v>-1981.6</v>
      </c>
      <c r="F127" s="44"/>
      <c r="G127" s="48"/>
      <c r="H127" s="44">
        <f t="shared" si="22"/>
        <v>4678.82</v>
      </c>
      <c r="I127" s="44"/>
      <c r="J127" s="44"/>
      <c r="K127" s="44"/>
      <c r="L127" s="44">
        <f t="shared" si="23"/>
        <v>0</v>
      </c>
      <c r="M127" s="44"/>
      <c r="N127" s="44">
        <v>623.48</v>
      </c>
      <c r="O127" s="44"/>
      <c r="P127" s="44">
        <f t="shared" si="24"/>
        <v>623.48</v>
      </c>
      <c r="Q127" s="44"/>
      <c r="R127" s="36">
        <v>3127</v>
      </c>
      <c r="S127" s="4">
        <v>422</v>
      </c>
      <c r="T127" s="37" t="s">
        <v>42</v>
      </c>
      <c r="U127" s="44"/>
      <c r="V127" s="44"/>
      <c r="W127" s="44"/>
      <c r="X127" s="44">
        <f t="shared" si="25"/>
        <v>0</v>
      </c>
      <c r="Y127" s="44"/>
      <c r="Z127" s="44">
        <v>700</v>
      </c>
      <c r="AA127" s="44"/>
      <c r="AB127" s="44"/>
      <c r="AC127" s="44">
        <f t="shared" si="26"/>
        <v>700</v>
      </c>
    </row>
    <row r="128" spans="1:29" ht="12.75">
      <c r="A128" s="36">
        <v>3124</v>
      </c>
      <c r="B128" s="4">
        <v>423</v>
      </c>
      <c r="C128" s="37" t="s">
        <v>222</v>
      </c>
      <c r="D128" s="44">
        <v>3975.8999999999996</v>
      </c>
      <c r="E128" s="44">
        <f>44.5+43</f>
        <v>87.5</v>
      </c>
      <c r="F128" s="44"/>
      <c r="G128" s="48"/>
      <c r="H128" s="44">
        <f t="shared" si="22"/>
        <v>4063.3999999999996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/>
      <c r="P128" s="44">
        <f t="shared" si="24"/>
        <v>387.9</v>
      </c>
      <c r="Q128" s="44"/>
      <c r="R128" s="36">
        <v>3124</v>
      </c>
      <c r="S128" s="4">
        <v>423</v>
      </c>
      <c r="T128" s="37" t="s">
        <v>152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153</v>
      </c>
      <c r="D129" s="44">
        <v>1268.9</v>
      </c>
      <c r="E129" s="44">
        <f>120.5</f>
        <v>120.5</v>
      </c>
      <c r="F129" s="44"/>
      <c r="G129" s="48"/>
      <c r="H129" s="44">
        <f t="shared" si="22"/>
        <v>1389.4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/>
      <c r="P129" s="44">
        <f t="shared" si="24"/>
        <v>44.6</v>
      </c>
      <c r="Q129" s="44"/>
      <c r="R129" s="36">
        <v>3112</v>
      </c>
      <c r="S129" s="4">
        <v>425</v>
      </c>
      <c r="T129" s="37" t="s">
        <v>153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62</v>
      </c>
      <c r="D130" s="44">
        <v>827.5</v>
      </c>
      <c r="E130" s="44">
        <f>95.18</f>
        <v>95.18</v>
      </c>
      <c r="F130" s="44"/>
      <c r="G130" s="48"/>
      <c r="H130" s="44">
        <f t="shared" si="22"/>
        <v>922.6800000000001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62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223</v>
      </c>
      <c r="D131" s="44">
        <v>2466.2</v>
      </c>
      <c r="E131" s="44">
        <f>19.73</f>
        <v>19.73</v>
      </c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63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224</v>
      </c>
      <c r="D132" s="44">
        <v>3088.38</v>
      </c>
      <c r="E132" s="44">
        <f>31.5</f>
        <v>31.5</v>
      </c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154</v>
      </c>
      <c r="U132" s="44"/>
      <c r="V132" s="44">
        <f>350</f>
        <v>350</v>
      </c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12.75">
      <c r="A133" s="36">
        <v>3114</v>
      </c>
      <c r="B133" s="4">
        <v>431</v>
      </c>
      <c r="C133" s="73" t="s">
        <v>236</v>
      </c>
      <c r="D133" s="44">
        <v>1574.3000000000002</v>
      </c>
      <c r="E133" s="44">
        <f>155</f>
        <v>155</v>
      </c>
      <c r="F133" s="44"/>
      <c r="G133" s="48"/>
      <c r="H133" s="44">
        <f t="shared" si="22"/>
        <v>1729.3000000000002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155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156</v>
      </c>
      <c r="D134" s="44">
        <v>2427</v>
      </c>
      <c r="E134" s="44">
        <f>75.6</f>
        <v>75.6</v>
      </c>
      <c r="F134" s="44"/>
      <c r="G134" s="48"/>
      <c r="H134" s="44">
        <f t="shared" si="22"/>
        <v>2502.6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156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225</v>
      </c>
      <c r="D135" s="44">
        <v>585.7</v>
      </c>
      <c r="E135" s="44">
        <f>12.46</f>
        <v>12.46</v>
      </c>
      <c r="F135" s="44"/>
      <c r="G135" s="48"/>
      <c r="H135" s="44">
        <f t="shared" si="22"/>
        <v>598.1600000000001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64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157</v>
      </c>
      <c r="D136" s="44">
        <v>2090</v>
      </c>
      <c r="E136" s="44">
        <f>6</f>
        <v>6</v>
      </c>
      <c r="F136" s="44"/>
      <c r="G136" s="48"/>
      <c r="H136" s="44">
        <f t="shared" si="22"/>
        <v>2096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157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12.75">
      <c r="A137" s="36">
        <v>3127</v>
      </c>
      <c r="B137" s="4">
        <v>445</v>
      </c>
      <c r="C137" s="73" t="s">
        <v>226</v>
      </c>
      <c r="D137" s="44">
        <v>8628.85</v>
      </c>
      <c r="E137" s="44">
        <f>375.3+315.6</f>
        <v>690.9000000000001</v>
      </c>
      <c r="F137" s="44"/>
      <c r="G137" s="48"/>
      <c r="H137" s="44">
        <f t="shared" si="22"/>
        <v>9319.75</v>
      </c>
      <c r="I137" s="44"/>
      <c r="J137" s="44"/>
      <c r="K137" s="44"/>
      <c r="L137" s="44">
        <f t="shared" si="23"/>
        <v>0</v>
      </c>
      <c r="M137" s="44"/>
      <c r="N137" s="44">
        <v>944.12</v>
      </c>
      <c r="O137" s="44"/>
      <c r="P137" s="44">
        <f t="shared" si="24"/>
        <v>944.12</v>
      </c>
      <c r="Q137" s="44"/>
      <c r="R137" s="36">
        <v>3127</v>
      </c>
      <c r="S137" s="4">
        <v>445</v>
      </c>
      <c r="T137" s="65" t="s">
        <v>158</v>
      </c>
      <c r="U137" s="44">
        <v>700</v>
      </c>
      <c r="V137" s="44"/>
      <c r="W137" s="44"/>
      <c r="X137" s="44">
        <f t="shared" si="25"/>
        <v>700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65</v>
      </c>
      <c r="D138" s="44">
        <v>1940.38</v>
      </c>
      <c r="E138" s="44">
        <f>-631.9</f>
        <v>-631.9</v>
      </c>
      <c r="F138" s="44"/>
      <c r="G138" s="48"/>
      <c r="H138" s="44">
        <f t="shared" si="22"/>
        <v>1308.48</v>
      </c>
      <c r="I138" s="44"/>
      <c r="J138" s="44"/>
      <c r="K138" s="44"/>
      <c r="L138" s="44">
        <f t="shared" si="23"/>
        <v>0</v>
      </c>
      <c r="M138" s="44"/>
      <c r="N138" s="44">
        <v>228.1</v>
      </c>
      <c r="O138" s="44"/>
      <c r="P138" s="44">
        <f t="shared" si="24"/>
        <v>228.1</v>
      </c>
      <c r="Q138" s="44"/>
      <c r="R138" s="36">
        <v>3127</v>
      </c>
      <c r="S138" s="4">
        <v>446</v>
      </c>
      <c r="T138" s="37" t="s">
        <v>65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227</v>
      </c>
      <c r="D139" s="44">
        <v>3666.46</v>
      </c>
      <c r="E139" s="59">
        <f>41.7+173</f>
        <v>214.7</v>
      </c>
      <c r="F139" s="59"/>
      <c r="G139" s="74"/>
      <c r="H139" s="44">
        <f t="shared" si="22"/>
        <v>3881.16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66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/>
      <c r="AB139" s="59"/>
      <c r="AC139" s="44">
        <f t="shared" si="26"/>
        <v>0</v>
      </c>
    </row>
    <row r="140" spans="1:29" ht="12.75">
      <c r="A140" s="36">
        <v>3127</v>
      </c>
      <c r="B140" s="2">
        <v>450</v>
      </c>
      <c r="C140" s="37" t="s">
        <v>228</v>
      </c>
      <c r="D140" s="44">
        <v>4012.7400000000002</v>
      </c>
      <c r="E140" s="44">
        <f>-1256.1+47.04</f>
        <v>-1209.06</v>
      </c>
      <c r="F140" s="44"/>
      <c r="G140" s="48"/>
      <c r="H140" s="44">
        <f t="shared" si="22"/>
        <v>2803.6800000000003</v>
      </c>
      <c r="I140" s="44"/>
      <c r="J140" s="44"/>
      <c r="K140" s="44"/>
      <c r="L140" s="44">
        <f t="shared" si="23"/>
        <v>0</v>
      </c>
      <c r="M140" s="44"/>
      <c r="N140" s="44">
        <v>109.47</v>
      </c>
      <c r="O140" s="44"/>
      <c r="P140" s="44">
        <f t="shared" si="24"/>
        <v>109.47</v>
      </c>
      <c r="Q140" s="44"/>
      <c r="R140" s="36">
        <v>3127</v>
      </c>
      <c r="S140" s="2">
        <v>450</v>
      </c>
      <c r="T140" s="37" t="s">
        <v>15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159</v>
      </c>
      <c r="D141" s="44">
        <v>1774.09</v>
      </c>
      <c r="E141" s="44">
        <f>25.13</f>
        <v>25.13</v>
      </c>
      <c r="F141" s="44"/>
      <c r="G141" s="48"/>
      <c r="H141" s="44">
        <f t="shared" si="22"/>
        <v>1799.22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159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229</v>
      </c>
      <c r="D142" s="44">
        <v>13313.050000000001</v>
      </c>
      <c r="E142" s="44">
        <f>335.1+98</f>
        <v>433.1</v>
      </c>
      <c r="F142" s="44"/>
      <c r="G142" s="48"/>
      <c r="H142" s="44">
        <f t="shared" si="22"/>
        <v>13746.150000000001</v>
      </c>
      <c r="I142" s="44"/>
      <c r="J142" s="44"/>
      <c r="K142" s="44"/>
      <c r="L142" s="44">
        <f>J142+K142</f>
        <v>0</v>
      </c>
      <c r="M142" s="44"/>
      <c r="N142" s="44">
        <v>3609.79</v>
      </c>
      <c r="O142" s="44"/>
      <c r="P142" s="44">
        <f t="shared" si="24"/>
        <v>3609.79</v>
      </c>
      <c r="Q142" s="44"/>
      <c r="R142" s="36">
        <v>3127</v>
      </c>
      <c r="S142" s="4">
        <v>454</v>
      </c>
      <c r="T142" s="37" t="s">
        <v>160</v>
      </c>
      <c r="U142" s="44">
        <v>368</v>
      </c>
      <c r="V142" s="44">
        <f>1800+103</f>
        <v>1903</v>
      </c>
      <c r="W142" s="44"/>
      <c r="X142" s="44">
        <f t="shared" si="25"/>
        <v>2271</v>
      </c>
      <c r="Y142" s="44"/>
      <c r="Z142" s="44">
        <v>11458</v>
      </c>
      <c r="AA142" s="44">
        <f>-103</f>
        <v>-103</v>
      </c>
      <c r="AB142" s="44"/>
      <c r="AC142" s="44">
        <f t="shared" si="26"/>
        <v>11355</v>
      </c>
    </row>
    <row r="143" spans="1:29" ht="12.75">
      <c r="A143" s="35">
        <v>3146</v>
      </c>
      <c r="B143" s="2">
        <v>455</v>
      </c>
      <c r="C143" s="78" t="s">
        <v>161</v>
      </c>
      <c r="D143" s="59">
        <v>5298.400000000001</v>
      </c>
      <c r="E143" s="79">
        <f>50+217</f>
        <v>267</v>
      </c>
      <c r="F143" s="79"/>
      <c r="G143" s="80"/>
      <c r="H143" s="59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79">
        <v>186.07999999999998</v>
      </c>
      <c r="O143" s="79"/>
      <c r="P143" s="59">
        <f t="shared" si="24"/>
        <v>186.07999999999998</v>
      </c>
      <c r="Q143" s="79"/>
      <c r="R143" s="35">
        <v>3146</v>
      </c>
      <c r="S143" s="2">
        <v>455</v>
      </c>
      <c r="T143" s="78" t="s">
        <v>161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232</v>
      </c>
      <c r="D144" s="44"/>
      <c r="E144" s="44">
        <f>4290</f>
        <v>4290</v>
      </c>
      <c r="F144" s="44"/>
      <c r="G144" s="48"/>
      <c r="H144" s="59">
        <f t="shared" si="22"/>
        <v>4290</v>
      </c>
      <c r="I144" s="44"/>
      <c r="J144" s="44"/>
      <c r="K144" s="44"/>
      <c r="L144" s="44">
        <f t="shared" si="23"/>
        <v>0</v>
      </c>
      <c r="M144" s="44"/>
      <c r="N144" s="44"/>
      <c r="O144" s="44"/>
      <c r="P144" s="59">
        <f t="shared" si="24"/>
        <v>0</v>
      </c>
      <c r="Q144" s="44"/>
      <c r="R144" s="36">
        <v>3127</v>
      </c>
      <c r="S144" s="4">
        <v>456</v>
      </c>
      <c r="T144" s="65" t="s">
        <v>232</v>
      </c>
      <c r="U144" s="44"/>
      <c r="V144" s="44"/>
      <c r="W144" s="44"/>
      <c r="X144" s="59">
        <f t="shared" si="25"/>
        <v>0</v>
      </c>
      <c r="Y144" s="44"/>
      <c r="Z144" s="44"/>
      <c r="AA144" s="44"/>
      <c r="AB144" s="44"/>
      <c r="AC144" s="59">
        <f t="shared" si="26"/>
        <v>0</v>
      </c>
    </row>
    <row r="145" spans="1:29" ht="12.75">
      <c r="A145" s="36">
        <v>3127</v>
      </c>
      <c r="B145" s="4">
        <v>457</v>
      </c>
      <c r="C145" s="65" t="s">
        <v>231</v>
      </c>
      <c r="D145" s="44"/>
      <c r="E145" s="44">
        <f>1842</f>
        <v>1842</v>
      </c>
      <c r="F145" s="44"/>
      <c r="G145" s="48"/>
      <c r="H145" s="59">
        <f t="shared" si="22"/>
        <v>1842</v>
      </c>
      <c r="I145" s="44"/>
      <c r="J145" s="44"/>
      <c r="K145" s="44"/>
      <c r="L145" s="44">
        <f t="shared" si="23"/>
        <v>0</v>
      </c>
      <c r="M145" s="44"/>
      <c r="N145" s="44"/>
      <c r="O145" s="44"/>
      <c r="P145" s="59">
        <f t="shared" si="24"/>
        <v>0</v>
      </c>
      <c r="Q145" s="44"/>
      <c r="R145" s="36">
        <v>3127</v>
      </c>
      <c r="S145" s="4">
        <v>457</v>
      </c>
      <c r="T145" s="65" t="s">
        <v>231</v>
      </c>
      <c r="U145" s="44"/>
      <c r="V145" s="44"/>
      <c r="W145" s="44"/>
      <c r="X145" s="59">
        <f t="shared" si="25"/>
        <v>0</v>
      </c>
      <c r="Y145" s="44"/>
      <c r="Z145" s="44"/>
      <c r="AA145" s="44"/>
      <c r="AB145" s="44"/>
      <c r="AC145" s="59">
        <f t="shared" si="26"/>
        <v>0</v>
      </c>
    </row>
    <row r="146" spans="1:29" ht="12.75">
      <c r="A146" s="36">
        <v>3127</v>
      </c>
      <c r="B146" s="4">
        <v>458</v>
      </c>
      <c r="C146" s="65" t="s">
        <v>233</v>
      </c>
      <c r="D146" s="44"/>
      <c r="E146" s="44">
        <f>3543</f>
        <v>3543</v>
      </c>
      <c r="F146" s="44"/>
      <c r="G146" s="48"/>
      <c r="H146" s="59">
        <f t="shared" si="22"/>
        <v>3543</v>
      </c>
      <c r="I146" s="44"/>
      <c r="J146" s="44"/>
      <c r="K146" s="44"/>
      <c r="L146" s="44">
        <f t="shared" si="23"/>
        <v>0</v>
      </c>
      <c r="M146" s="44"/>
      <c r="N146" s="44"/>
      <c r="O146" s="44"/>
      <c r="P146" s="59">
        <f t="shared" si="24"/>
        <v>0</v>
      </c>
      <c r="Q146" s="44"/>
      <c r="R146" s="36">
        <v>3127</v>
      </c>
      <c r="S146" s="4">
        <v>458</v>
      </c>
      <c r="T146" s="65" t="s">
        <v>233</v>
      </c>
      <c r="U146" s="44"/>
      <c r="V146" s="44"/>
      <c r="W146" s="44"/>
      <c r="X146" s="59">
        <f t="shared" si="25"/>
        <v>0</v>
      </c>
      <c r="Y146" s="44"/>
      <c r="Z146" s="44"/>
      <c r="AA146" s="44"/>
      <c r="AB146" s="44"/>
      <c r="AC146" s="59">
        <f t="shared" si="26"/>
        <v>0</v>
      </c>
    </row>
    <row r="147" spans="1:29" ht="12.75">
      <c r="A147" s="36">
        <v>3127</v>
      </c>
      <c r="B147" s="4">
        <v>459</v>
      </c>
      <c r="C147" s="65" t="s">
        <v>234</v>
      </c>
      <c r="D147" s="44"/>
      <c r="E147" s="44">
        <f>2896</f>
        <v>2896</v>
      </c>
      <c r="F147" s="44"/>
      <c r="G147" s="48"/>
      <c r="H147" s="59">
        <f t="shared" si="22"/>
        <v>2896</v>
      </c>
      <c r="I147" s="44"/>
      <c r="J147" s="44"/>
      <c r="K147" s="44"/>
      <c r="L147" s="44">
        <f t="shared" si="23"/>
        <v>0</v>
      </c>
      <c r="M147" s="44"/>
      <c r="N147" s="44"/>
      <c r="O147" s="44"/>
      <c r="P147" s="59">
        <f t="shared" si="24"/>
        <v>0</v>
      </c>
      <c r="Q147" s="44"/>
      <c r="R147" s="36">
        <v>3127</v>
      </c>
      <c r="S147" s="4">
        <v>459</v>
      </c>
      <c r="T147" s="65" t="s">
        <v>234</v>
      </c>
      <c r="U147" s="44"/>
      <c r="V147" s="44"/>
      <c r="W147" s="44"/>
      <c r="X147" s="59">
        <f t="shared" si="25"/>
        <v>0</v>
      </c>
      <c r="Y147" s="44"/>
      <c r="Z147" s="44"/>
      <c r="AA147" s="44"/>
      <c r="AB147" s="44"/>
      <c r="AC147" s="59">
        <f t="shared" si="26"/>
        <v>0</v>
      </c>
    </row>
    <row r="148" spans="1:29" ht="13.5" thickBot="1">
      <c r="A148" s="81">
        <v>3127</v>
      </c>
      <c r="B148" s="82">
        <v>460</v>
      </c>
      <c r="C148" s="83" t="s">
        <v>235</v>
      </c>
      <c r="D148" s="60"/>
      <c r="E148" s="60">
        <f>3198</f>
        <v>3198</v>
      </c>
      <c r="F148" s="60"/>
      <c r="G148" s="75"/>
      <c r="H148" s="84">
        <f t="shared" si="22"/>
        <v>3198</v>
      </c>
      <c r="I148" s="60"/>
      <c r="J148" s="60"/>
      <c r="K148" s="60"/>
      <c r="L148" s="60">
        <f t="shared" si="23"/>
        <v>0</v>
      </c>
      <c r="M148" s="60"/>
      <c r="N148" s="60"/>
      <c r="O148" s="60"/>
      <c r="P148" s="84">
        <f t="shared" si="24"/>
        <v>0</v>
      </c>
      <c r="Q148" s="60"/>
      <c r="R148" s="81">
        <v>3127</v>
      </c>
      <c r="S148" s="82">
        <v>460</v>
      </c>
      <c r="T148" s="83" t="s">
        <v>235</v>
      </c>
      <c r="U148" s="60"/>
      <c r="V148" s="60"/>
      <c r="W148" s="60"/>
      <c r="X148" s="84">
        <f t="shared" si="25"/>
        <v>0</v>
      </c>
      <c r="Y148" s="60"/>
      <c r="Z148" s="60"/>
      <c r="AA148" s="60"/>
      <c r="AB148" s="60"/>
      <c r="AC148" s="84">
        <f t="shared" si="26"/>
        <v>0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65" sqref="G6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6.421875" style="0" customWidth="1"/>
    <col min="4" max="4" width="10.28125" style="0" customWidth="1"/>
    <col min="5" max="5" width="9.7109375" style="0" customWidth="1"/>
    <col min="6" max="6" width="7.5742187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8.7109375" style="0" customWidth="1"/>
    <col min="13" max="13" width="0" style="0" hidden="1" customWidth="1"/>
    <col min="14" max="14" width="9.851562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73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72</v>
      </c>
    </row>
    <row r="2" spans="1:29" ht="21" customHeight="1">
      <c r="A2" s="97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46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46</v>
      </c>
    </row>
    <row r="4" spans="1:29" ht="13.5" customHeight="1" thickBot="1">
      <c r="A4" s="91" t="s">
        <v>17</v>
      </c>
      <c r="B4" s="93" t="s">
        <v>40</v>
      </c>
      <c r="C4" s="95" t="s">
        <v>0</v>
      </c>
      <c r="D4" s="85" t="s">
        <v>68</v>
      </c>
      <c r="E4" s="86"/>
      <c r="F4" s="86"/>
      <c r="G4" s="86"/>
      <c r="H4" s="87"/>
      <c r="I4" s="14"/>
      <c r="J4" s="85" t="s">
        <v>75</v>
      </c>
      <c r="K4" s="86"/>
      <c r="L4" s="87"/>
      <c r="M4" s="15"/>
      <c r="N4" s="88" t="s">
        <v>110</v>
      </c>
      <c r="O4" s="89"/>
      <c r="P4" s="90"/>
      <c r="Q4" s="30"/>
      <c r="R4" s="91" t="s">
        <v>17</v>
      </c>
      <c r="S4" s="93" t="s">
        <v>40</v>
      </c>
      <c r="T4" s="95" t="s">
        <v>0</v>
      </c>
      <c r="U4" s="88" t="s">
        <v>93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99"/>
      <c r="B5" s="99"/>
      <c r="C5" s="100"/>
      <c r="D5" s="16" t="s">
        <v>162</v>
      </c>
      <c r="E5" s="16" t="s">
        <v>71</v>
      </c>
      <c r="F5" s="16" t="s">
        <v>74</v>
      </c>
      <c r="G5" s="17" t="s">
        <v>69</v>
      </c>
      <c r="H5" s="16" t="s">
        <v>167</v>
      </c>
      <c r="I5" s="16"/>
      <c r="J5" s="18" t="s">
        <v>80</v>
      </c>
      <c r="K5" s="18" t="s">
        <v>76</v>
      </c>
      <c r="L5" s="18" t="s">
        <v>168</v>
      </c>
      <c r="M5" s="18"/>
      <c r="N5" s="19" t="s">
        <v>81</v>
      </c>
      <c r="O5" s="16" t="s">
        <v>71</v>
      </c>
      <c r="P5" s="19" t="s">
        <v>169</v>
      </c>
      <c r="Q5" s="19"/>
      <c r="R5" s="92"/>
      <c r="S5" s="94"/>
      <c r="T5" s="96"/>
      <c r="U5" s="27" t="s">
        <v>94</v>
      </c>
      <c r="V5" s="27" t="s">
        <v>70</v>
      </c>
      <c r="W5" s="27" t="s">
        <v>74</v>
      </c>
      <c r="X5" s="27" t="s">
        <v>170</v>
      </c>
      <c r="Y5" s="18"/>
      <c r="Z5" s="27" t="s">
        <v>82</v>
      </c>
      <c r="AA5" s="27" t="s">
        <v>70</v>
      </c>
      <c r="AB5" s="27" t="s">
        <v>74</v>
      </c>
      <c r="AC5" s="27" t="s">
        <v>171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22</v>
      </c>
      <c r="D7" s="42">
        <f>D9</f>
        <v>21152.9</v>
      </c>
      <c r="E7" s="42">
        <f aca="true" t="shared" si="0" ref="E7:P7">E9</f>
        <v>4147.1</v>
      </c>
      <c r="F7" s="42">
        <f t="shared" si="0"/>
        <v>0</v>
      </c>
      <c r="G7" s="42">
        <f t="shared" si="0"/>
        <v>0</v>
      </c>
      <c r="H7" s="42">
        <f t="shared" si="0"/>
        <v>25300</v>
      </c>
      <c r="I7" s="42">
        <f t="shared" si="0"/>
        <v>0</v>
      </c>
      <c r="J7" s="42">
        <f t="shared" si="0"/>
        <v>6000</v>
      </c>
      <c r="K7" s="42">
        <f t="shared" si="0"/>
        <v>-6000</v>
      </c>
      <c r="L7" s="42">
        <f t="shared" si="0"/>
        <v>0</v>
      </c>
      <c r="M7" s="42">
        <f t="shared" si="0"/>
        <v>0</v>
      </c>
      <c r="N7" s="42">
        <f t="shared" si="0"/>
        <v>4.6</v>
      </c>
      <c r="O7" s="42">
        <f t="shared" si="0"/>
        <v>105.55</v>
      </c>
      <c r="P7" s="42">
        <f t="shared" si="0"/>
        <v>110.14999999999999</v>
      </c>
      <c r="Q7" s="42"/>
      <c r="R7" s="61"/>
      <c r="S7" s="62"/>
      <c r="T7" s="42" t="s">
        <v>88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47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108</v>
      </c>
      <c r="D9" s="44">
        <v>21152.9</v>
      </c>
      <c r="E9" s="44">
        <f>4147.1</f>
        <v>4147.1</v>
      </c>
      <c r="F9" s="45"/>
      <c r="G9" s="44"/>
      <c r="H9" s="44">
        <f>D9+E9+F9+G9</f>
        <v>25300</v>
      </c>
      <c r="I9" s="44"/>
      <c r="J9" s="44">
        <v>6000</v>
      </c>
      <c r="K9" s="44">
        <v>-6000</v>
      </c>
      <c r="L9" s="44">
        <f>J9+K9</f>
        <v>0</v>
      </c>
      <c r="M9" s="44"/>
      <c r="N9" s="44">
        <v>4.6</v>
      </c>
      <c r="O9" s="44">
        <f>105.55</f>
        <v>105.55</v>
      </c>
      <c r="P9" s="44">
        <f>N9+O9</f>
        <v>110.14999999999999</v>
      </c>
      <c r="Q9" s="44"/>
      <c r="R9" s="63">
        <v>2212</v>
      </c>
      <c r="S9" s="64">
        <v>901</v>
      </c>
      <c r="T9" s="47" t="s">
        <v>108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101</v>
      </c>
      <c r="D10" s="42">
        <f>D13+D12</f>
        <v>50547</v>
      </c>
      <c r="E10" s="42">
        <f aca="true" t="shared" si="1" ref="E10:P10">E13+E12</f>
        <v>5000</v>
      </c>
      <c r="F10" s="42">
        <f t="shared" si="1"/>
        <v>0</v>
      </c>
      <c r="G10" s="42">
        <f t="shared" si="1"/>
        <v>1679.53</v>
      </c>
      <c r="H10" s="42">
        <f t="shared" si="1"/>
        <v>57226.53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0</v>
      </c>
      <c r="P10" s="42">
        <f t="shared" si="1"/>
        <v>268.8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115</v>
      </c>
      <c r="D12" s="44">
        <v>33842</v>
      </c>
      <c r="E12" s="44">
        <f>5000</f>
        <v>5000</v>
      </c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/>
      <c r="P12" s="44">
        <f>N12+O12</f>
        <v>268.8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240</v>
      </c>
      <c r="D13" s="55">
        <v>16705</v>
      </c>
      <c r="E13" s="48"/>
      <c r="F13" s="44"/>
      <c r="G13" s="44">
        <f>802+877.53</f>
        <v>1679.53</v>
      </c>
      <c r="H13" s="44">
        <f>D13+E13+F13+G13</f>
        <v>18384.53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23</v>
      </c>
      <c r="D14" s="51">
        <f>SUM(D16:D20)</f>
        <v>232794</v>
      </c>
      <c r="E14" s="51">
        <f aca="true" t="shared" si="2" ref="E14:P14">SUM(E16:E20)</f>
        <v>0</v>
      </c>
      <c r="F14" s="51">
        <f t="shared" si="2"/>
        <v>0</v>
      </c>
      <c r="G14" s="51">
        <f t="shared" si="2"/>
        <v>0</v>
      </c>
      <c r="H14" s="51">
        <f t="shared" si="2"/>
        <v>232794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89</v>
      </c>
      <c r="U14" s="51">
        <f>SUM(U16:U20)</f>
        <v>6201.91</v>
      </c>
      <c r="V14" s="51">
        <f>SUM(V16:V20)</f>
        <v>1472</v>
      </c>
      <c r="W14" s="51">
        <f>SUM(W16:W20)</f>
        <v>0</v>
      </c>
      <c r="X14" s="51">
        <f>SUM(X16:X20)</f>
        <v>7673.91</v>
      </c>
      <c r="Y14" s="51"/>
      <c r="Z14" s="51">
        <f>SUM(Z16:Z20)</f>
        <v>45907.16</v>
      </c>
      <c r="AA14" s="51">
        <f>SUM(AA16:AA20)</f>
        <v>-1822</v>
      </c>
      <c r="AB14" s="51">
        <f>SUM(AB16:AB20)</f>
        <v>0</v>
      </c>
      <c r="AC14" s="51">
        <f>SUM(AC16:AC20)</f>
        <v>44085.16</v>
      </c>
    </row>
    <row r="15" spans="1:29" ht="12.75">
      <c r="A15" s="36"/>
      <c r="B15" s="4"/>
      <c r="C15" s="6" t="s">
        <v>47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99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/>
      <c r="L16" s="44">
        <f>J16+K16</f>
        <v>0</v>
      </c>
      <c r="M16" s="44"/>
      <c r="N16" s="44">
        <v>8270</v>
      </c>
      <c r="O16" s="44"/>
      <c r="P16" s="44">
        <f>N16+O16</f>
        <v>8270</v>
      </c>
      <c r="Q16" s="44"/>
      <c r="R16" s="63">
        <v>3526</v>
      </c>
      <c r="S16" s="4">
        <v>507</v>
      </c>
      <c r="T16" s="52" t="s">
        <v>29</v>
      </c>
      <c r="U16" s="44">
        <v>757</v>
      </c>
      <c r="V16" s="44">
        <f>1822</f>
        <v>1822</v>
      </c>
      <c r="W16" s="44"/>
      <c r="X16" s="44">
        <f>SUM(U16:W16)</f>
        <v>2579</v>
      </c>
      <c r="Y16" s="44"/>
      <c r="Z16" s="44">
        <v>16222</v>
      </c>
      <c r="AA16" s="44">
        <f>-1822</f>
        <v>-1822</v>
      </c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30</v>
      </c>
      <c r="D17" s="44">
        <v>9800</v>
      </c>
      <c r="E17" s="44"/>
      <c r="F17" s="44"/>
      <c r="G17" s="44"/>
      <c r="H17" s="44">
        <f>D17+E17+F17+G17</f>
        <v>9800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63">
        <v>3524</v>
      </c>
      <c r="S17" s="4">
        <v>508</v>
      </c>
      <c r="T17" s="52" t="s">
        <v>30</v>
      </c>
      <c r="U17" s="44">
        <v>5444.91</v>
      </c>
      <c r="V17" s="44">
        <f>-350</f>
        <v>-350</v>
      </c>
      <c r="W17" s="44"/>
      <c r="X17" s="44">
        <f>SUM(U17:W17)</f>
        <v>5094.91</v>
      </c>
      <c r="Y17" s="44"/>
      <c r="Z17" s="44"/>
      <c r="AA17" s="44"/>
      <c r="AB17" s="44"/>
      <c r="AC17" s="44">
        <f>SUM(Z17:AB17)</f>
        <v>0</v>
      </c>
    </row>
    <row r="18" spans="1:29" ht="12.75" customHeight="1">
      <c r="A18" s="36">
        <v>3524</v>
      </c>
      <c r="B18" s="4">
        <v>509</v>
      </c>
      <c r="C18" s="7" t="s">
        <v>28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63">
        <v>3524</v>
      </c>
      <c r="S18" s="4">
        <v>509</v>
      </c>
      <c r="T18" s="52" t="s">
        <v>28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111</v>
      </c>
      <c r="D19" s="44">
        <v>174570</v>
      </c>
      <c r="E19" s="44"/>
      <c r="F19" s="44"/>
      <c r="G19" s="44"/>
      <c r="H19" s="44">
        <f>D19+E19+F19+G19</f>
        <v>174570</v>
      </c>
      <c r="I19" s="44"/>
      <c r="J19" s="44"/>
      <c r="K19" s="44"/>
      <c r="L19" s="44">
        <f>J19+K19</f>
        <v>0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63">
        <v>3533</v>
      </c>
      <c r="S19" s="4">
        <v>511</v>
      </c>
      <c r="T19" s="52" t="s">
        <v>45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/>
      <c r="G20" s="44"/>
      <c r="H20" s="44">
        <f>D20+E20+F20+G20</f>
        <v>6535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24</v>
      </c>
      <c r="D21" s="42">
        <f>SUM(D23:D32)</f>
        <v>184583.94000000003</v>
      </c>
      <c r="E21" s="42">
        <f aca="true" t="shared" si="3" ref="E21:P21">SUM(E23:E32)</f>
        <v>-533.6</v>
      </c>
      <c r="F21" s="42">
        <f t="shared" si="3"/>
        <v>0</v>
      </c>
      <c r="G21" s="42">
        <f t="shared" si="3"/>
        <v>0</v>
      </c>
      <c r="H21" s="42">
        <f t="shared" si="3"/>
        <v>184050.34000000003</v>
      </c>
      <c r="I21" s="42">
        <f t="shared" si="3"/>
        <v>0</v>
      </c>
      <c r="J21" s="42">
        <f t="shared" si="3"/>
        <v>0</v>
      </c>
      <c r="K21" s="42">
        <f t="shared" si="3"/>
        <v>3760</v>
      </c>
      <c r="L21" s="42">
        <f t="shared" si="3"/>
        <v>3760</v>
      </c>
      <c r="M21" s="42">
        <f t="shared" si="3"/>
        <v>0</v>
      </c>
      <c r="N21" s="42">
        <f t="shared" si="3"/>
        <v>9053.099999999999</v>
      </c>
      <c r="O21" s="42">
        <f t="shared" si="3"/>
        <v>526.4</v>
      </c>
      <c r="P21" s="42">
        <f t="shared" si="3"/>
        <v>9579.5</v>
      </c>
      <c r="Q21" s="42"/>
      <c r="R21" s="61"/>
      <c r="S21" s="62"/>
      <c r="T21" s="42" t="s">
        <v>90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2348</v>
      </c>
      <c r="AA21" s="42">
        <f>SUM(AA23:AA32)</f>
        <v>0</v>
      </c>
      <c r="AB21" s="42">
        <f>SUM(AB23:AB32)</f>
        <v>0</v>
      </c>
      <c r="AC21" s="42">
        <f>SUM(AC23:AC32)</f>
        <v>2348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1"/>
      <c r="S22" s="62"/>
      <c r="T22" s="46" t="s">
        <v>47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22320.1</v>
      </c>
      <c r="E23" s="44">
        <f>-1200</f>
        <v>-1200</v>
      </c>
      <c r="F23" s="44"/>
      <c r="G23" s="44"/>
      <c r="H23" s="44">
        <f>D23+E23+F23+G23</f>
        <v>21120.1</v>
      </c>
      <c r="I23" s="44"/>
      <c r="J23" s="44"/>
      <c r="K23" s="44">
        <f>1200</f>
        <v>1200</v>
      </c>
      <c r="L23" s="44">
        <f aca="true" t="shared" si="4" ref="L23:L32">J23+K23</f>
        <v>1200</v>
      </c>
      <c r="M23" s="44"/>
      <c r="N23" s="44">
        <v>751.1</v>
      </c>
      <c r="O23" s="44">
        <v>3</v>
      </c>
      <c r="P23" s="44">
        <f aca="true" t="shared" si="5" ref="P23:P32">N23+O23</f>
        <v>754.1</v>
      </c>
      <c r="Q23" s="44"/>
      <c r="R23" s="6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4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79</v>
      </c>
      <c r="D24" s="44">
        <v>6953.3</v>
      </c>
      <c r="E24" s="44"/>
      <c r="F24" s="44"/>
      <c r="G24" s="44"/>
      <c r="H24" s="44">
        <f aca="true" t="shared" si="8" ref="H24:H32">D24+E24+F24+G24</f>
        <v>6953.3</v>
      </c>
      <c r="I24" s="44"/>
      <c r="J24" s="44"/>
      <c r="K24" s="44"/>
      <c r="L24" s="44">
        <f t="shared" si="4"/>
        <v>0</v>
      </c>
      <c r="M24" s="44"/>
      <c r="N24" s="44">
        <v>224</v>
      </c>
      <c r="O24" s="44">
        <v>-44</v>
      </c>
      <c r="P24" s="44">
        <f t="shared" si="5"/>
        <v>180</v>
      </c>
      <c r="Q24" s="44"/>
      <c r="R24" s="6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6"/>
        <v>880</v>
      </c>
      <c r="Y24" s="44"/>
      <c r="Z24" s="44"/>
      <c r="AA24" s="44"/>
      <c r="AB24" s="44"/>
      <c r="AC24" s="44">
        <f t="shared" si="7"/>
        <v>0</v>
      </c>
    </row>
    <row r="25" spans="1:29" ht="12.75">
      <c r="A25" s="36">
        <v>3315</v>
      </c>
      <c r="B25" s="4">
        <v>603</v>
      </c>
      <c r="C25" s="40" t="s">
        <v>100</v>
      </c>
      <c r="D25" s="44">
        <v>40305.5</v>
      </c>
      <c r="E25" s="44">
        <f>526.4-120</f>
        <v>406.4</v>
      </c>
      <c r="F25" s="44"/>
      <c r="G25" s="44"/>
      <c r="H25" s="44">
        <f t="shared" si="8"/>
        <v>40711.9</v>
      </c>
      <c r="I25" s="44"/>
      <c r="J25" s="44"/>
      <c r="K25" s="44">
        <f>120+2400</f>
        <v>2520</v>
      </c>
      <c r="L25" s="44">
        <f t="shared" si="4"/>
        <v>2520</v>
      </c>
      <c r="M25" s="44"/>
      <c r="N25" s="44">
        <v>659.6</v>
      </c>
      <c r="O25" s="44">
        <v>526.4</v>
      </c>
      <c r="P25" s="44">
        <f t="shared" si="5"/>
        <v>1186</v>
      </c>
      <c r="Q25" s="44"/>
      <c r="R25" s="63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4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48</v>
      </c>
      <c r="D26" s="44">
        <v>58344.6</v>
      </c>
      <c r="E26" s="44"/>
      <c r="F26" s="44"/>
      <c r="G26" s="44"/>
      <c r="H26" s="44">
        <f t="shared" si="8"/>
        <v>58344.6</v>
      </c>
      <c r="I26" s="44"/>
      <c r="J26" s="44"/>
      <c r="K26" s="44"/>
      <c r="L26" s="44">
        <f t="shared" si="4"/>
        <v>0</v>
      </c>
      <c r="M26" s="44"/>
      <c r="N26" s="44">
        <v>4424</v>
      </c>
      <c r="O26" s="44">
        <v>-5.8</v>
      </c>
      <c r="P26" s="44">
        <f t="shared" si="5"/>
        <v>4418.2</v>
      </c>
      <c r="Q26" s="44"/>
      <c r="R26" s="63">
        <v>3314</v>
      </c>
      <c r="S26" s="4">
        <v>604</v>
      </c>
      <c r="T26" s="47" t="s">
        <v>48</v>
      </c>
      <c r="U26" s="44"/>
      <c r="V26" s="44"/>
      <c r="W26" s="44"/>
      <c r="X26" s="44">
        <f t="shared" si="6"/>
        <v>0</v>
      </c>
      <c r="Y26" s="44"/>
      <c r="Z26" s="44">
        <v>1500</v>
      </c>
      <c r="AA26" s="44"/>
      <c r="AB26" s="44"/>
      <c r="AC26" s="44">
        <f t="shared" si="7"/>
        <v>1500</v>
      </c>
    </row>
    <row r="27" spans="1:29" ht="12.75">
      <c r="A27" s="36">
        <v>3319</v>
      </c>
      <c r="B27" s="4">
        <v>605</v>
      </c>
      <c r="C27" s="8" t="s">
        <v>113</v>
      </c>
      <c r="D27" s="44">
        <v>5256.4</v>
      </c>
      <c r="E27" s="44">
        <f>300</f>
        <v>300</v>
      </c>
      <c r="F27" s="44"/>
      <c r="G27" s="44"/>
      <c r="H27" s="44">
        <f t="shared" si="8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5"/>
        <v>65.7</v>
      </c>
      <c r="Q27" s="44"/>
      <c r="R27" s="63">
        <v>3319</v>
      </c>
      <c r="S27" s="4">
        <v>605</v>
      </c>
      <c r="T27" s="47" t="s">
        <v>37</v>
      </c>
      <c r="U27" s="44">
        <v>130</v>
      </c>
      <c r="V27" s="44"/>
      <c r="W27" s="44"/>
      <c r="X27" s="44">
        <f t="shared" si="6"/>
        <v>130</v>
      </c>
      <c r="Y27" s="44"/>
      <c r="Z27" s="44">
        <v>270</v>
      </c>
      <c r="AA27" s="44"/>
      <c r="AB27" s="44"/>
      <c r="AC27" s="44">
        <f t="shared" si="7"/>
        <v>270</v>
      </c>
    </row>
    <row r="28" spans="1:29" ht="12.75">
      <c r="A28" s="36">
        <v>3319</v>
      </c>
      <c r="B28" s="4">
        <v>606</v>
      </c>
      <c r="C28" s="8" t="s">
        <v>18</v>
      </c>
      <c r="D28" s="44">
        <v>11786.6</v>
      </c>
      <c r="E28" s="44"/>
      <c r="F28" s="44"/>
      <c r="G28" s="44"/>
      <c r="H28" s="44">
        <f t="shared" si="8"/>
        <v>11786.6</v>
      </c>
      <c r="I28" s="44"/>
      <c r="J28" s="44"/>
      <c r="K28" s="44"/>
      <c r="L28" s="44">
        <f t="shared" si="4"/>
        <v>0</v>
      </c>
      <c r="M28" s="44"/>
      <c r="N28" s="44">
        <v>458.2</v>
      </c>
      <c r="O28" s="44">
        <v>30.7</v>
      </c>
      <c r="P28" s="44">
        <f t="shared" si="5"/>
        <v>488.9</v>
      </c>
      <c r="Q28" s="44"/>
      <c r="R28" s="63">
        <v>3319</v>
      </c>
      <c r="S28" s="4">
        <v>606</v>
      </c>
      <c r="T28" s="47" t="s">
        <v>18</v>
      </c>
      <c r="U28" s="44"/>
      <c r="V28" s="44"/>
      <c r="W28" s="44"/>
      <c r="X28" s="44">
        <f t="shared" si="6"/>
        <v>0</v>
      </c>
      <c r="Y28" s="44"/>
      <c r="Z28" s="44"/>
      <c r="AA28" s="44"/>
      <c r="AB28" s="44"/>
      <c r="AC28" s="44">
        <f t="shared" si="7"/>
        <v>0</v>
      </c>
    </row>
    <row r="29" spans="1:29" ht="12.75">
      <c r="A29" s="36">
        <v>3319</v>
      </c>
      <c r="B29" s="4">
        <v>607</v>
      </c>
      <c r="C29" s="8" t="s">
        <v>98</v>
      </c>
      <c r="D29" s="44">
        <v>6060.7</v>
      </c>
      <c r="E29" s="44"/>
      <c r="F29" s="44"/>
      <c r="G29" s="44"/>
      <c r="H29" s="44">
        <f t="shared" si="8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/>
      <c r="P29" s="44">
        <f t="shared" si="5"/>
        <v>130.1</v>
      </c>
      <c r="Q29" s="44"/>
      <c r="R29" s="63">
        <v>3319</v>
      </c>
      <c r="S29" s="4">
        <v>607</v>
      </c>
      <c r="T29" s="47" t="s">
        <v>19</v>
      </c>
      <c r="U29" s="44"/>
      <c r="V29" s="44"/>
      <c r="W29" s="44"/>
      <c r="X29" s="44">
        <f t="shared" si="6"/>
        <v>0</v>
      </c>
      <c r="Y29" s="44"/>
      <c r="Z29" s="44">
        <v>100</v>
      </c>
      <c r="AA29" s="44"/>
      <c r="AB29" s="44"/>
      <c r="AC29" s="44">
        <f t="shared" si="7"/>
        <v>100</v>
      </c>
    </row>
    <row r="30" spans="1:29" ht="12.75">
      <c r="A30" s="36">
        <v>3315</v>
      </c>
      <c r="B30" s="4">
        <v>608</v>
      </c>
      <c r="C30" s="8" t="s">
        <v>49</v>
      </c>
      <c r="D30" s="44">
        <v>10239</v>
      </c>
      <c r="E30" s="44"/>
      <c r="F30" s="44"/>
      <c r="G30" s="44"/>
      <c r="H30" s="44">
        <f t="shared" si="8"/>
        <v>10239</v>
      </c>
      <c r="I30" s="44"/>
      <c r="J30" s="44"/>
      <c r="K30" s="44"/>
      <c r="L30" s="44">
        <f t="shared" si="4"/>
        <v>0</v>
      </c>
      <c r="M30" s="44"/>
      <c r="N30" s="44">
        <v>108.6</v>
      </c>
      <c r="O30" s="44">
        <v>53.4</v>
      </c>
      <c r="P30" s="44">
        <f t="shared" si="5"/>
        <v>162</v>
      </c>
      <c r="Q30" s="44"/>
      <c r="R30" s="63">
        <v>3315</v>
      </c>
      <c r="S30" s="4">
        <v>608</v>
      </c>
      <c r="T30" s="47" t="s">
        <v>49</v>
      </c>
      <c r="U30" s="44"/>
      <c r="V30" s="44"/>
      <c r="W30" s="44"/>
      <c r="X30" s="44">
        <f t="shared" si="6"/>
        <v>0</v>
      </c>
      <c r="Y30" s="44"/>
      <c r="Z30" s="44"/>
      <c r="AA30" s="44"/>
      <c r="AB30" s="44"/>
      <c r="AC30" s="44">
        <f t="shared" si="7"/>
        <v>0</v>
      </c>
    </row>
    <row r="31" spans="1:29" ht="12.75">
      <c r="A31" s="36">
        <v>3315</v>
      </c>
      <c r="B31" s="4">
        <v>609</v>
      </c>
      <c r="C31" s="8" t="s">
        <v>239</v>
      </c>
      <c r="D31" s="44">
        <v>9975.7</v>
      </c>
      <c r="E31" s="44"/>
      <c r="F31" s="44"/>
      <c r="G31" s="44"/>
      <c r="H31" s="44">
        <f t="shared" si="8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/>
      <c r="P31" s="44">
        <f t="shared" si="5"/>
        <v>1600</v>
      </c>
      <c r="Q31" s="44"/>
      <c r="R31" s="63">
        <v>3315</v>
      </c>
      <c r="S31" s="4">
        <v>609</v>
      </c>
      <c r="T31" s="47" t="s">
        <v>239</v>
      </c>
      <c r="U31" s="44"/>
      <c r="V31" s="44"/>
      <c r="W31" s="44"/>
      <c r="X31" s="44">
        <f t="shared" si="6"/>
        <v>0</v>
      </c>
      <c r="Y31" s="44"/>
      <c r="Z31" s="44">
        <v>478</v>
      </c>
      <c r="AA31" s="44"/>
      <c r="AB31" s="44"/>
      <c r="AC31" s="44">
        <f t="shared" si="7"/>
        <v>478</v>
      </c>
    </row>
    <row r="32" spans="1:29" ht="12.75">
      <c r="A32" s="36">
        <v>3315</v>
      </c>
      <c r="B32" s="4">
        <v>610</v>
      </c>
      <c r="C32" s="40" t="s">
        <v>109</v>
      </c>
      <c r="D32" s="44">
        <v>13342.04</v>
      </c>
      <c r="E32" s="44">
        <f>-40</f>
        <v>-40</v>
      </c>
      <c r="F32" s="44"/>
      <c r="G32" s="44"/>
      <c r="H32" s="44">
        <f t="shared" si="8"/>
        <v>13302.04</v>
      </c>
      <c r="I32" s="44"/>
      <c r="J32" s="44"/>
      <c r="K32" s="44">
        <f>40</f>
        <v>40</v>
      </c>
      <c r="L32" s="44">
        <f t="shared" si="4"/>
        <v>40</v>
      </c>
      <c r="M32" s="44"/>
      <c r="N32" s="44">
        <v>631.8</v>
      </c>
      <c r="O32" s="44">
        <v>-37.3</v>
      </c>
      <c r="P32" s="44">
        <f t="shared" si="5"/>
        <v>594.5</v>
      </c>
      <c r="Q32" s="44"/>
      <c r="R32" s="63">
        <v>3315</v>
      </c>
      <c r="S32" s="4">
        <v>610</v>
      </c>
      <c r="T32" s="47" t="s">
        <v>36</v>
      </c>
      <c r="U32" s="44"/>
      <c r="V32" s="44"/>
      <c r="W32" s="44"/>
      <c r="X32" s="44">
        <f t="shared" si="6"/>
        <v>0</v>
      </c>
      <c r="Y32" s="44"/>
      <c r="Z32" s="44"/>
      <c r="AA32" s="44"/>
      <c r="AB32" s="44"/>
      <c r="AC32" s="44">
        <f t="shared" si="7"/>
        <v>0</v>
      </c>
    </row>
    <row r="33" spans="1:29" ht="12.75">
      <c r="A33" s="36"/>
      <c r="B33" s="4"/>
      <c r="C33" s="10" t="s">
        <v>25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91</v>
      </c>
      <c r="U33" s="56">
        <f>SUM(U35:U58)</f>
        <v>4600</v>
      </c>
      <c r="V33" s="56">
        <f>SUM(V35:V58)</f>
        <v>0</v>
      </c>
      <c r="W33" s="56">
        <f>SUM(W35:W58)</f>
        <v>0</v>
      </c>
      <c r="X33" s="56">
        <f>SUM(X35:X58)</f>
        <v>4600</v>
      </c>
      <c r="Y33" s="56"/>
      <c r="Z33" s="56">
        <f>SUM(Z35:Z58)</f>
        <v>10555.71</v>
      </c>
      <c r="AA33" s="56">
        <f>SUM(AA35:AA58)</f>
        <v>-500</v>
      </c>
      <c r="AB33" s="56">
        <f>SUM(AB35:AB58)</f>
        <v>0</v>
      </c>
      <c r="AC33" s="56">
        <f>SUM(AC35:AC58)</f>
        <v>10055.710000000001</v>
      </c>
    </row>
    <row r="34" spans="1:29" ht="12.75">
      <c r="A34" s="36"/>
      <c r="B34" s="4"/>
      <c r="C34" s="6" t="s">
        <v>47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86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31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31</v>
      </c>
      <c r="U35" s="44"/>
      <c r="V35" s="44"/>
      <c r="W35" s="44"/>
      <c r="X35" s="44">
        <f aca="true" t="shared" si="12" ref="X35:X58">SUM(U35:W35)</f>
        <v>0</v>
      </c>
      <c r="Y35" s="44"/>
      <c r="Z35" s="44"/>
      <c r="AA35" s="44"/>
      <c r="AB35" s="44"/>
      <c r="AC35" s="44">
        <f aca="true" t="shared" si="13" ref="AC35:AC58">SUM(Z35:AB35)</f>
        <v>0</v>
      </c>
    </row>
    <row r="36" spans="1:29" ht="12.75">
      <c r="A36" s="36">
        <v>4350</v>
      </c>
      <c r="B36" s="4">
        <v>802</v>
      </c>
      <c r="C36" s="7" t="s">
        <v>20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20</v>
      </c>
      <c r="U36" s="44"/>
      <c r="V36" s="44"/>
      <c r="W36" s="44"/>
      <c r="X36" s="44">
        <f t="shared" si="12"/>
        <v>0</v>
      </c>
      <c r="Y36" s="44"/>
      <c r="Z36" s="44"/>
      <c r="AA36" s="44"/>
      <c r="AB36" s="44"/>
      <c r="AC36" s="44">
        <f t="shared" si="13"/>
        <v>0</v>
      </c>
    </row>
    <row r="37" spans="1:29" ht="12.75">
      <c r="A37" s="36">
        <v>4357</v>
      </c>
      <c r="B37" s="4">
        <v>803</v>
      </c>
      <c r="C37" s="7" t="s">
        <v>38</v>
      </c>
      <c r="D37" s="44">
        <v>8615</v>
      </c>
      <c r="E37" s="44"/>
      <c r="F37" s="44"/>
      <c r="G37" s="44"/>
      <c r="H37" s="44">
        <f t="shared" si="14"/>
        <v>8615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38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83</v>
      </c>
      <c r="D38" s="44">
        <v>5741</v>
      </c>
      <c r="E38" s="44"/>
      <c r="F38" s="44"/>
      <c r="G38" s="44"/>
      <c r="H38" s="44">
        <f t="shared" si="14"/>
        <v>5741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83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163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163</v>
      </c>
      <c r="U39" s="44"/>
      <c r="V39" s="44"/>
      <c r="W39" s="44"/>
      <c r="X39" s="44">
        <f t="shared" si="12"/>
        <v>0</v>
      </c>
      <c r="Y39" s="44"/>
      <c r="Z39" s="44">
        <v>4114.22</v>
      </c>
      <c r="AA39" s="44">
        <f>-500</f>
        <v>-500</v>
      </c>
      <c r="AB39" s="44"/>
      <c r="AC39" s="44">
        <f t="shared" si="13"/>
        <v>3614.2200000000003</v>
      </c>
    </row>
    <row r="40" spans="1:29" ht="12.75">
      <c r="A40" s="36">
        <v>4350</v>
      </c>
      <c r="B40" s="4">
        <v>806</v>
      </c>
      <c r="C40" s="7" t="s">
        <v>39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39</v>
      </c>
      <c r="U40" s="44"/>
      <c r="V40" s="44"/>
      <c r="W40" s="44"/>
      <c r="X40" s="44">
        <f t="shared" si="12"/>
        <v>0</v>
      </c>
      <c r="Y40" s="44"/>
      <c r="Z40" s="44"/>
      <c r="AA40" s="44"/>
      <c r="AB40" s="44"/>
      <c r="AC40" s="44">
        <f t="shared" si="13"/>
        <v>0</v>
      </c>
    </row>
    <row r="41" spans="1:29" ht="12.75">
      <c r="A41" s="36">
        <v>4357</v>
      </c>
      <c r="B41" s="4">
        <v>807</v>
      </c>
      <c r="C41" s="7" t="s">
        <v>104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104</v>
      </c>
      <c r="U41" s="44">
        <v>3600</v>
      </c>
      <c r="V41" s="44"/>
      <c r="W41" s="44"/>
      <c r="X41" s="44">
        <f t="shared" si="12"/>
        <v>3600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21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21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32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32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102</v>
      </c>
      <c r="D44" s="44">
        <v>2962</v>
      </c>
      <c r="E44" s="44"/>
      <c r="F44" s="44"/>
      <c r="G44" s="48"/>
      <c r="H44" s="44">
        <f t="shared" si="14"/>
        <v>2962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102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/>
      <c r="AB44" s="44"/>
      <c r="AC44" s="44">
        <f t="shared" si="13"/>
        <v>2000</v>
      </c>
    </row>
    <row r="45" spans="1:29" ht="12.75">
      <c r="A45" s="36">
        <v>4350</v>
      </c>
      <c r="B45" s="4">
        <v>811</v>
      </c>
      <c r="C45" s="7" t="s">
        <v>97</v>
      </c>
      <c r="D45" s="44">
        <v>4285</v>
      </c>
      <c r="E45" s="44"/>
      <c r="F45" s="44"/>
      <c r="G45" s="48"/>
      <c r="H45" s="44">
        <f t="shared" si="14"/>
        <v>4285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97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95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95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165</v>
      </c>
      <c r="D47" s="44">
        <v>8344</v>
      </c>
      <c r="E47" s="44"/>
      <c r="F47" s="44"/>
      <c r="G47" s="48"/>
      <c r="H47" s="44">
        <f t="shared" si="14"/>
        <v>8344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165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164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164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33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33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77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77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105</v>
      </c>
      <c r="D51" s="44">
        <v>8986</v>
      </c>
      <c r="E51" s="48"/>
      <c r="F51" s="44"/>
      <c r="G51" s="48"/>
      <c r="H51" s="44">
        <f t="shared" si="14"/>
        <v>8986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105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84</v>
      </c>
      <c r="D52" s="44">
        <v>8386</v>
      </c>
      <c r="E52" s="48"/>
      <c r="F52" s="44"/>
      <c r="G52" s="48"/>
      <c r="H52" s="44">
        <f t="shared" si="14"/>
        <v>8386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84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87</v>
      </c>
      <c r="D53" s="44">
        <v>7430</v>
      </c>
      <c r="E53" s="48"/>
      <c r="F53" s="44"/>
      <c r="G53" s="48"/>
      <c r="H53" s="44">
        <f t="shared" si="14"/>
        <v>7430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87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103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103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44</v>
      </c>
      <c r="D55" s="44">
        <v>2625</v>
      </c>
      <c r="E55" s="44"/>
      <c r="F55" s="44"/>
      <c r="G55" s="44"/>
      <c r="H55" s="44">
        <f t="shared" si="14"/>
        <v>2625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44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85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85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43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43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96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96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26</v>
      </c>
      <c r="D59" s="56">
        <f>SUM(D61:D148)</f>
        <v>356352.8100000002</v>
      </c>
      <c r="E59" s="56">
        <f aca="true" t="shared" si="15" ref="E59:P59">SUM(E61:E148)</f>
        <v>12029.99</v>
      </c>
      <c r="F59" s="56">
        <f t="shared" si="15"/>
        <v>0</v>
      </c>
      <c r="G59" s="56">
        <f t="shared" si="15"/>
        <v>905.65</v>
      </c>
      <c r="H59" s="56">
        <f t="shared" si="15"/>
        <v>369288.45</v>
      </c>
      <c r="I59" s="56">
        <f t="shared" si="15"/>
        <v>0</v>
      </c>
      <c r="J59" s="56">
        <f t="shared" si="15"/>
        <v>1087.3</v>
      </c>
      <c r="K59" s="56">
        <f t="shared" si="15"/>
        <v>805</v>
      </c>
      <c r="L59" s="56">
        <f t="shared" si="15"/>
        <v>1892.3</v>
      </c>
      <c r="M59" s="56">
        <f t="shared" si="15"/>
        <v>0</v>
      </c>
      <c r="N59" s="56">
        <f t="shared" si="15"/>
        <v>40205.710000000014</v>
      </c>
      <c r="O59" s="56">
        <f t="shared" si="15"/>
        <v>35.94</v>
      </c>
      <c r="P59" s="56">
        <f t="shared" si="15"/>
        <v>40241.650000000016</v>
      </c>
      <c r="Q59" s="56"/>
      <c r="R59" s="63"/>
      <c r="S59" s="64"/>
      <c r="T59" s="56" t="s">
        <v>92</v>
      </c>
      <c r="U59" s="56">
        <f aca="true" t="shared" si="16" ref="U59:AC59">SUM(U61:U148)</f>
        <v>31946.1</v>
      </c>
      <c r="V59" s="56">
        <f t="shared" si="16"/>
        <v>2443</v>
      </c>
      <c r="W59" s="56">
        <f t="shared" si="16"/>
        <v>0</v>
      </c>
      <c r="X59" s="56">
        <f t="shared" si="16"/>
        <v>34389.1</v>
      </c>
      <c r="Y59" s="56">
        <f t="shared" si="16"/>
        <v>0</v>
      </c>
      <c r="Z59" s="56">
        <f t="shared" si="16"/>
        <v>80532</v>
      </c>
      <c r="AA59" s="56">
        <f t="shared" si="16"/>
        <v>3966.3899999999994</v>
      </c>
      <c r="AB59" s="56">
        <f t="shared" si="16"/>
        <v>1.0516032489249483E-12</v>
      </c>
      <c r="AC59" s="56">
        <f t="shared" si="16"/>
        <v>84498.39</v>
      </c>
    </row>
    <row r="60" spans="1:29" ht="24" customHeight="1">
      <c r="A60" s="36"/>
      <c r="B60" s="4"/>
      <c r="C60" s="29" t="s">
        <v>237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47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172</v>
      </c>
      <c r="D61" s="44">
        <v>4144.84</v>
      </c>
      <c r="E61" s="44">
        <f>47</f>
        <v>47</v>
      </c>
      <c r="F61" s="44"/>
      <c r="G61" s="48"/>
      <c r="H61" s="44">
        <f aca="true" t="shared" si="17" ref="H61:H124">D61+E61+F61+G61</f>
        <v>4191.84</v>
      </c>
      <c r="I61" s="44"/>
      <c r="J61" s="44"/>
      <c r="K61" s="44"/>
      <c r="L61" s="44">
        <f aca="true" t="shared" si="18" ref="L61:L124">J61+K61</f>
        <v>0</v>
      </c>
      <c r="M61" s="44"/>
      <c r="N61" s="44">
        <v>418.97</v>
      </c>
      <c r="O61" s="44"/>
      <c r="P61" s="44">
        <f aca="true" t="shared" si="19" ref="P61:P124">N61+O61</f>
        <v>418.97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/>
      <c r="AB61" s="44"/>
      <c r="AC61" s="44">
        <f aca="true" t="shared" si="21" ref="AC61:AC124">SUM(Z61:AB61)</f>
        <v>700</v>
      </c>
    </row>
    <row r="62" spans="1:29" ht="12.75">
      <c r="A62" s="36">
        <v>3121</v>
      </c>
      <c r="B62" s="4">
        <v>302</v>
      </c>
      <c r="C62" s="37" t="s">
        <v>173</v>
      </c>
      <c r="D62" s="44">
        <v>5775.49</v>
      </c>
      <c r="E62" s="44">
        <f>32</f>
        <v>32</v>
      </c>
      <c r="F62" s="44"/>
      <c r="G62" s="48"/>
      <c r="H62" s="44">
        <f t="shared" si="17"/>
        <v>5807.49</v>
      </c>
      <c r="I62" s="44"/>
      <c r="J62" s="44"/>
      <c r="K62" s="44"/>
      <c r="L62" s="44">
        <f t="shared" si="18"/>
        <v>0</v>
      </c>
      <c r="M62" s="44"/>
      <c r="N62" s="44">
        <v>379.82</v>
      </c>
      <c r="O62" s="44"/>
      <c r="P62" s="44">
        <f t="shared" si="19"/>
        <v>379.82</v>
      </c>
      <c r="Q62" s="44"/>
      <c r="R62" s="36">
        <v>3121</v>
      </c>
      <c r="S62" s="4">
        <v>302</v>
      </c>
      <c r="T62" s="37" t="s">
        <v>116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12.75">
      <c r="A63" s="36">
        <v>3121</v>
      </c>
      <c r="B63" s="4">
        <v>303</v>
      </c>
      <c r="C63" s="37" t="s">
        <v>174</v>
      </c>
      <c r="D63" s="44">
        <v>1480.1000000000001</v>
      </c>
      <c r="E63" s="44">
        <f>621+4</f>
        <v>625</v>
      </c>
      <c r="F63" s="44"/>
      <c r="G63" s="48"/>
      <c r="H63" s="44">
        <f t="shared" si="17"/>
        <v>2105.1000000000004</v>
      </c>
      <c r="I63" s="44"/>
      <c r="J63" s="44"/>
      <c r="K63" s="44"/>
      <c r="L63" s="44">
        <f t="shared" si="18"/>
        <v>0</v>
      </c>
      <c r="M63" s="44"/>
      <c r="N63" s="44">
        <v>101.7</v>
      </c>
      <c r="O63" s="44"/>
      <c r="P63" s="44">
        <f t="shared" si="19"/>
        <v>101.7</v>
      </c>
      <c r="Q63" s="44"/>
      <c r="R63" s="36">
        <v>3121</v>
      </c>
      <c r="S63" s="4">
        <v>303</v>
      </c>
      <c r="T63" s="37" t="s">
        <v>7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117</v>
      </c>
      <c r="D64" s="44">
        <v>5271.83</v>
      </c>
      <c r="E64" s="44">
        <f>12.5+57.6</f>
        <v>70.1</v>
      </c>
      <c r="F64" s="44"/>
      <c r="G64" s="48"/>
      <c r="H64" s="44">
        <f t="shared" si="17"/>
        <v>5341.93</v>
      </c>
      <c r="I64" s="44"/>
      <c r="J64" s="44">
        <v>52</v>
      </c>
      <c r="K64" s="44"/>
      <c r="L64" s="44">
        <f t="shared" si="18"/>
        <v>52</v>
      </c>
      <c r="M64" s="44"/>
      <c r="N64" s="44">
        <v>1031.04</v>
      </c>
      <c r="O64" s="44"/>
      <c r="P64" s="44">
        <f t="shared" si="19"/>
        <v>1031.04</v>
      </c>
      <c r="Q64" s="44"/>
      <c r="R64" s="36">
        <v>3122</v>
      </c>
      <c r="S64" s="4">
        <v>305</v>
      </c>
      <c r="T64" s="37" t="s">
        <v>117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72" t="s">
        <v>241</v>
      </c>
      <c r="D65" s="44">
        <v>4770.070000000001</v>
      </c>
      <c r="E65" s="44">
        <f>45.2+134</f>
        <v>179.2</v>
      </c>
      <c r="F65" s="44"/>
      <c r="G65" s="48">
        <f>9</f>
        <v>9</v>
      </c>
      <c r="H65" s="44">
        <f t="shared" si="17"/>
        <v>4958.27</v>
      </c>
      <c r="I65" s="44"/>
      <c r="J65" s="44"/>
      <c r="K65" s="44">
        <f>185</f>
        <v>185</v>
      </c>
      <c r="L65" s="44">
        <f t="shared" si="18"/>
        <v>185</v>
      </c>
      <c r="M65" s="44"/>
      <c r="N65" s="44">
        <v>679.8199999999999</v>
      </c>
      <c r="O65" s="44"/>
      <c r="P65" s="44">
        <f t="shared" si="19"/>
        <v>679.8199999999999</v>
      </c>
      <c r="Q65" s="44"/>
      <c r="R65" s="36">
        <v>3122</v>
      </c>
      <c r="S65" s="4">
        <v>307</v>
      </c>
      <c r="T65" s="37" t="s">
        <v>118</v>
      </c>
      <c r="U65" s="44"/>
      <c r="V65" s="48"/>
      <c r="W65" s="44"/>
      <c r="X65" s="44">
        <f t="shared" si="20"/>
        <v>0</v>
      </c>
      <c r="Y65" s="44"/>
      <c r="Z65" s="44"/>
      <c r="AA65" s="48"/>
      <c r="AB65" s="44"/>
      <c r="AC65" s="44">
        <f t="shared" si="21"/>
        <v>0</v>
      </c>
    </row>
    <row r="66" spans="1:29" ht="12.75">
      <c r="A66" s="36">
        <v>3127</v>
      </c>
      <c r="B66" s="4">
        <v>308</v>
      </c>
      <c r="C66" s="37" t="s">
        <v>176</v>
      </c>
      <c r="D66" s="44">
        <v>14149.65</v>
      </c>
      <c r="E66" s="44">
        <f>842.6+135</f>
        <v>977.6</v>
      </c>
      <c r="F66" s="44"/>
      <c r="G66" s="48"/>
      <c r="H66" s="44">
        <f t="shared" si="17"/>
        <v>15127.25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/>
      <c r="P66" s="44">
        <f t="shared" si="19"/>
        <v>1058.48</v>
      </c>
      <c r="Q66" s="44"/>
      <c r="R66" s="36">
        <v>3127</v>
      </c>
      <c r="S66" s="4">
        <v>308</v>
      </c>
      <c r="T66" s="37" t="s">
        <v>119</v>
      </c>
      <c r="U66" s="44">
        <v>2000</v>
      </c>
      <c r="V66" s="44">
        <f>90</f>
        <v>90</v>
      </c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177</v>
      </c>
      <c r="D67" s="44">
        <v>7844.5599999999995</v>
      </c>
      <c r="E67" s="44">
        <f>268.9+36</f>
        <v>304.9</v>
      </c>
      <c r="F67" s="44"/>
      <c r="G67" s="48"/>
      <c r="H67" s="44">
        <f t="shared" si="17"/>
        <v>8149.459999999999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/>
      <c r="P67" s="44">
        <f t="shared" si="19"/>
        <v>1234.25</v>
      </c>
      <c r="Q67" s="44"/>
      <c r="R67" s="36">
        <v>3127</v>
      </c>
      <c r="S67" s="4">
        <v>309</v>
      </c>
      <c r="T67" s="37" t="s">
        <v>50</v>
      </c>
      <c r="U67" s="44"/>
      <c r="V67" s="44"/>
      <c r="W67" s="44"/>
      <c r="X67" s="44">
        <f t="shared" si="20"/>
        <v>0</v>
      </c>
      <c r="Y67" s="44"/>
      <c r="Z67" s="44">
        <v>2447</v>
      </c>
      <c r="AA67" s="44">
        <f>100+250</f>
        <v>350</v>
      </c>
      <c r="AB67" s="44"/>
      <c r="AC67" s="44">
        <f t="shared" si="21"/>
        <v>2797</v>
      </c>
    </row>
    <row r="68" spans="1:29" ht="12.75">
      <c r="A68" s="36">
        <v>3122</v>
      </c>
      <c r="B68" s="4">
        <v>310</v>
      </c>
      <c r="C68" s="37" t="s">
        <v>178</v>
      </c>
      <c r="D68" s="44">
        <v>1863.17</v>
      </c>
      <c r="E68" s="44">
        <f>-621</f>
        <v>-621</v>
      </c>
      <c r="F68" s="44"/>
      <c r="G68" s="48"/>
      <c r="H68" s="44">
        <f t="shared" si="17"/>
        <v>1242.17</v>
      </c>
      <c r="I68" s="44"/>
      <c r="J68" s="44"/>
      <c r="K68" s="44"/>
      <c r="L68" s="44">
        <f t="shared" si="18"/>
        <v>0</v>
      </c>
      <c r="M68" s="44"/>
      <c r="N68" s="44">
        <v>310.68</v>
      </c>
      <c r="O68" s="44"/>
      <c r="P68" s="44">
        <f t="shared" si="19"/>
        <v>310.68</v>
      </c>
      <c r="Q68" s="44"/>
      <c r="R68" s="36">
        <v>3122</v>
      </c>
      <c r="S68" s="4">
        <v>310</v>
      </c>
      <c r="T68" s="37" t="s">
        <v>51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179</v>
      </c>
      <c r="D69" s="44">
        <v>6701.179999999999</v>
      </c>
      <c r="E69" s="44">
        <f>16.8+78.2</f>
        <v>95</v>
      </c>
      <c r="F69" s="44"/>
      <c r="G69" s="48"/>
      <c r="H69" s="44">
        <f t="shared" si="17"/>
        <v>6796.179999999999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/>
      <c r="P69" s="44">
        <f t="shared" si="19"/>
        <v>1245.44</v>
      </c>
      <c r="Q69" s="44"/>
      <c r="R69" s="36">
        <v>3122</v>
      </c>
      <c r="S69" s="4">
        <v>312</v>
      </c>
      <c r="T69" s="37" t="s">
        <v>120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180</v>
      </c>
      <c r="D70" s="44">
        <v>6005.72</v>
      </c>
      <c r="E70" s="44">
        <f>150+150</f>
        <v>300</v>
      </c>
      <c r="F70" s="44"/>
      <c r="G70" s="48"/>
      <c r="H70" s="44">
        <f t="shared" si="17"/>
        <v>6305.72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/>
      <c r="P70" s="44">
        <f t="shared" si="19"/>
        <v>543.8199999999999</v>
      </c>
      <c r="Q70" s="44"/>
      <c r="R70" s="36">
        <v>3122</v>
      </c>
      <c r="S70" s="4">
        <v>314</v>
      </c>
      <c r="T70" s="37" t="s">
        <v>121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>
      <c r="A71" s="36">
        <v>3127</v>
      </c>
      <c r="B71" s="5">
        <v>317</v>
      </c>
      <c r="C71" s="65" t="s">
        <v>181</v>
      </c>
      <c r="D71" s="44">
        <v>6316.2</v>
      </c>
      <c r="E71" s="49">
        <f>87.2+142.25</f>
        <v>229.45</v>
      </c>
      <c r="F71" s="49"/>
      <c r="G71" s="58"/>
      <c r="H71" s="44">
        <f t="shared" si="17"/>
        <v>6545.65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/>
      <c r="P71" s="44">
        <f t="shared" si="19"/>
        <v>1079.76</v>
      </c>
      <c r="Q71" s="49"/>
      <c r="R71" s="36">
        <v>3127</v>
      </c>
      <c r="S71" s="5">
        <v>317</v>
      </c>
      <c r="T71" s="65" t="s">
        <v>122</v>
      </c>
      <c r="U71" s="49"/>
      <c r="V71" s="49">
        <f>200</f>
        <v>200</v>
      </c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182</v>
      </c>
      <c r="D72" s="44">
        <v>8094.07</v>
      </c>
      <c r="E72" s="44">
        <f>624.55+144</f>
        <v>768.55</v>
      </c>
      <c r="F72" s="44"/>
      <c r="G72" s="48"/>
      <c r="H72" s="44">
        <f t="shared" si="17"/>
        <v>8862.619999999999</v>
      </c>
      <c r="I72" s="44"/>
      <c r="J72" s="44"/>
      <c r="K72" s="44"/>
      <c r="L72" s="44">
        <f t="shared" si="18"/>
        <v>0</v>
      </c>
      <c r="M72" s="44"/>
      <c r="N72" s="44">
        <v>445.41999999999996</v>
      </c>
      <c r="O72" s="44">
        <f>-22.45</f>
        <v>-22.45</v>
      </c>
      <c r="P72" s="44">
        <f t="shared" si="19"/>
        <v>422.96999999999997</v>
      </c>
      <c r="Q72" s="44"/>
      <c r="R72" s="36">
        <v>3127</v>
      </c>
      <c r="S72" s="4">
        <v>318</v>
      </c>
      <c r="T72" s="37" t="s">
        <v>123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26.25">
      <c r="A73" s="36">
        <v>3124</v>
      </c>
      <c r="B73" s="4">
        <v>319</v>
      </c>
      <c r="C73" s="65" t="s">
        <v>242</v>
      </c>
      <c r="D73" s="44">
        <v>6134.85</v>
      </c>
      <c r="E73" s="44">
        <f>121.1+72</f>
        <v>193.1</v>
      </c>
      <c r="F73" s="44"/>
      <c r="G73" s="48">
        <f>15</f>
        <v>15</v>
      </c>
      <c r="H73" s="44">
        <f t="shared" si="17"/>
        <v>6342.950000000001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124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26.25">
      <c r="A74" s="36">
        <v>3114</v>
      </c>
      <c r="B74" s="4">
        <v>320</v>
      </c>
      <c r="C74" s="65" t="s">
        <v>243</v>
      </c>
      <c r="D74" s="44">
        <v>4826.24</v>
      </c>
      <c r="E74" s="44">
        <f>164</f>
        <v>164</v>
      </c>
      <c r="F74" s="44"/>
      <c r="G74" s="48">
        <f>15</f>
        <v>15</v>
      </c>
      <c r="H74" s="44">
        <f t="shared" si="17"/>
        <v>5005.24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125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244</v>
      </c>
      <c r="D75" s="44">
        <v>7281.83</v>
      </c>
      <c r="E75" s="44">
        <f>6.5+64.3</f>
        <v>70.8</v>
      </c>
      <c r="F75" s="44"/>
      <c r="G75" s="48">
        <f>15</f>
        <v>15</v>
      </c>
      <c r="H75" s="44">
        <f t="shared" si="17"/>
        <v>7367.63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/>
      <c r="P75" s="44">
        <f t="shared" si="19"/>
        <v>687.5600000000001</v>
      </c>
      <c r="Q75" s="44"/>
      <c r="R75" s="36">
        <v>3114</v>
      </c>
      <c r="S75" s="4">
        <v>321</v>
      </c>
      <c r="T75" s="37" t="s">
        <v>112</v>
      </c>
      <c r="U75" s="44">
        <v>700</v>
      </c>
      <c r="V75" s="44"/>
      <c r="W75" s="44"/>
      <c r="X75" s="44">
        <f t="shared" si="20"/>
        <v>700</v>
      </c>
      <c r="Y75" s="44"/>
      <c r="Z75" s="44">
        <v>3300</v>
      </c>
      <c r="AA75" s="44"/>
      <c r="AB75" s="44"/>
      <c r="AC75" s="44">
        <f t="shared" si="21"/>
        <v>3300</v>
      </c>
    </row>
    <row r="76" spans="1:29" ht="12.75">
      <c r="A76" s="36">
        <v>3133</v>
      </c>
      <c r="B76" s="4">
        <v>322</v>
      </c>
      <c r="C76" s="37" t="s">
        <v>185</v>
      </c>
      <c r="D76" s="44">
        <v>3532.89</v>
      </c>
      <c r="E76" s="44">
        <f>110</f>
        <v>110</v>
      </c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53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186</v>
      </c>
      <c r="D77" s="44">
        <v>1240.23</v>
      </c>
      <c r="E77" s="44">
        <f>12.3</f>
        <v>12.3</v>
      </c>
      <c r="F77" s="44"/>
      <c r="G77" s="48"/>
      <c r="H77" s="44">
        <f t="shared" si="17"/>
        <v>1252.53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126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26.25">
      <c r="A78" s="36">
        <v>3114</v>
      </c>
      <c r="B78" s="4">
        <v>327</v>
      </c>
      <c r="C78" s="65" t="s">
        <v>245</v>
      </c>
      <c r="D78" s="44">
        <v>386.7</v>
      </c>
      <c r="E78" s="44">
        <f>19.2</f>
        <v>19.2</v>
      </c>
      <c r="F78" s="44"/>
      <c r="G78" s="48">
        <f>10</f>
        <v>10</v>
      </c>
      <c r="H78" s="44">
        <f t="shared" si="17"/>
        <v>415.9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127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26.25">
      <c r="A79" s="36">
        <v>3147</v>
      </c>
      <c r="B79" s="4">
        <v>332</v>
      </c>
      <c r="C79" s="65" t="s">
        <v>246</v>
      </c>
      <c r="D79" s="44">
        <v>4166.2</v>
      </c>
      <c r="E79" s="44">
        <f>102</f>
        <v>102</v>
      </c>
      <c r="F79" s="44"/>
      <c r="G79" s="69">
        <f>10</f>
        <v>10</v>
      </c>
      <c r="H79" s="44">
        <f t="shared" si="17"/>
        <v>4278.2</v>
      </c>
      <c r="I79" s="44"/>
      <c r="J79" s="44"/>
      <c r="K79" s="44"/>
      <c r="L79" s="44">
        <f t="shared" si="18"/>
        <v>0</v>
      </c>
      <c r="M79" s="44"/>
      <c r="N79" s="44">
        <v>1100</v>
      </c>
      <c r="O79" s="44"/>
      <c r="P79" s="44">
        <f t="shared" si="19"/>
        <v>1100</v>
      </c>
      <c r="Q79" s="44"/>
      <c r="R79" s="36">
        <v>3147</v>
      </c>
      <c r="S79" s="4">
        <v>332</v>
      </c>
      <c r="T79" s="37" t="s">
        <v>54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52</v>
      </c>
      <c r="D80" s="44">
        <v>2739.69</v>
      </c>
      <c r="E80" s="44">
        <f>14</f>
        <v>14</v>
      </c>
      <c r="F80" s="44"/>
      <c r="G80" s="48"/>
      <c r="H80" s="44">
        <f t="shared" si="17"/>
        <v>2753.69</v>
      </c>
      <c r="I80" s="44"/>
      <c r="J80" s="44"/>
      <c r="K80" s="44"/>
      <c r="L80" s="44">
        <f t="shared" si="18"/>
        <v>0</v>
      </c>
      <c r="M80" s="44"/>
      <c r="N80" s="44">
        <v>775.22</v>
      </c>
      <c r="O80" s="44"/>
      <c r="P80" s="44">
        <f t="shared" si="19"/>
        <v>775.22</v>
      </c>
      <c r="Q80" s="44"/>
      <c r="R80" s="36">
        <v>3141</v>
      </c>
      <c r="S80" s="4">
        <v>335</v>
      </c>
      <c r="T80" s="37" t="s">
        <v>52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/>
      <c r="AB80" s="44"/>
      <c r="AC80" s="44">
        <f t="shared" si="21"/>
        <v>152</v>
      </c>
    </row>
    <row r="81" spans="1:29" ht="12.75">
      <c r="A81" s="36">
        <v>3121</v>
      </c>
      <c r="B81" s="4">
        <v>338</v>
      </c>
      <c r="C81" s="37" t="s">
        <v>189</v>
      </c>
      <c r="D81" s="44">
        <v>2600.5</v>
      </c>
      <c r="E81" s="44">
        <f>45</f>
        <v>45</v>
      </c>
      <c r="F81" s="44"/>
      <c r="G81" s="48"/>
      <c r="H81" s="44">
        <f t="shared" si="17"/>
        <v>2645.5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/>
      <c r="P81" s="44">
        <f t="shared" si="19"/>
        <v>89</v>
      </c>
      <c r="Q81" s="44"/>
      <c r="R81" s="36">
        <v>3121</v>
      </c>
      <c r="S81" s="4">
        <v>338</v>
      </c>
      <c r="T81" s="37" t="s">
        <v>8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339</v>
      </c>
      <c r="C82" s="37" t="s">
        <v>128</v>
      </c>
      <c r="D82" s="44">
        <v>2911.3199999999997</v>
      </c>
      <c r="E82" s="44">
        <f>138</f>
        <v>138</v>
      </c>
      <c r="F82" s="44"/>
      <c r="G82" s="48"/>
      <c r="H82" s="44">
        <f t="shared" si="17"/>
        <v>3049.3199999999997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/>
      <c r="P82" s="44">
        <f t="shared" si="19"/>
        <v>156.47</v>
      </c>
      <c r="Q82" s="44"/>
      <c r="R82" s="36">
        <v>3121</v>
      </c>
      <c r="S82" s="4">
        <v>339</v>
      </c>
      <c r="T82" s="37" t="s">
        <v>128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190</v>
      </c>
      <c r="D83" s="44">
        <v>4000.25</v>
      </c>
      <c r="E83" s="44">
        <f>65</f>
        <v>65</v>
      </c>
      <c r="F83" s="44"/>
      <c r="G83" s="48"/>
      <c r="H83" s="44">
        <f t="shared" si="17"/>
        <v>4065.25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9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12.75">
      <c r="A84" s="36">
        <v>3122</v>
      </c>
      <c r="B84" s="4">
        <v>341</v>
      </c>
      <c r="C84" s="37" t="s">
        <v>191</v>
      </c>
      <c r="D84" s="44">
        <v>2500</v>
      </c>
      <c r="E84" s="44">
        <f>-762+280</f>
        <v>-482</v>
      </c>
      <c r="F84" s="44"/>
      <c r="G84" s="48"/>
      <c r="H84" s="44">
        <f t="shared" si="17"/>
        <v>2018</v>
      </c>
      <c r="I84" s="44"/>
      <c r="J84" s="44"/>
      <c r="K84" s="55"/>
      <c r="L84" s="44">
        <f t="shared" si="18"/>
        <v>0</v>
      </c>
      <c r="M84" s="44"/>
      <c r="N84" s="44">
        <v>96.5</v>
      </c>
      <c r="O84" s="44"/>
      <c r="P84" s="44">
        <f t="shared" si="19"/>
        <v>96.5</v>
      </c>
      <c r="Q84" s="44"/>
      <c r="R84" s="36">
        <v>3122</v>
      </c>
      <c r="S84" s="4">
        <v>341</v>
      </c>
      <c r="T84" s="37" t="s">
        <v>129</v>
      </c>
      <c r="U84" s="44"/>
      <c r="V84" s="48">
        <f>200</f>
        <v>200</v>
      </c>
      <c r="W84" s="44">
        <f>-200</f>
        <v>-200</v>
      </c>
      <c r="X84" s="44">
        <f t="shared" si="20"/>
        <v>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3127</v>
      </c>
      <c r="B85" s="4">
        <v>342</v>
      </c>
      <c r="C85" s="65" t="s">
        <v>192</v>
      </c>
      <c r="D85" s="44">
        <v>6597.85</v>
      </c>
      <c r="E85" s="44">
        <f>-2054.1+76.63</f>
        <v>-1977.4699999999998</v>
      </c>
      <c r="F85" s="44"/>
      <c r="G85" s="48"/>
      <c r="H85" s="44">
        <f t="shared" si="17"/>
        <v>4620.380000000001</v>
      </c>
      <c r="I85" s="44"/>
      <c r="J85" s="44"/>
      <c r="K85" s="44"/>
      <c r="L85" s="44">
        <f t="shared" si="18"/>
        <v>0</v>
      </c>
      <c r="M85" s="44"/>
      <c r="N85" s="44">
        <v>1280.38</v>
      </c>
      <c r="O85" s="44"/>
      <c r="P85" s="44">
        <f t="shared" si="19"/>
        <v>1280.38</v>
      </c>
      <c r="Q85" s="44"/>
      <c r="R85" s="36">
        <v>3127</v>
      </c>
      <c r="S85" s="4">
        <v>342</v>
      </c>
      <c r="T85" s="65" t="s">
        <v>130</v>
      </c>
      <c r="U85" s="44"/>
      <c r="V85" s="44"/>
      <c r="W85" s="44"/>
      <c r="X85" s="44">
        <f t="shared" si="20"/>
        <v>0</v>
      </c>
      <c r="Y85" s="44"/>
      <c r="Z85" s="44">
        <v>6000</v>
      </c>
      <c r="AA85" s="44"/>
      <c r="AB85" s="44">
        <f>-6000</f>
        <v>-6000</v>
      </c>
      <c r="AC85" s="44">
        <f t="shared" si="21"/>
        <v>0</v>
      </c>
    </row>
    <row r="86" spans="1:29" ht="12.75">
      <c r="A86" s="36">
        <v>3127</v>
      </c>
      <c r="B86" s="4">
        <v>344</v>
      </c>
      <c r="C86" s="65" t="s">
        <v>131</v>
      </c>
      <c r="D86" s="44">
        <v>4042.28</v>
      </c>
      <c r="E86" s="44">
        <f>-1167+20</f>
        <v>-1147</v>
      </c>
      <c r="F86" s="44"/>
      <c r="G86" s="48"/>
      <c r="H86" s="44">
        <f t="shared" si="17"/>
        <v>2895.28</v>
      </c>
      <c r="I86" s="44"/>
      <c r="J86" s="44"/>
      <c r="K86" s="44"/>
      <c r="L86" s="44">
        <f t="shared" si="18"/>
        <v>0</v>
      </c>
      <c r="M86" s="44"/>
      <c r="N86" s="44">
        <v>855.1800000000001</v>
      </c>
      <c r="O86" s="44"/>
      <c r="P86" s="44">
        <f t="shared" si="19"/>
        <v>855.1800000000001</v>
      </c>
      <c r="Q86" s="44"/>
      <c r="R86" s="36">
        <v>3127</v>
      </c>
      <c r="S86" s="4">
        <v>344</v>
      </c>
      <c r="T86" s="65" t="s">
        <v>131</v>
      </c>
      <c r="U86" s="44">
        <v>100</v>
      </c>
      <c r="V86" s="44">
        <f>-100</f>
        <v>-100</v>
      </c>
      <c r="W86" s="44"/>
      <c r="X86" s="44">
        <f t="shared" si="20"/>
        <v>0</v>
      </c>
      <c r="Y86" s="44"/>
      <c r="Z86" s="44">
        <v>6376</v>
      </c>
      <c r="AA86" s="44">
        <f>100</f>
        <v>100</v>
      </c>
      <c r="AB86" s="44">
        <f>-6276.7</f>
        <v>-6276.7</v>
      </c>
      <c r="AC86" s="44">
        <f t="shared" si="21"/>
        <v>199.30000000000018</v>
      </c>
    </row>
    <row r="87" spans="1:29" ht="12.75">
      <c r="A87" s="36">
        <v>3124</v>
      </c>
      <c r="B87" s="4">
        <v>345</v>
      </c>
      <c r="C87" s="37" t="s">
        <v>193</v>
      </c>
      <c r="D87" s="44">
        <v>8304.75</v>
      </c>
      <c r="E87" s="44">
        <f>3115.4+21.6</f>
        <v>3137</v>
      </c>
      <c r="F87" s="44"/>
      <c r="G87" s="48"/>
      <c r="H87" s="44">
        <f t="shared" si="17"/>
        <v>11441.75</v>
      </c>
      <c r="I87" s="44"/>
      <c r="J87" s="44"/>
      <c r="K87" s="44"/>
      <c r="L87" s="44">
        <f t="shared" si="18"/>
        <v>0</v>
      </c>
      <c r="M87" s="44"/>
      <c r="N87" s="44">
        <v>1069.3600000000001</v>
      </c>
      <c r="O87" s="44"/>
      <c r="P87" s="44">
        <f t="shared" si="19"/>
        <v>1069.3600000000001</v>
      </c>
      <c r="Q87" s="44"/>
      <c r="R87" s="36">
        <v>3124</v>
      </c>
      <c r="S87" s="4">
        <v>345</v>
      </c>
      <c r="T87" s="37" t="s">
        <v>106</v>
      </c>
      <c r="U87" s="44"/>
      <c r="V87" s="44"/>
      <c r="W87" s="44"/>
      <c r="X87" s="44">
        <f t="shared" si="20"/>
        <v>0</v>
      </c>
      <c r="Y87" s="44"/>
      <c r="Z87" s="44">
        <v>6912</v>
      </c>
      <c r="AA87" s="44">
        <f>-180.61</f>
        <v>-180.61</v>
      </c>
      <c r="AB87" s="44"/>
      <c r="AC87" s="44">
        <f t="shared" si="21"/>
        <v>6731.39</v>
      </c>
    </row>
    <row r="88" spans="1:29" ht="26.25">
      <c r="A88" s="36">
        <v>3114</v>
      </c>
      <c r="B88" s="4">
        <v>346</v>
      </c>
      <c r="C88" s="65" t="s">
        <v>247</v>
      </c>
      <c r="D88" s="44">
        <v>2920.81</v>
      </c>
      <c r="E88" s="44">
        <f>64</f>
        <v>64</v>
      </c>
      <c r="F88" s="44"/>
      <c r="G88" s="48">
        <f>5</f>
        <v>5</v>
      </c>
      <c r="H88" s="44">
        <f t="shared" si="17"/>
        <v>2989.81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/>
      <c r="P88" s="44">
        <f t="shared" si="19"/>
        <v>314.57</v>
      </c>
      <c r="Q88" s="44"/>
      <c r="R88" s="36">
        <v>3114</v>
      </c>
      <c r="S88" s="4">
        <v>346</v>
      </c>
      <c r="T88" s="37" t="s">
        <v>132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347</v>
      </c>
      <c r="C89" s="65" t="s">
        <v>195</v>
      </c>
      <c r="D89" s="44">
        <v>1704.1</v>
      </c>
      <c r="E89" s="44">
        <f>-6.39+44.5</f>
        <v>38.11</v>
      </c>
      <c r="F89" s="44"/>
      <c r="G89" s="48"/>
      <c r="H89" s="44">
        <f t="shared" si="17"/>
        <v>1742.2099999999998</v>
      </c>
      <c r="I89" s="44"/>
      <c r="J89" s="44"/>
      <c r="K89" s="44"/>
      <c r="L89" s="44">
        <f t="shared" si="18"/>
        <v>0</v>
      </c>
      <c r="M89" s="44"/>
      <c r="N89" s="44">
        <v>182</v>
      </c>
      <c r="O89" s="44">
        <f>-6.39</f>
        <v>-6.39</v>
      </c>
      <c r="P89" s="44">
        <f t="shared" si="19"/>
        <v>175.61</v>
      </c>
      <c r="Q89" s="44"/>
      <c r="R89" s="36">
        <v>3114</v>
      </c>
      <c r="S89" s="4">
        <v>347</v>
      </c>
      <c r="T89" s="65" t="s">
        <v>133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73" t="s">
        <v>248</v>
      </c>
      <c r="D90" s="44">
        <v>5249.3</v>
      </c>
      <c r="E90" s="44">
        <f>33.55+97</f>
        <v>130.55</v>
      </c>
      <c r="F90" s="44"/>
      <c r="G90" s="48">
        <f>10</f>
        <v>10</v>
      </c>
      <c r="H90" s="44">
        <f t="shared" si="17"/>
        <v>5389.85</v>
      </c>
      <c r="I90" s="44"/>
      <c r="J90" s="44"/>
      <c r="K90" s="44"/>
      <c r="L90" s="44">
        <f t="shared" si="18"/>
        <v>0</v>
      </c>
      <c r="M90" s="44"/>
      <c r="N90" s="44">
        <v>322.4</v>
      </c>
      <c r="O90" s="44">
        <f>8.55</f>
        <v>8.55</v>
      </c>
      <c r="P90" s="44">
        <f t="shared" si="19"/>
        <v>330.95</v>
      </c>
      <c r="Q90" s="44"/>
      <c r="R90" s="36">
        <v>3133</v>
      </c>
      <c r="S90" s="4">
        <v>349</v>
      </c>
      <c r="T90" s="37" t="s">
        <v>55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/>
      <c r="AB90" s="44"/>
      <c r="AC90" s="44">
        <f t="shared" si="21"/>
        <v>525</v>
      </c>
    </row>
    <row r="91" spans="1:29" ht="12.75">
      <c r="A91" s="36">
        <v>3294</v>
      </c>
      <c r="B91" s="1">
        <v>352</v>
      </c>
      <c r="C91" s="72" t="s">
        <v>166</v>
      </c>
      <c r="D91" s="44">
        <v>4140.2</v>
      </c>
      <c r="E91" s="44">
        <f>105+39</f>
        <v>144</v>
      </c>
      <c r="F91" s="44"/>
      <c r="G91" s="48"/>
      <c r="H91" s="44">
        <f t="shared" si="17"/>
        <v>4284.2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134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>
      <c r="A92" s="36">
        <v>3127</v>
      </c>
      <c r="B92" s="4">
        <v>353</v>
      </c>
      <c r="C92" s="37" t="s">
        <v>196</v>
      </c>
      <c r="D92" s="44">
        <v>5040.92</v>
      </c>
      <c r="E92" s="44">
        <f>-1164.29+225</f>
        <v>-939.29</v>
      </c>
      <c r="F92" s="44"/>
      <c r="G92" s="48"/>
      <c r="H92" s="44">
        <f t="shared" si="17"/>
        <v>4101.63</v>
      </c>
      <c r="I92" s="44"/>
      <c r="J92" s="44"/>
      <c r="K92" s="44"/>
      <c r="L92" s="44">
        <f t="shared" si="18"/>
        <v>0</v>
      </c>
      <c r="M92" s="44"/>
      <c r="N92" s="44">
        <v>379.78000000000003</v>
      </c>
      <c r="O92" s="44">
        <f>35.01</f>
        <v>35.01</v>
      </c>
      <c r="P92" s="44">
        <f t="shared" si="19"/>
        <v>414.79</v>
      </c>
      <c r="Q92" s="44"/>
      <c r="R92" s="36">
        <v>3127</v>
      </c>
      <c r="S92" s="4">
        <v>353</v>
      </c>
      <c r="T92" s="37" t="s">
        <v>56</v>
      </c>
      <c r="U92" s="44">
        <v>100</v>
      </c>
      <c r="V92" s="44"/>
      <c r="W92" s="44">
        <f>-100</f>
        <v>-100</v>
      </c>
      <c r="X92" s="44">
        <f t="shared" si="20"/>
        <v>0</v>
      </c>
      <c r="Y92" s="44"/>
      <c r="Z92" s="44">
        <v>1600</v>
      </c>
      <c r="AA92" s="44"/>
      <c r="AB92" s="44">
        <f>-1523.69</f>
        <v>-1523.69</v>
      </c>
      <c r="AC92" s="44">
        <f t="shared" si="21"/>
        <v>76.30999999999995</v>
      </c>
    </row>
    <row r="93" spans="1:29" ht="26.25">
      <c r="A93" s="36">
        <v>3127</v>
      </c>
      <c r="B93" s="4">
        <v>354</v>
      </c>
      <c r="C93" s="65" t="s">
        <v>249</v>
      </c>
      <c r="D93" s="44">
        <v>3183.96</v>
      </c>
      <c r="E93" s="44">
        <f>-1003+25</f>
        <v>-978</v>
      </c>
      <c r="F93" s="44"/>
      <c r="G93" s="48">
        <f>10</f>
        <v>10</v>
      </c>
      <c r="H93" s="44">
        <f t="shared" si="17"/>
        <v>2215.96</v>
      </c>
      <c r="I93" s="44"/>
      <c r="J93" s="44"/>
      <c r="K93" s="44"/>
      <c r="L93" s="44">
        <f t="shared" si="18"/>
        <v>0</v>
      </c>
      <c r="M93" s="44"/>
      <c r="N93" s="44">
        <v>275.65</v>
      </c>
      <c r="O93" s="44"/>
      <c r="P93" s="44">
        <f t="shared" si="19"/>
        <v>275.65</v>
      </c>
      <c r="Q93" s="44"/>
      <c r="R93" s="36">
        <v>3127</v>
      </c>
      <c r="S93" s="4">
        <v>354</v>
      </c>
      <c r="T93" s="65" t="s">
        <v>135</v>
      </c>
      <c r="U93" s="55" t="s">
        <v>86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136</v>
      </c>
      <c r="D94" s="44">
        <v>2671.24</v>
      </c>
      <c r="E94" s="44">
        <f>-829.7</f>
        <v>-829.7</v>
      </c>
      <c r="F94" s="44"/>
      <c r="G94" s="48"/>
      <c r="H94" s="44">
        <f t="shared" si="17"/>
        <v>1841.5399999999997</v>
      </c>
      <c r="I94" s="44"/>
      <c r="J94" s="44"/>
      <c r="K94" s="44"/>
      <c r="L94" s="44">
        <f t="shared" si="18"/>
        <v>0</v>
      </c>
      <c r="M94" s="44"/>
      <c r="N94" s="44">
        <v>575.18</v>
      </c>
      <c r="O94" s="44"/>
      <c r="P94" s="44">
        <f t="shared" si="19"/>
        <v>575.18</v>
      </c>
      <c r="Q94" s="44"/>
      <c r="R94" s="36">
        <v>3122</v>
      </c>
      <c r="S94" s="4">
        <v>355</v>
      </c>
      <c r="T94" s="65" t="s">
        <v>136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198</v>
      </c>
      <c r="D95" s="44">
        <v>9416.18</v>
      </c>
      <c r="E95" s="44">
        <f>-2939.5+446</f>
        <v>-2493.5</v>
      </c>
      <c r="F95" s="44"/>
      <c r="G95" s="48"/>
      <c r="H95" s="44">
        <f t="shared" si="17"/>
        <v>6922.68</v>
      </c>
      <c r="I95" s="44"/>
      <c r="J95" s="44"/>
      <c r="K95" s="44"/>
      <c r="L95" s="44">
        <f t="shared" si="18"/>
        <v>0</v>
      </c>
      <c r="M95" s="44"/>
      <c r="N95" s="44">
        <v>1056.47</v>
      </c>
      <c r="O95" s="44"/>
      <c r="P95" s="44">
        <f t="shared" si="19"/>
        <v>1056.47</v>
      </c>
      <c r="Q95" s="44"/>
      <c r="R95" s="36">
        <v>3127</v>
      </c>
      <c r="S95" s="4">
        <v>357</v>
      </c>
      <c r="T95" s="37" t="s">
        <v>107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250</v>
      </c>
      <c r="D96" s="44">
        <v>1080.6</v>
      </c>
      <c r="E96" s="44"/>
      <c r="F96" s="44"/>
      <c r="G96" s="48">
        <f>9</f>
        <v>9</v>
      </c>
      <c r="H96" s="44">
        <f t="shared" si="17"/>
        <v>1089.6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57</v>
      </c>
      <c r="U96" s="44"/>
      <c r="V96" s="44"/>
      <c r="W96" s="44"/>
      <c r="X96" s="44">
        <f t="shared" si="20"/>
        <v>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200</v>
      </c>
      <c r="D97" s="44">
        <v>2467.1</v>
      </c>
      <c r="E97" s="44">
        <f>45</f>
        <v>45</v>
      </c>
      <c r="F97" s="44"/>
      <c r="G97" s="48"/>
      <c r="H97" s="44">
        <f t="shared" si="17"/>
        <v>2512.1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137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26.25">
      <c r="A98" s="36">
        <v>3121</v>
      </c>
      <c r="B98" s="4">
        <v>367</v>
      </c>
      <c r="C98" s="65" t="s">
        <v>251</v>
      </c>
      <c r="D98" s="44">
        <v>4112.6</v>
      </c>
      <c r="E98" s="44">
        <f>108.34</f>
        <v>108.34</v>
      </c>
      <c r="F98" s="44"/>
      <c r="G98" s="48">
        <f>15</f>
        <v>15</v>
      </c>
      <c r="H98" s="44">
        <f t="shared" si="17"/>
        <v>4235.9400000000005</v>
      </c>
      <c r="I98" s="44"/>
      <c r="J98" s="44"/>
      <c r="K98" s="44"/>
      <c r="L98" s="44">
        <f t="shared" si="18"/>
        <v>0</v>
      </c>
      <c r="M98" s="44"/>
      <c r="N98" s="44">
        <v>391.36</v>
      </c>
      <c r="O98" s="44"/>
      <c r="P98" s="44">
        <f t="shared" si="19"/>
        <v>391.36</v>
      </c>
      <c r="Q98" s="44"/>
      <c r="R98" s="36">
        <v>3121</v>
      </c>
      <c r="S98" s="4">
        <v>367</v>
      </c>
      <c r="T98" s="65" t="s">
        <v>138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202</v>
      </c>
      <c r="D99" s="44">
        <v>2531.51</v>
      </c>
      <c r="E99" s="49">
        <f>20.45</f>
        <v>20.45</v>
      </c>
      <c r="F99" s="49"/>
      <c r="G99" s="58"/>
      <c r="H99" s="44">
        <f t="shared" si="17"/>
        <v>2551.96</v>
      </c>
      <c r="I99" s="49"/>
      <c r="J99" s="49"/>
      <c r="K99" s="49"/>
      <c r="L99" s="44">
        <f t="shared" si="18"/>
        <v>0</v>
      </c>
      <c r="M99" s="49"/>
      <c r="N99" s="44">
        <v>367.11</v>
      </c>
      <c r="O99" s="49"/>
      <c r="P99" s="44">
        <f t="shared" si="19"/>
        <v>367.11</v>
      </c>
      <c r="Q99" s="49"/>
      <c r="R99" s="36">
        <v>3121</v>
      </c>
      <c r="S99" s="4">
        <v>368</v>
      </c>
      <c r="T99" s="37" t="s">
        <v>10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/>
      <c r="AB99" s="49"/>
      <c r="AC99" s="44">
        <f t="shared" si="21"/>
        <v>3000</v>
      </c>
    </row>
    <row r="100" spans="1:29" ht="12.75">
      <c r="A100" s="36">
        <v>3122</v>
      </c>
      <c r="B100" s="5">
        <v>370</v>
      </c>
      <c r="C100" s="73" t="s">
        <v>203</v>
      </c>
      <c r="D100" s="44">
        <v>2932.96</v>
      </c>
      <c r="E100" s="44">
        <f>148.97+144</f>
        <v>292.97</v>
      </c>
      <c r="F100" s="44"/>
      <c r="G100" s="48"/>
      <c r="H100" s="44">
        <f t="shared" si="17"/>
        <v>3225.9300000000003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258.91</v>
      </c>
      <c r="O100" s="44">
        <f>21.22</f>
        <v>21.22</v>
      </c>
      <c r="P100" s="44">
        <f t="shared" si="19"/>
        <v>280.13</v>
      </c>
      <c r="Q100" s="44"/>
      <c r="R100" s="36">
        <v>3122</v>
      </c>
      <c r="S100" s="5">
        <v>370</v>
      </c>
      <c r="T100" s="65" t="s">
        <v>139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65" t="s">
        <v>204</v>
      </c>
      <c r="D101" s="44">
        <v>2924.9500000000003</v>
      </c>
      <c r="E101" s="44">
        <f>61.65</f>
        <v>61.65</v>
      </c>
      <c r="F101" s="44"/>
      <c r="G101" s="48"/>
      <c r="H101" s="44">
        <f t="shared" si="17"/>
        <v>2986.6000000000004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140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12.75">
      <c r="A102" s="36">
        <v>3127</v>
      </c>
      <c r="B102" s="4">
        <v>372</v>
      </c>
      <c r="C102" s="73" t="s">
        <v>205</v>
      </c>
      <c r="D102" s="44">
        <v>6649.700000000001</v>
      </c>
      <c r="E102" s="44">
        <f>89.8+60.5</f>
        <v>150.3</v>
      </c>
      <c r="F102" s="44"/>
      <c r="G102" s="48"/>
      <c r="H102" s="44">
        <f t="shared" si="17"/>
        <v>6800.000000000001</v>
      </c>
      <c r="I102" s="44"/>
      <c r="J102" s="44"/>
      <c r="K102" s="44">
        <f>435</f>
        <v>435</v>
      </c>
      <c r="L102" s="44">
        <f t="shared" si="18"/>
        <v>435</v>
      </c>
      <c r="M102" s="44"/>
      <c r="N102" s="44">
        <v>650.4</v>
      </c>
      <c r="O102" s="44"/>
      <c r="P102" s="44">
        <f t="shared" si="19"/>
        <v>650.4</v>
      </c>
      <c r="Q102" s="44"/>
      <c r="R102" s="36">
        <v>3127</v>
      </c>
      <c r="S102" s="4">
        <v>372</v>
      </c>
      <c r="T102" s="65" t="s">
        <v>141</v>
      </c>
      <c r="U102" s="44"/>
      <c r="V102" s="44"/>
      <c r="W102" s="44"/>
      <c r="X102" s="44">
        <f t="shared" si="20"/>
        <v>0</v>
      </c>
      <c r="Y102" s="44"/>
      <c r="Z102" s="44">
        <v>248</v>
      </c>
      <c r="AA102" s="48">
        <f>2100</f>
        <v>2100</v>
      </c>
      <c r="AB102" s="48"/>
      <c r="AC102" s="44">
        <f t="shared" si="21"/>
        <v>2348</v>
      </c>
    </row>
    <row r="103" spans="1:29" ht="12.75">
      <c r="A103" s="36">
        <v>3133</v>
      </c>
      <c r="B103" s="4">
        <v>374</v>
      </c>
      <c r="C103" s="37" t="s">
        <v>78</v>
      </c>
      <c r="D103" s="44">
        <v>1929.1</v>
      </c>
      <c r="E103" s="44">
        <f>95</f>
        <v>95</v>
      </c>
      <c r="F103" s="44"/>
      <c r="G103" s="48"/>
      <c r="H103" s="44">
        <f t="shared" si="17"/>
        <v>2024.1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78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72" t="s">
        <v>252</v>
      </c>
      <c r="D104" s="44">
        <v>616.5</v>
      </c>
      <c r="E104" s="44">
        <f>5.5</f>
        <v>5.5</v>
      </c>
      <c r="F104" s="44"/>
      <c r="G104" s="48">
        <f>15</f>
        <v>15</v>
      </c>
      <c r="H104" s="44">
        <f t="shared" si="17"/>
        <v>637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67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58</v>
      </c>
      <c r="D105" s="44">
        <v>2740</v>
      </c>
      <c r="E105" s="44">
        <f>99.5</f>
        <v>99.5</v>
      </c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58</v>
      </c>
      <c r="U105" s="44"/>
      <c r="V105" s="44"/>
      <c r="W105" s="44"/>
      <c r="X105" s="44">
        <f t="shared" si="20"/>
        <v>0</v>
      </c>
      <c r="Y105" s="44"/>
      <c r="Z105" s="44"/>
      <c r="AA105" s="44"/>
      <c r="AB105" s="44"/>
      <c r="AC105" s="44">
        <f t="shared" si="21"/>
        <v>0</v>
      </c>
    </row>
    <row r="106" spans="1:29" ht="26.25">
      <c r="A106" s="36">
        <v>3114</v>
      </c>
      <c r="B106" s="4">
        <v>381</v>
      </c>
      <c r="C106" s="65" t="s">
        <v>253</v>
      </c>
      <c r="D106" s="44">
        <v>2255.3</v>
      </c>
      <c r="E106" s="44"/>
      <c r="F106" s="44"/>
      <c r="G106" s="48">
        <f>12</f>
        <v>12</v>
      </c>
      <c r="H106" s="44">
        <f t="shared" si="17"/>
        <v>2267.3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142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254</v>
      </c>
      <c r="D107" s="44">
        <v>3063.51</v>
      </c>
      <c r="E107" s="44">
        <f>38.7</f>
        <v>38.7</v>
      </c>
      <c r="F107" s="44"/>
      <c r="G107" s="69">
        <f>3</f>
        <v>3</v>
      </c>
      <c r="H107" s="44">
        <f t="shared" si="17"/>
        <v>3105.21</v>
      </c>
      <c r="I107" s="44"/>
      <c r="J107" s="53"/>
      <c r="K107" s="53"/>
      <c r="L107" s="53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34</v>
      </c>
      <c r="U107" s="44"/>
      <c r="V107" s="44"/>
      <c r="W107" s="44"/>
      <c r="X107" s="44">
        <f t="shared" si="20"/>
        <v>0</v>
      </c>
      <c r="Y107" s="44"/>
      <c r="Z107" s="44">
        <v>670</v>
      </c>
      <c r="AA107" s="44">
        <f>200</f>
        <v>200</v>
      </c>
      <c r="AB107" s="44"/>
      <c r="AC107" s="44">
        <f t="shared" si="21"/>
        <v>870</v>
      </c>
    </row>
    <row r="108" spans="1:29" ht="12.75">
      <c r="A108" s="36">
        <v>3127</v>
      </c>
      <c r="B108" s="4">
        <v>391</v>
      </c>
      <c r="C108" s="72" t="s">
        <v>208</v>
      </c>
      <c r="D108" s="44">
        <v>9886.69</v>
      </c>
      <c r="E108" s="44">
        <f>-2996+58</f>
        <v>-2938</v>
      </c>
      <c r="F108" s="44"/>
      <c r="G108" s="48"/>
      <c r="H108" s="44">
        <f t="shared" si="17"/>
        <v>6948.6900000000005</v>
      </c>
      <c r="I108" s="44"/>
      <c r="J108" s="44"/>
      <c r="K108" s="44"/>
      <c r="L108" s="44">
        <f t="shared" si="18"/>
        <v>0</v>
      </c>
      <c r="M108" s="44"/>
      <c r="N108" s="44">
        <v>1656.49</v>
      </c>
      <c r="O108" s="44"/>
      <c r="P108" s="44">
        <f t="shared" si="19"/>
        <v>1656.49</v>
      </c>
      <c r="Q108" s="44"/>
      <c r="R108" s="36">
        <v>3127</v>
      </c>
      <c r="S108" s="4">
        <v>391</v>
      </c>
      <c r="T108" s="37" t="s">
        <v>143</v>
      </c>
      <c r="U108" s="44"/>
      <c r="V108" s="44"/>
      <c r="W108" s="44"/>
      <c r="X108" s="44">
        <f t="shared" si="20"/>
        <v>0</v>
      </c>
      <c r="Y108" s="44"/>
      <c r="Z108" s="44">
        <v>64</v>
      </c>
      <c r="AA108" s="44"/>
      <c r="AB108" s="44">
        <f>-64</f>
        <v>-64</v>
      </c>
      <c r="AC108" s="44">
        <f t="shared" si="21"/>
        <v>0</v>
      </c>
    </row>
    <row r="109" spans="1:29" ht="26.25">
      <c r="A109" s="36">
        <v>3127</v>
      </c>
      <c r="B109" s="4">
        <v>392</v>
      </c>
      <c r="C109" s="65" t="s">
        <v>255</v>
      </c>
      <c r="D109" s="44">
        <v>3014.33</v>
      </c>
      <c r="E109" s="44">
        <f>85</f>
        <v>85</v>
      </c>
      <c r="F109" s="44"/>
      <c r="G109" s="48">
        <f>12</f>
        <v>12</v>
      </c>
      <c r="H109" s="44">
        <f t="shared" si="17"/>
        <v>3111.33</v>
      </c>
      <c r="I109" s="44"/>
      <c r="J109" s="44"/>
      <c r="K109" s="44"/>
      <c r="L109" s="44">
        <f t="shared" si="18"/>
        <v>0</v>
      </c>
      <c r="M109" s="44"/>
      <c r="N109" s="44">
        <v>231.90000000000003</v>
      </c>
      <c r="O109" s="44"/>
      <c r="P109" s="44">
        <f t="shared" si="19"/>
        <v>231.90000000000003</v>
      </c>
      <c r="Q109" s="44"/>
      <c r="R109" s="36">
        <v>3127</v>
      </c>
      <c r="S109" s="4">
        <v>392</v>
      </c>
      <c r="T109" s="65" t="s">
        <v>144</v>
      </c>
      <c r="U109" s="44"/>
      <c r="V109" s="44"/>
      <c r="W109" s="44"/>
      <c r="X109" s="44">
        <f t="shared" si="20"/>
        <v>0</v>
      </c>
      <c r="Y109" s="44"/>
      <c r="Z109" s="44">
        <v>15954</v>
      </c>
      <c r="AA109" s="44"/>
      <c r="AB109" s="44"/>
      <c r="AC109" s="44">
        <f t="shared" si="21"/>
        <v>15954</v>
      </c>
    </row>
    <row r="110" spans="1:29" ht="12.75">
      <c r="A110" s="36">
        <v>3122</v>
      </c>
      <c r="B110" s="4">
        <v>393</v>
      </c>
      <c r="C110" s="37" t="s">
        <v>210</v>
      </c>
      <c r="D110" s="44">
        <v>2021.04</v>
      </c>
      <c r="E110" s="44">
        <f>47</f>
        <v>47</v>
      </c>
      <c r="F110" s="44"/>
      <c r="G110" s="48"/>
      <c r="H110" s="44">
        <f t="shared" si="17"/>
        <v>2068.04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/>
      <c r="P110" s="44">
        <f t="shared" si="19"/>
        <v>376.17</v>
      </c>
      <c r="Q110" s="44"/>
      <c r="R110" s="36">
        <v>3122</v>
      </c>
      <c r="S110" s="4">
        <v>393</v>
      </c>
      <c r="T110" s="37" t="s">
        <v>11</v>
      </c>
      <c r="U110" s="44">
        <v>225.1</v>
      </c>
      <c r="V110" s="44">
        <f>50</f>
        <v>50</v>
      </c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394</v>
      </c>
      <c r="C111" s="72" t="s">
        <v>211</v>
      </c>
      <c r="D111" s="44">
        <v>6073.57</v>
      </c>
      <c r="E111" s="44">
        <f>349.5+45</f>
        <v>394.5</v>
      </c>
      <c r="F111" s="44"/>
      <c r="G111" s="48"/>
      <c r="H111" s="44">
        <f t="shared" si="17"/>
        <v>6468.07</v>
      </c>
      <c r="I111" s="44"/>
      <c r="J111" s="44">
        <v>400</v>
      </c>
      <c r="K111" s="44"/>
      <c r="L111" s="44">
        <f t="shared" si="18"/>
        <v>400</v>
      </c>
      <c r="M111" s="44"/>
      <c r="N111" s="44">
        <v>673.02</v>
      </c>
      <c r="O111" s="44"/>
      <c r="P111" s="44">
        <f t="shared" si="19"/>
        <v>673.02</v>
      </c>
      <c r="Q111" s="44"/>
      <c r="R111" s="36">
        <v>3127</v>
      </c>
      <c r="S111" s="4">
        <v>394</v>
      </c>
      <c r="T111" s="37" t="s">
        <v>59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60</v>
      </c>
      <c r="D112" s="44">
        <v>2720.12</v>
      </c>
      <c r="E112" s="44">
        <f>28.5</f>
        <v>28.5</v>
      </c>
      <c r="F112" s="44"/>
      <c r="G112" s="48"/>
      <c r="H112" s="44">
        <f t="shared" si="17"/>
        <v>2748.62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/>
      <c r="P112" s="44">
        <f t="shared" si="19"/>
        <v>310.64000000000004</v>
      </c>
      <c r="Q112" s="44"/>
      <c r="R112" s="36">
        <v>3122</v>
      </c>
      <c r="S112" s="4">
        <v>395</v>
      </c>
      <c r="T112" s="37" t="s">
        <v>60</v>
      </c>
      <c r="U112" s="44"/>
      <c r="V112" s="44"/>
      <c r="W112" s="44"/>
      <c r="X112" s="44">
        <f t="shared" si="20"/>
        <v>0</v>
      </c>
      <c r="Y112" s="44"/>
      <c r="Z112" s="44"/>
      <c r="AA112" s="44"/>
      <c r="AB112" s="44"/>
      <c r="AC112" s="44">
        <f t="shared" si="21"/>
        <v>0</v>
      </c>
    </row>
    <row r="113" spans="1:29" ht="26.25">
      <c r="A113" s="36">
        <v>3127</v>
      </c>
      <c r="B113" s="4">
        <v>397</v>
      </c>
      <c r="C113" s="65" t="s">
        <v>238</v>
      </c>
      <c r="D113" s="44">
        <v>5416.3</v>
      </c>
      <c r="E113" s="44">
        <f>20.5+59.01</f>
        <v>79.50999999999999</v>
      </c>
      <c r="F113" s="44"/>
      <c r="G113" s="48">
        <v>720.65</v>
      </c>
      <c r="H113" s="44">
        <f t="shared" si="17"/>
        <v>6216.46</v>
      </c>
      <c r="I113" s="44"/>
      <c r="J113" s="44"/>
      <c r="K113" s="44"/>
      <c r="L113" s="44">
        <f t="shared" si="18"/>
        <v>0</v>
      </c>
      <c r="M113" s="44"/>
      <c r="N113" s="44">
        <v>693.7</v>
      </c>
      <c r="O113" s="44"/>
      <c r="P113" s="44">
        <f t="shared" si="19"/>
        <v>693.7</v>
      </c>
      <c r="Q113" s="44"/>
      <c r="R113" s="36">
        <v>3127</v>
      </c>
      <c r="S113" s="4">
        <v>397</v>
      </c>
      <c r="T113" s="65" t="s">
        <v>145</v>
      </c>
      <c r="U113" s="44">
        <v>850</v>
      </c>
      <c r="V113" s="44">
        <f>-550</f>
        <v>-550</v>
      </c>
      <c r="W113" s="44"/>
      <c r="X113" s="44">
        <f t="shared" si="20"/>
        <v>300</v>
      </c>
      <c r="Y113" s="44"/>
      <c r="Z113" s="44"/>
      <c r="AA113" s="44">
        <f>550</f>
        <v>550</v>
      </c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27</v>
      </c>
      <c r="D114" s="44">
        <v>4047.8399999999997</v>
      </c>
      <c r="E114" s="44">
        <f>-977.3+56.16</f>
        <v>-921.14</v>
      </c>
      <c r="F114" s="44"/>
      <c r="G114" s="48"/>
      <c r="H114" s="44">
        <f t="shared" si="17"/>
        <v>3126.7</v>
      </c>
      <c r="I114" s="44"/>
      <c r="J114" s="44"/>
      <c r="K114" s="44"/>
      <c r="L114" s="44">
        <f t="shared" si="18"/>
        <v>0</v>
      </c>
      <c r="M114" s="44"/>
      <c r="N114" s="44">
        <v>151.77</v>
      </c>
      <c r="O114" s="44"/>
      <c r="P114" s="44">
        <f t="shared" si="19"/>
        <v>151.77</v>
      </c>
      <c r="Q114" s="44"/>
      <c r="R114" s="36">
        <v>3127</v>
      </c>
      <c r="S114" s="4">
        <v>399</v>
      </c>
      <c r="T114" s="65" t="s">
        <v>27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12.75">
      <c r="A115" s="36">
        <v>3127</v>
      </c>
      <c r="B115" s="4">
        <v>400</v>
      </c>
      <c r="C115" s="73" t="s">
        <v>212</v>
      </c>
      <c r="D115" s="44">
        <v>4088.41</v>
      </c>
      <c r="E115" s="44">
        <f>51.3+133.5</f>
        <v>184.8</v>
      </c>
      <c r="F115" s="44"/>
      <c r="G115" s="48"/>
      <c r="H115" s="44">
        <f t="shared" si="17"/>
        <v>4273.21</v>
      </c>
      <c r="I115" s="44"/>
      <c r="J115" s="44"/>
      <c r="K115" s="44"/>
      <c r="L115" s="44">
        <f t="shared" si="18"/>
        <v>0</v>
      </c>
      <c r="M115" s="44"/>
      <c r="N115" s="44">
        <v>490.99</v>
      </c>
      <c r="O115" s="44"/>
      <c r="P115" s="44">
        <f t="shared" si="19"/>
        <v>490.99</v>
      </c>
      <c r="Q115" s="44"/>
      <c r="R115" s="36">
        <v>3127</v>
      </c>
      <c r="S115" s="4">
        <v>400</v>
      </c>
      <c r="T115" s="65" t="s">
        <v>146</v>
      </c>
      <c r="U115" s="44"/>
      <c r="V115" s="44"/>
      <c r="W115" s="44"/>
      <c r="X115" s="44">
        <f t="shared" si="20"/>
        <v>0</v>
      </c>
      <c r="Y115" s="44"/>
      <c r="Z115" s="44"/>
      <c r="AA115" s="44">
        <f>600</f>
        <v>600</v>
      </c>
      <c r="AB115" s="44"/>
      <c r="AC115" s="44">
        <f t="shared" si="21"/>
        <v>600</v>
      </c>
    </row>
    <row r="116" spans="1:29" ht="12.75">
      <c r="A116" s="36">
        <v>3124</v>
      </c>
      <c r="B116" s="4">
        <v>401</v>
      </c>
      <c r="C116" s="37" t="s">
        <v>213</v>
      </c>
      <c r="D116" s="44">
        <v>3380.4500000000003</v>
      </c>
      <c r="E116" s="44">
        <f>8+101</f>
        <v>109</v>
      </c>
      <c r="F116" s="44"/>
      <c r="G116" s="48"/>
      <c r="H116" s="44">
        <f t="shared" si="17"/>
        <v>3489.4500000000003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147</v>
      </c>
      <c r="U116" s="44"/>
      <c r="V116" s="44"/>
      <c r="W116" s="44"/>
      <c r="X116" s="44">
        <f t="shared" si="20"/>
        <v>0</v>
      </c>
      <c r="Y116" s="44"/>
      <c r="Z116" s="44">
        <v>600</v>
      </c>
      <c r="AA116" s="44"/>
      <c r="AB116" s="44"/>
      <c r="AC116" s="44">
        <f t="shared" si="21"/>
        <v>600</v>
      </c>
    </row>
    <row r="117" spans="1:29" ht="12.75">
      <c r="A117" s="36">
        <v>3121</v>
      </c>
      <c r="B117" s="4">
        <v>409</v>
      </c>
      <c r="C117" s="72" t="s">
        <v>214</v>
      </c>
      <c r="D117" s="44">
        <v>2572.3900000000003</v>
      </c>
      <c r="E117" s="44">
        <f>33</f>
        <v>33</v>
      </c>
      <c r="F117" s="44"/>
      <c r="G117" s="48"/>
      <c r="H117" s="44">
        <f t="shared" si="17"/>
        <v>2605.3900000000003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12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215</v>
      </c>
      <c r="D118" s="44">
        <v>6895.570000000001</v>
      </c>
      <c r="E118" s="44">
        <f>83</f>
        <v>83</v>
      </c>
      <c r="F118" s="44"/>
      <c r="G118" s="48"/>
      <c r="H118" s="44">
        <f t="shared" si="17"/>
        <v>6978.570000000001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13</v>
      </c>
      <c r="U118" s="44">
        <v>5933</v>
      </c>
      <c r="V118" s="44"/>
      <c r="W118" s="44"/>
      <c r="X118" s="44">
        <f t="shared" si="20"/>
        <v>5933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3127</v>
      </c>
      <c r="B119" s="4">
        <v>411</v>
      </c>
      <c r="C119" s="37" t="s">
        <v>16</v>
      </c>
      <c r="D119" s="44">
        <v>2787.58</v>
      </c>
      <c r="E119" s="44">
        <f>-894.2</f>
        <v>-894.2</v>
      </c>
      <c r="F119" s="44"/>
      <c r="G119" s="48"/>
      <c r="H119" s="44">
        <f t="shared" si="17"/>
        <v>1893.3799999999999</v>
      </c>
      <c r="I119" s="44"/>
      <c r="J119" s="44"/>
      <c r="K119" s="44"/>
      <c r="L119" s="44">
        <f t="shared" si="18"/>
        <v>0</v>
      </c>
      <c r="M119" s="44"/>
      <c r="N119" s="44">
        <v>568.4</v>
      </c>
      <c r="O119" s="44"/>
      <c r="P119" s="44">
        <f t="shared" si="19"/>
        <v>568.4</v>
      </c>
      <c r="Q119" s="44"/>
      <c r="R119" s="36">
        <v>3127</v>
      </c>
      <c r="S119" s="4">
        <v>411</v>
      </c>
      <c r="T119" s="37" t="s">
        <v>16</v>
      </c>
      <c r="U119" s="44">
        <v>287</v>
      </c>
      <c r="V119" s="44"/>
      <c r="W119" s="44">
        <f>-30.5</f>
        <v>-30.5</v>
      </c>
      <c r="X119" s="44">
        <f t="shared" si="20"/>
        <v>256.5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37" t="s">
        <v>216</v>
      </c>
      <c r="D120" s="44">
        <v>3891.13</v>
      </c>
      <c r="E120" s="44">
        <f>902+100</f>
        <v>1002</v>
      </c>
      <c r="F120" s="44"/>
      <c r="G120" s="48"/>
      <c r="H120" s="44">
        <f t="shared" si="17"/>
        <v>4893.13</v>
      </c>
      <c r="I120" s="44"/>
      <c r="J120" s="44"/>
      <c r="K120" s="44"/>
      <c r="L120" s="44">
        <f t="shared" si="18"/>
        <v>0</v>
      </c>
      <c r="M120" s="44"/>
      <c r="N120" s="44">
        <v>23.689999999999998</v>
      </c>
      <c r="O120" s="44"/>
      <c r="P120" s="44">
        <f t="shared" si="19"/>
        <v>23.689999999999998</v>
      </c>
      <c r="Q120" s="44"/>
      <c r="R120" s="36">
        <v>3121</v>
      </c>
      <c r="S120" s="4">
        <v>413</v>
      </c>
      <c r="T120" s="37" t="s">
        <v>41</v>
      </c>
      <c r="U120" s="44"/>
      <c r="V120" s="44"/>
      <c r="W120" s="44">
        <f>30.5</f>
        <v>30.5</v>
      </c>
      <c r="X120" s="44">
        <f t="shared" si="20"/>
        <v>30.5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3122</v>
      </c>
      <c r="B121" s="4">
        <v>414</v>
      </c>
      <c r="C121" s="37" t="s">
        <v>256</v>
      </c>
      <c r="D121" s="44">
        <v>1645.2</v>
      </c>
      <c r="E121" s="44">
        <f>-548+9.68</f>
        <v>-538.32</v>
      </c>
      <c r="F121" s="44"/>
      <c r="G121" s="48">
        <f>13</f>
        <v>13</v>
      </c>
      <c r="H121" s="44">
        <f t="shared" si="17"/>
        <v>1119.88</v>
      </c>
      <c r="I121" s="44"/>
      <c r="J121" s="44"/>
      <c r="K121" s="44"/>
      <c r="L121" s="44">
        <f t="shared" si="18"/>
        <v>0</v>
      </c>
      <c r="M121" s="44"/>
      <c r="N121" s="44">
        <v>127.9</v>
      </c>
      <c r="O121" s="44"/>
      <c r="P121" s="44">
        <f t="shared" si="19"/>
        <v>127.9</v>
      </c>
      <c r="Q121" s="44"/>
      <c r="R121" s="36">
        <v>3122</v>
      </c>
      <c r="S121" s="4">
        <v>414</v>
      </c>
      <c r="T121" s="37" t="s">
        <v>148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6.25">
      <c r="A122" s="36">
        <v>3122</v>
      </c>
      <c r="B122" s="4">
        <v>415</v>
      </c>
      <c r="C122" s="65" t="s">
        <v>257</v>
      </c>
      <c r="D122" s="44">
        <v>3353.48</v>
      </c>
      <c r="E122" s="44">
        <f>566.4+402.89</f>
        <v>969.29</v>
      </c>
      <c r="F122" s="44"/>
      <c r="G122" s="48">
        <f>3</f>
        <v>3</v>
      </c>
      <c r="H122" s="44">
        <f t="shared" si="17"/>
        <v>4325.77</v>
      </c>
      <c r="I122" s="44"/>
      <c r="J122" s="44"/>
      <c r="K122" s="44"/>
      <c r="L122" s="44">
        <f t="shared" si="18"/>
        <v>0</v>
      </c>
      <c r="M122" s="44"/>
      <c r="N122" s="44">
        <v>351.52</v>
      </c>
      <c r="O122" s="44"/>
      <c r="P122" s="44">
        <f t="shared" si="19"/>
        <v>351.52</v>
      </c>
      <c r="Q122" s="44"/>
      <c r="R122" s="36">
        <v>3122</v>
      </c>
      <c r="S122" s="4">
        <v>415</v>
      </c>
      <c r="T122" s="65" t="s">
        <v>149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218</v>
      </c>
      <c r="D123" s="44">
        <v>12859.5</v>
      </c>
      <c r="E123" s="44">
        <f>250.6+225</f>
        <v>475.6</v>
      </c>
      <c r="F123" s="44"/>
      <c r="G123" s="48"/>
      <c r="H123" s="44">
        <f t="shared" si="17"/>
        <v>13335.1</v>
      </c>
      <c r="I123" s="44"/>
      <c r="J123" s="44"/>
      <c r="K123" s="55">
        <f>185</f>
        <v>185</v>
      </c>
      <c r="L123" s="44">
        <f t="shared" si="18"/>
        <v>185</v>
      </c>
      <c r="M123" s="44"/>
      <c r="N123" s="44">
        <v>1874.08</v>
      </c>
      <c r="O123" s="44"/>
      <c r="P123" s="44">
        <f t="shared" si="19"/>
        <v>1874.08</v>
      </c>
      <c r="Q123" s="44"/>
      <c r="R123" s="36">
        <v>3127</v>
      </c>
      <c r="S123" s="4">
        <v>416</v>
      </c>
      <c r="T123" s="37" t="s">
        <v>150</v>
      </c>
      <c r="U123" s="44"/>
      <c r="V123" s="44">
        <f>200+100</f>
        <v>300</v>
      </c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12.75">
      <c r="A124" s="36">
        <v>3127</v>
      </c>
      <c r="B124" s="4">
        <v>418</v>
      </c>
      <c r="C124" s="73" t="s">
        <v>219</v>
      </c>
      <c r="D124" s="44">
        <v>6564.49</v>
      </c>
      <c r="E124" s="44">
        <f>154+61</f>
        <v>215</v>
      </c>
      <c r="F124" s="44"/>
      <c r="G124" s="48"/>
      <c r="H124" s="44">
        <f t="shared" si="17"/>
        <v>6779.49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/>
      <c r="P124" s="44">
        <f t="shared" si="19"/>
        <v>585.35</v>
      </c>
      <c r="Q124" s="44"/>
      <c r="R124" s="36">
        <v>3127</v>
      </c>
      <c r="S124" s="4">
        <v>418</v>
      </c>
      <c r="T124" s="65" t="s">
        <v>151</v>
      </c>
      <c r="U124" s="44"/>
      <c r="V124" s="48"/>
      <c r="W124" s="48"/>
      <c r="X124" s="44">
        <f t="shared" si="20"/>
        <v>0</v>
      </c>
      <c r="Y124" s="44"/>
      <c r="Z124" s="44">
        <v>5150</v>
      </c>
      <c r="AA124" s="44">
        <f>400</f>
        <v>400</v>
      </c>
      <c r="AB124" s="44"/>
      <c r="AC124" s="44">
        <f t="shared" si="21"/>
        <v>5550</v>
      </c>
    </row>
    <row r="125" spans="1:29" ht="12.75">
      <c r="A125" s="36">
        <v>3127</v>
      </c>
      <c r="B125" s="4">
        <v>419</v>
      </c>
      <c r="C125" s="37" t="s">
        <v>220</v>
      </c>
      <c r="D125" s="44">
        <v>8214.779999999999</v>
      </c>
      <c r="E125" s="44">
        <f>377.3+90</f>
        <v>467.3</v>
      </c>
      <c r="F125" s="44"/>
      <c r="G125" s="48"/>
      <c r="H125" s="44">
        <f aca="true" t="shared" si="22" ref="H125:H148">D125+E125+F125+G125</f>
        <v>8682.079999999998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/>
      <c r="P125" s="44">
        <f aca="true" t="shared" si="24" ref="P125:P148">N125+O125</f>
        <v>1051.24</v>
      </c>
      <c r="Q125" s="44"/>
      <c r="R125" s="36">
        <v>3127</v>
      </c>
      <c r="S125" s="4">
        <v>419</v>
      </c>
      <c r="T125" s="37" t="s">
        <v>61</v>
      </c>
      <c r="U125" s="44">
        <v>261</v>
      </c>
      <c r="V125" s="44"/>
      <c r="W125" s="44"/>
      <c r="X125" s="44">
        <f aca="true" t="shared" si="25" ref="X125:X148">SUM(U125:W125)</f>
        <v>261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14</v>
      </c>
      <c r="D126" s="44">
        <v>2008.6699999999998</v>
      </c>
      <c r="E126" s="44">
        <f>-557.9</f>
        <v>-557.9</v>
      </c>
      <c r="F126" s="44"/>
      <c r="G126" s="48"/>
      <c r="H126" s="44">
        <f t="shared" si="22"/>
        <v>1450.77</v>
      </c>
      <c r="I126" s="44"/>
      <c r="J126" s="44"/>
      <c r="K126" s="44"/>
      <c r="L126" s="44">
        <f t="shared" si="23"/>
        <v>0</v>
      </c>
      <c r="M126" s="44"/>
      <c r="N126" s="44">
        <v>131.02</v>
      </c>
      <c r="O126" s="44"/>
      <c r="P126" s="44">
        <f t="shared" si="24"/>
        <v>131.02</v>
      </c>
      <c r="Q126" s="44"/>
      <c r="R126" s="36">
        <v>3123</v>
      </c>
      <c r="S126" s="4">
        <v>420</v>
      </c>
      <c r="T126" s="37" t="s">
        <v>14</v>
      </c>
      <c r="U126" s="44">
        <v>800</v>
      </c>
      <c r="V126" s="44"/>
      <c r="W126" s="44">
        <f>-800</f>
        <v>-800</v>
      </c>
      <c r="X126" s="44">
        <f t="shared" si="25"/>
        <v>0</v>
      </c>
      <c r="Y126" s="44"/>
      <c r="Z126" s="44">
        <v>4052</v>
      </c>
      <c r="AA126" s="44">
        <f>-50</f>
        <v>-50</v>
      </c>
      <c r="AB126" s="44">
        <f>-4002</f>
        <v>-4002</v>
      </c>
      <c r="AC126" s="44">
        <f t="shared" si="26"/>
        <v>0</v>
      </c>
    </row>
    <row r="127" spans="1:29" ht="12.75">
      <c r="A127" s="36">
        <v>3127</v>
      </c>
      <c r="B127" s="4">
        <v>422</v>
      </c>
      <c r="C127" s="37" t="s">
        <v>221</v>
      </c>
      <c r="D127" s="44">
        <v>6660.42</v>
      </c>
      <c r="E127" s="44">
        <f>-2039.6+58</f>
        <v>-1981.6</v>
      </c>
      <c r="F127" s="44"/>
      <c r="G127" s="48"/>
      <c r="H127" s="44">
        <f t="shared" si="22"/>
        <v>4678.82</v>
      </c>
      <c r="I127" s="44"/>
      <c r="J127" s="44"/>
      <c r="K127" s="44"/>
      <c r="L127" s="44">
        <f t="shared" si="23"/>
        <v>0</v>
      </c>
      <c r="M127" s="44"/>
      <c r="N127" s="44">
        <v>623.48</v>
      </c>
      <c r="O127" s="44"/>
      <c r="P127" s="44">
        <f t="shared" si="24"/>
        <v>623.48</v>
      </c>
      <c r="Q127" s="44"/>
      <c r="R127" s="36">
        <v>3127</v>
      </c>
      <c r="S127" s="4">
        <v>422</v>
      </c>
      <c r="T127" s="37" t="s">
        <v>42</v>
      </c>
      <c r="U127" s="44"/>
      <c r="V127" s="44"/>
      <c r="W127" s="44"/>
      <c r="X127" s="44">
        <f t="shared" si="25"/>
        <v>0</v>
      </c>
      <c r="Y127" s="44"/>
      <c r="Z127" s="44">
        <v>700</v>
      </c>
      <c r="AA127" s="44"/>
      <c r="AB127" s="55">
        <v>-74.16</v>
      </c>
      <c r="AC127" s="44">
        <f t="shared" si="26"/>
        <v>625.84</v>
      </c>
    </row>
    <row r="128" spans="1:29" ht="26.25">
      <c r="A128" s="36">
        <v>3124</v>
      </c>
      <c r="B128" s="4">
        <v>423</v>
      </c>
      <c r="C128" s="65" t="s">
        <v>258</v>
      </c>
      <c r="D128" s="44">
        <v>3975.8999999999996</v>
      </c>
      <c r="E128" s="44">
        <f>44.5+43</f>
        <v>87.5</v>
      </c>
      <c r="F128" s="44"/>
      <c r="G128" s="48">
        <f>4</f>
        <v>4</v>
      </c>
      <c r="H128" s="44">
        <f t="shared" si="22"/>
        <v>4067.3999999999996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/>
      <c r="P128" s="44">
        <f t="shared" si="24"/>
        <v>387.9</v>
      </c>
      <c r="Q128" s="44"/>
      <c r="R128" s="36">
        <v>3124</v>
      </c>
      <c r="S128" s="4">
        <v>423</v>
      </c>
      <c r="T128" s="37" t="s">
        <v>152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153</v>
      </c>
      <c r="D129" s="44">
        <v>1268.9</v>
      </c>
      <c r="E129" s="44">
        <f>120.5</f>
        <v>120.5</v>
      </c>
      <c r="F129" s="44"/>
      <c r="G129" s="48"/>
      <c r="H129" s="44">
        <f t="shared" si="22"/>
        <v>1389.4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/>
      <c r="P129" s="44">
        <f t="shared" si="24"/>
        <v>44.6</v>
      </c>
      <c r="Q129" s="44"/>
      <c r="R129" s="36">
        <v>3112</v>
      </c>
      <c r="S129" s="4">
        <v>425</v>
      </c>
      <c r="T129" s="37" t="s">
        <v>153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62</v>
      </c>
      <c r="D130" s="44">
        <v>827.5</v>
      </c>
      <c r="E130" s="44">
        <f>95.18</f>
        <v>95.18</v>
      </c>
      <c r="F130" s="44"/>
      <c r="G130" s="48"/>
      <c r="H130" s="44">
        <f t="shared" si="22"/>
        <v>922.6800000000001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62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223</v>
      </c>
      <c r="D131" s="44">
        <v>2466.2</v>
      </c>
      <c r="E131" s="44">
        <f>19.73</f>
        <v>19.73</v>
      </c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63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224</v>
      </c>
      <c r="D132" s="44">
        <v>3088.38</v>
      </c>
      <c r="E132" s="44">
        <f>31.5</f>
        <v>31.5</v>
      </c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154</v>
      </c>
      <c r="U132" s="44"/>
      <c r="V132" s="44">
        <f>350</f>
        <v>350</v>
      </c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12.75">
      <c r="A133" s="36">
        <v>3114</v>
      </c>
      <c r="B133" s="4">
        <v>431</v>
      </c>
      <c r="C133" s="73" t="s">
        <v>236</v>
      </c>
      <c r="D133" s="44">
        <v>1574.3000000000002</v>
      </c>
      <c r="E133" s="44">
        <f>155</f>
        <v>155</v>
      </c>
      <c r="F133" s="44"/>
      <c r="G133" s="48"/>
      <c r="H133" s="44">
        <f t="shared" si="22"/>
        <v>1729.3000000000002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155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156</v>
      </c>
      <c r="D134" s="44">
        <v>2427</v>
      </c>
      <c r="E134" s="44">
        <f>75.6</f>
        <v>75.6</v>
      </c>
      <c r="F134" s="44"/>
      <c r="G134" s="48"/>
      <c r="H134" s="44">
        <f t="shared" si="22"/>
        <v>2502.6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156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225</v>
      </c>
      <c r="D135" s="44">
        <v>585.7</v>
      </c>
      <c r="E135" s="44">
        <f>12.46</f>
        <v>12.46</v>
      </c>
      <c r="F135" s="44"/>
      <c r="G135" s="48"/>
      <c r="H135" s="44">
        <f t="shared" si="22"/>
        <v>598.1600000000001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64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157</v>
      </c>
      <c r="D136" s="44">
        <v>2090</v>
      </c>
      <c r="E136" s="44">
        <f>6</f>
        <v>6</v>
      </c>
      <c r="F136" s="44"/>
      <c r="G136" s="48"/>
      <c r="H136" s="44">
        <f t="shared" si="22"/>
        <v>2096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157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12.75">
      <c r="A137" s="36">
        <v>3127</v>
      </c>
      <c r="B137" s="4">
        <v>445</v>
      </c>
      <c r="C137" s="73" t="s">
        <v>226</v>
      </c>
      <c r="D137" s="44">
        <v>8628.85</v>
      </c>
      <c r="E137" s="44">
        <f>375.3+315.6</f>
        <v>690.9000000000001</v>
      </c>
      <c r="F137" s="44"/>
      <c r="G137" s="48"/>
      <c r="H137" s="44">
        <f t="shared" si="22"/>
        <v>9319.75</v>
      </c>
      <c r="I137" s="44"/>
      <c r="J137" s="44"/>
      <c r="K137" s="44"/>
      <c r="L137" s="44">
        <f t="shared" si="23"/>
        <v>0</v>
      </c>
      <c r="M137" s="44"/>
      <c r="N137" s="44">
        <v>944.12</v>
      </c>
      <c r="O137" s="44"/>
      <c r="P137" s="44">
        <f t="shared" si="24"/>
        <v>944.12</v>
      </c>
      <c r="Q137" s="44"/>
      <c r="R137" s="36">
        <v>3127</v>
      </c>
      <c r="S137" s="4">
        <v>445</v>
      </c>
      <c r="T137" s="65" t="s">
        <v>158</v>
      </c>
      <c r="U137" s="44">
        <v>700</v>
      </c>
      <c r="V137" s="44"/>
      <c r="W137" s="44"/>
      <c r="X137" s="44">
        <f t="shared" si="25"/>
        <v>700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65</v>
      </c>
      <c r="D138" s="44">
        <v>1940.38</v>
      </c>
      <c r="E138" s="44">
        <f>-631.9</f>
        <v>-631.9</v>
      </c>
      <c r="F138" s="44"/>
      <c r="G138" s="48"/>
      <c r="H138" s="44">
        <f t="shared" si="22"/>
        <v>1308.48</v>
      </c>
      <c r="I138" s="44"/>
      <c r="J138" s="44"/>
      <c r="K138" s="44"/>
      <c r="L138" s="44">
        <f t="shared" si="23"/>
        <v>0</v>
      </c>
      <c r="M138" s="44"/>
      <c r="N138" s="44">
        <v>228.1</v>
      </c>
      <c r="O138" s="44"/>
      <c r="P138" s="44">
        <f t="shared" si="24"/>
        <v>228.1</v>
      </c>
      <c r="Q138" s="44"/>
      <c r="R138" s="36">
        <v>3127</v>
      </c>
      <c r="S138" s="4">
        <v>446</v>
      </c>
      <c r="T138" s="37" t="s">
        <v>65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227</v>
      </c>
      <c r="D139" s="44">
        <v>3666.46</v>
      </c>
      <c r="E139" s="59">
        <f>41.7+173</f>
        <v>214.7</v>
      </c>
      <c r="F139" s="59"/>
      <c r="G139" s="74"/>
      <c r="H139" s="44">
        <f t="shared" si="22"/>
        <v>3881.16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66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/>
      <c r="AB139" s="59"/>
      <c r="AC139" s="44">
        <f t="shared" si="26"/>
        <v>0</v>
      </c>
    </row>
    <row r="140" spans="1:29" ht="12.75">
      <c r="A140" s="36">
        <v>3127</v>
      </c>
      <c r="B140" s="2">
        <v>450</v>
      </c>
      <c r="C140" s="37" t="s">
        <v>228</v>
      </c>
      <c r="D140" s="44">
        <v>4012.7400000000002</v>
      </c>
      <c r="E140" s="44">
        <f>-1256.1+47.04</f>
        <v>-1209.06</v>
      </c>
      <c r="F140" s="44"/>
      <c r="G140" s="48"/>
      <c r="H140" s="44">
        <f t="shared" si="22"/>
        <v>2803.6800000000003</v>
      </c>
      <c r="I140" s="44"/>
      <c r="J140" s="44"/>
      <c r="K140" s="44"/>
      <c r="L140" s="44">
        <f t="shared" si="23"/>
        <v>0</v>
      </c>
      <c r="M140" s="44"/>
      <c r="N140" s="44">
        <v>109.47</v>
      </c>
      <c r="O140" s="44"/>
      <c r="P140" s="44">
        <f t="shared" si="24"/>
        <v>109.47</v>
      </c>
      <c r="Q140" s="44"/>
      <c r="R140" s="36">
        <v>3127</v>
      </c>
      <c r="S140" s="2">
        <v>450</v>
      </c>
      <c r="T140" s="37" t="s">
        <v>15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159</v>
      </c>
      <c r="D141" s="44">
        <v>1774.09</v>
      </c>
      <c r="E141" s="44">
        <f>25.13</f>
        <v>25.13</v>
      </c>
      <c r="F141" s="44"/>
      <c r="G141" s="48"/>
      <c r="H141" s="44">
        <f t="shared" si="22"/>
        <v>1799.22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159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229</v>
      </c>
      <c r="D142" s="44">
        <v>13313.050000000001</v>
      </c>
      <c r="E142" s="44">
        <f>335.1+98</f>
        <v>433.1</v>
      </c>
      <c r="F142" s="44"/>
      <c r="G142" s="48"/>
      <c r="H142" s="44">
        <f t="shared" si="22"/>
        <v>13746.150000000001</v>
      </c>
      <c r="I142" s="44"/>
      <c r="J142" s="44"/>
      <c r="K142" s="44"/>
      <c r="L142" s="44">
        <f>J142+K142</f>
        <v>0</v>
      </c>
      <c r="M142" s="44"/>
      <c r="N142" s="44">
        <v>3609.79</v>
      </c>
      <c r="O142" s="44"/>
      <c r="P142" s="44">
        <f t="shared" si="24"/>
        <v>3609.79</v>
      </c>
      <c r="Q142" s="44"/>
      <c r="R142" s="36">
        <v>3127</v>
      </c>
      <c r="S142" s="4">
        <v>454</v>
      </c>
      <c r="T142" s="37" t="s">
        <v>160</v>
      </c>
      <c r="U142" s="44">
        <v>368</v>
      </c>
      <c r="V142" s="44">
        <f>1800+103</f>
        <v>1903</v>
      </c>
      <c r="W142" s="44"/>
      <c r="X142" s="44">
        <f t="shared" si="25"/>
        <v>2271</v>
      </c>
      <c r="Y142" s="44"/>
      <c r="Z142" s="44">
        <v>11458</v>
      </c>
      <c r="AA142" s="44">
        <f>-103</f>
        <v>-103</v>
      </c>
      <c r="AB142" s="44"/>
      <c r="AC142" s="44">
        <f t="shared" si="26"/>
        <v>11355</v>
      </c>
    </row>
    <row r="143" spans="1:29" ht="12.75">
      <c r="A143" s="35">
        <v>3146</v>
      </c>
      <c r="B143" s="2">
        <v>455</v>
      </c>
      <c r="C143" s="78" t="s">
        <v>161</v>
      </c>
      <c r="D143" s="59">
        <v>5298.400000000001</v>
      </c>
      <c r="E143" s="79">
        <f>50+217</f>
        <v>267</v>
      </c>
      <c r="F143" s="79"/>
      <c r="G143" s="80"/>
      <c r="H143" s="59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79">
        <v>186.07999999999998</v>
      </c>
      <c r="O143" s="79"/>
      <c r="P143" s="59">
        <f t="shared" si="24"/>
        <v>186.07999999999998</v>
      </c>
      <c r="Q143" s="79"/>
      <c r="R143" s="35">
        <v>3146</v>
      </c>
      <c r="S143" s="2">
        <v>455</v>
      </c>
      <c r="T143" s="78" t="s">
        <v>161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232</v>
      </c>
      <c r="D144" s="44"/>
      <c r="E144" s="44">
        <f>4290</f>
        <v>4290</v>
      </c>
      <c r="F144" s="44"/>
      <c r="G144" s="48"/>
      <c r="H144" s="59">
        <f t="shared" si="22"/>
        <v>4290</v>
      </c>
      <c r="I144" s="44"/>
      <c r="J144" s="44"/>
      <c r="K144" s="44"/>
      <c r="L144" s="44">
        <f t="shared" si="23"/>
        <v>0</v>
      </c>
      <c r="M144" s="44"/>
      <c r="N144" s="44"/>
      <c r="O144" s="44"/>
      <c r="P144" s="59">
        <f t="shared" si="24"/>
        <v>0</v>
      </c>
      <c r="Q144" s="44"/>
      <c r="R144" s="36">
        <v>3127</v>
      </c>
      <c r="S144" s="4">
        <v>456</v>
      </c>
      <c r="T144" s="65" t="s">
        <v>232</v>
      </c>
      <c r="U144" s="44"/>
      <c r="V144" s="44"/>
      <c r="W144" s="44"/>
      <c r="X144" s="59">
        <f t="shared" si="25"/>
        <v>0</v>
      </c>
      <c r="Y144" s="44"/>
      <c r="Z144" s="44"/>
      <c r="AA144" s="44"/>
      <c r="AB144" s="44">
        <f>64</f>
        <v>64</v>
      </c>
      <c r="AC144" s="59">
        <f t="shared" si="26"/>
        <v>64</v>
      </c>
    </row>
    <row r="145" spans="1:29" ht="12.75">
      <c r="A145" s="36">
        <v>3127</v>
      </c>
      <c r="B145" s="4">
        <v>457</v>
      </c>
      <c r="C145" s="65" t="s">
        <v>231</v>
      </c>
      <c r="D145" s="44"/>
      <c r="E145" s="44">
        <f>1842</f>
        <v>1842</v>
      </c>
      <c r="F145" s="44"/>
      <c r="G145" s="48"/>
      <c r="H145" s="59">
        <f t="shared" si="22"/>
        <v>1842</v>
      </c>
      <c r="I145" s="44"/>
      <c r="J145" s="44"/>
      <c r="K145" s="44"/>
      <c r="L145" s="44">
        <f t="shared" si="23"/>
        <v>0</v>
      </c>
      <c r="M145" s="44"/>
      <c r="N145" s="44"/>
      <c r="O145" s="44"/>
      <c r="P145" s="59">
        <f t="shared" si="24"/>
        <v>0</v>
      </c>
      <c r="Q145" s="44"/>
      <c r="R145" s="36">
        <v>3127</v>
      </c>
      <c r="S145" s="4">
        <v>457</v>
      </c>
      <c r="T145" s="65" t="s">
        <v>231</v>
      </c>
      <c r="U145" s="44"/>
      <c r="V145" s="44"/>
      <c r="W145" s="44">
        <f>800</f>
        <v>800</v>
      </c>
      <c r="X145" s="59">
        <f t="shared" si="25"/>
        <v>800</v>
      </c>
      <c r="Y145" s="44"/>
      <c r="Z145" s="44"/>
      <c r="AA145" s="44"/>
      <c r="AB145" s="44">
        <f>4002</f>
        <v>4002</v>
      </c>
      <c r="AC145" s="59">
        <f t="shared" si="26"/>
        <v>4002</v>
      </c>
    </row>
    <row r="146" spans="1:29" ht="12.75">
      <c r="A146" s="36">
        <v>3127</v>
      </c>
      <c r="B146" s="4">
        <v>458</v>
      </c>
      <c r="C146" s="65" t="s">
        <v>233</v>
      </c>
      <c r="D146" s="44"/>
      <c r="E146" s="44">
        <f>3543</f>
        <v>3543</v>
      </c>
      <c r="F146" s="44"/>
      <c r="G146" s="48"/>
      <c r="H146" s="59">
        <f t="shared" si="22"/>
        <v>3543</v>
      </c>
      <c r="I146" s="44"/>
      <c r="J146" s="44"/>
      <c r="K146" s="44"/>
      <c r="L146" s="44">
        <f t="shared" si="23"/>
        <v>0</v>
      </c>
      <c r="M146" s="44"/>
      <c r="N146" s="44"/>
      <c r="O146" s="44"/>
      <c r="P146" s="59">
        <f t="shared" si="24"/>
        <v>0</v>
      </c>
      <c r="Q146" s="44"/>
      <c r="R146" s="36">
        <v>3127</v>
      </c>
      <c r="S146" s="4">
        <v>458</v>
      </c>
      <c r="T146" s="65" t="s">
        <v>233</v>
      </c>
      <c r="U146" s="44"/>
      <c r="V146" s="44"/>
      <c r="W146" s="44">
        <f>100</f>
        <v>100</v>
      </c>
      <c r="X146" s="59">
        <f t="shared" si="25"/>
        <v>100</v>
      </c>
      <c r="Y146" s="44"/>
      <c r="Z146" s="44"/>
      <c r="AA146" s="44"/>
      <c r="AB146" s="44">
        <f>7800.39</f>
        <v>7800.39</v>
      </c>
      <c r="AC146" s="59">
        <f t="shared" si="26"/>
        <v>7800.39</v>
      </c>
    </row>
    <row r="147" spans="1:29" ht="12.75">
      <c r="A147" s="36">
        <v>3127</v>
      </c>
      <c r="B147" s="4">
        <v>459</v>
      </c>
      <c r="C147" s="65" t="s">
        <v>234</v>
      </c>
      <c r="D147" s="44"/>
      <c r="E147" s="44">
        <f>2896</f>
        <v>2896</v>
      </c>
      <c r="F147" s="44"/>
      <c r="G147" s="48"/>
      <c r="H147" s="59">
        <f t="shared" si="22"/>
        <v>2896</v>
      </c>
      <c r="I147" s="44"/>
      <c r="J147" s="44"/>
      <c r="K147" s="44"/>
      <c r="L147" s="44">
        <f t="shared" si="23"/>
        <v>0</v>
      </c>
      <c r="M147" s="44"/>
      <c r="N147" s="44"/>
      <c r="O147" s="44"/>
      <c r="P147" s="59">
        <f t="shared" si="24"/>
        <v>0</v>
      </c>
      <c r="Q147" s="44"/>
      <c r="R147" s="36">
        <v>3127</v>
      </c>
      <c r="S147" s="4">
        <v>459</v>
      </c>
      <c r="T147" s="65" t="s">
        <v>234</v>
      </c>
      <c r="U147" s="44"/>
      <c r="V147" s="44"/>
      <c r="W147" s="44">
        <f>200</f>
        <v>200</v>
      </c>
      <c r="X147" s="59">
        <f t="shared" si="25"/>
        <v>200</v>
      </c>
      <c r="Y147" s="44"/>
      <c r="Z147" s="44"/>
      <c r="AA147" s="44"/>
      <c r="AB147" s="44">
        <f>6000</f>
        <v>6000</v>
      </c>
      <c r="AC147" s="59">
        <f t="shared" si="26"/>
        <v>6000</v>
      </c>
    </row>
    <row r="148" spans="1:29" ht="13.5" thickBot="1">
      <c r="A148" s="81">
        <v>3127</v>
      </c>
      <c r="B148" s="82">
        <v>460</v>
      </c>
      <c r="C148" s="83" t="s">
        <v>235</v>
      </c>
      <c r="D148" s="60"/>
      <c r="E148" s="60">
        <f>3198</f>
        <v>3198</v>
      </c>
      <c r="F148" s="60"/>
      <c r="G148" s="75"/>
      <c r="H148" s="84">
        <f t="shared" si="22"/>
        <v>3198</v>
      </c>
      <c r="I148" s="60"/>
      <c r="J148" s="60"/>
      <c r="K148" s="60"/>
      <c r="L148" s="60">
        <f t="shared" si="23"/>
        <v>0</v>
      </c>
      <c r="M148" s="60"/>
      <c r="N148" s="60"/>
      <c r="O148" s="60"/>
      <c r="P148" s="84">
        <f t="shared" si="24"/>
        <v>0</v>
      </c>
      <c r="Q148" s="60"/>
      <c r="R148" s="81">
        <v>3127</v>
      </c>
      <c r="S148" s="82">
        <v>460</v>
      </c>
      <c r="T148" s="83" t="s">
        <v>235</v>
      </c>
      <c r="U148" s="60"/>
      <c r="V148" s="60"/>
      <c r="W148" s="60"/>
      <c r="X148" s="84">
        <f t="shared" si="25"/>
        <v>0</v>
      </c>
      <c r="Y148" s="60"/>
      <c r="Z148" s="60"/>
      <c r="AA148" s="60"/>
      <c r="AB148" s="60">
        <f>74.16</f>
        <v>74.16</v>
      </c>
      <c r="AC148" s="84">
        <f t="shared" si="26"/>
        <v>74.16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2018-06-26T07:19:34Z</cp:lastPrinted>
  <dcterms:created xsi:type="dcterms:W3CDTF">2002-08-26T10:16:33Z</dcterms:created>
  <dcterms:modified xsi:type="dcterms:W3CDTF">2018-06-26T07:19:44Z</dcterms:modified>
  <cp:category/>
  <cp:version/>
  <cp:contentType/>
  <cp:contentStatus/>
</cp:coreProperties>
</file>