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4. ZR" sheetId="1" r:id="rId1"/>
    <sheet name="4. ZR vč. PN" sheetId="2" r:id="rId2"/>
  </sheets>
  <definedNames>
    <definedName name="_xlnm.Print_Titles" localSheetId="0">'4. ZR'!$8:$9</definedName>
    <definedName name="_xlnm.Print_Titles" localSheetId="1">'4. ZR vč. PN'!$8:$9</definedName>
    <definedName name="_xlnm.Print_Area" localSheetId="0">'4. ZR'!$A$1:$O$523</definedName>
    <definedName name="_xlnm.Print_Area" localSheetId="1">'4. ZR vč. PN'!$A$1:$O$523</definedName>
    <definedName name="Z_39FD50E0_9911_4D32_8842_5A58F13D310F_.wvu.Cols" localSheetId="0" hidden="1">'4. ZR'!$D:$K,'4. ZR'!$N:$N,'4. ZR'!#REF!</definedName>
    <definedName name="Z_39FD50E0_9911_4D32_8842_5A58F13D310F_.wvu.Cols" localSheetId="1" hidden="1">'4. ZR vč. PN'!$D:$K,'4. ZR vč. PN'!$N:$N,'4. ZR vč. PN'!#REF!</definedName>
    <definedName name="Z_39FD50E0_9911_4D32_8842_5A58F13D310F_.wvu.PrintTitles" localSheetId="0" hidden="1">'4. ZR'!$8:$9</definedName>
    <definedName name="Z_39FD50E0_9911_4D32_8842_5A58F13D310F_.wvu.PrintTitles" localSheetId="1" hidden="1">'4. ZR vč. PN'!$8:$9</definedName>
    <definedName name="Z_39FD50E0_9911_4D32_8842_5A58F13D310F_.wvu.Rows" localSheetId="0" hidden="1">'4. ZR'!#REF!</definedName>
    <definedName name="Z_39FD50E0_9911_4D32_8842_5A58F13D310F_.wvu.Rows" localSheetId="1" hidden="1">'4. ZR vč. PN'!#REF!</definedName>
  </definedNames>
  <calcPr fullCalcOnLoad="1"/>
</workbook>
</file>

<file path=xl/sharedStrings.xml><?xml version="1.0" encoding="utf-8"?>
<sst xmlns="http://schemas.openxmlformats.org/spreadsheetml/2006/main" count="1120" uniqueCount="365">
  <si>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</si>
  <si>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</si>
  <si>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</si>
  <si>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</si>
  <si>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</si>
  <si>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</si>
  <si>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</si>
  <si>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</si>
  <si>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</si>
  <si>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</si>
  <si>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</si>
  <si>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</si>
  <si>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</si>
  <si>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</si>
  <si>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</si>
  <si>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</si>
  <si>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</si>
  <si>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</si>
  <si>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</si>
  <si>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</si>
  <si>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</si>
  <si>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</si>
  <si>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</si>
  <si>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</si>
  <si>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</si>
  <si>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</si>
  <si>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</si>
  <si>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</si>
  <si>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</si>
  <si>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</si>
  <si>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</si>
  <si>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</si>
  <si>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</si>
  <si>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</si>
  <si>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</si>
  <si>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</si>
  <si>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</si>
  <si>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</si>
  <si>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</si>
  <si>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</si>
  <si>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</si>
  <si>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</si>
  <si>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</si>
  <si>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</si>
  <si>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</si>
  <si>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</si>
  <si>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</si>
  <si>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</si>
  <si>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</si>
  <si>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</si>
  <si>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</si>
  <si>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</si>
  <si>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</si>
  <si>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</si>
  <si>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</si>
  <si>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</si>
  <si>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</si>
  <si>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</si>
  <si>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</si>
  <si>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</si>
  <si>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</si>
  <si>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</si>
  <si>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</si>
  <si>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</si>
  <si>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</si>
  <si>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</si>
  <si>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</si>
  <si>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</si>
  <si>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</si>
  <si>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</si>
  <si>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</si>
  <si>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</si>
  <si>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</si>
  <si>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</si>
  <si>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</si>
  <si>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</si>
  <si>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</si>
  <si>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</si>
  <si>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</si>
  <si>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</si>
  <si>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</si>
  <si>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</si>
  <si>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</si>
  <si>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</si>
  <si>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</si>
  <si>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</si>
  <si>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</si>
  <si>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</si>
  <si>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</si>
  <si>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</si>
  <si>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</si>
  <si>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</si>
  <si>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</si>
  <si>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</si>
  <si>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</si>
  <si>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</si>
  <si>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neinvestiční dotace obcím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</si>
  <si>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</si>
  <si>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</si>
  <si>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</si>
  <si>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</si>
  <si>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</si>
  <si>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</si>
  <si>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</si>
  <si>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</si>
  <si>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</si>
  <si>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</si>
  <si>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</si>
  <si>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</si>
  <si>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</si>
  <si>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</si>
  <si>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</si>
  <si>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</si>
  <si>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</si>
  <si>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</si>
  <si>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</si>
  <si>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</si>
  <si>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</si>
  <si>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</si>
  <si>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</si>
  <si>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</si>
  <si>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</si>
  <si>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</si>
  <si>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</si>
  <si>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</si>
  <si>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</si>
  <si>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</si>
  <si>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</si>
  <si>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</si>
  <si>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</si>
  <si>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</si>
  <si>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</si>
  <si>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</si>
  <si>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</si>
  <si>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</si>
  <si>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</si>
  <si>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</si>
  <si>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</si>
  <si>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</si>
  <si>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</si>
  <si>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</si>
  <si>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</si>
  <si>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</si>
  <si>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</si>
  <si>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</si>
  <si>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</si>
  <si>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</si>
  <si>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</si>
  <si>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</si>
  <si>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</si>
  <si>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</si>
  <si>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>projekt Regionální inst.ambul.psychos.sl.- RRRS SV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</si>
  <si>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</si>
  <si>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</si>
  <si>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</si>
  <si>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</si>
  <si>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</si>
  <si>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</si>
  <si>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</si>
  <si>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</si>
  <si>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</si>
  <si>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</si>
  <si>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</si>
  <si>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kontaktní centrum a terénní služby na malém městě-SR</t>
  </si>
  <si>
    <t xml:space="preserve">  z MŽP</t>
  </si>
  <si>
    <t xml:space="preserve">  z SFŽP</t>
  </si>
  <si>
    <t>neinvestiční dotace Krajskému ředitelství policie KHK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</si>
  <si>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</si>
  <si>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</si>
  <si>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</si>
  <si>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</si>
  <si>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</si>
  <si>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</si>
  <si>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</si>
  <si>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</si>
  <si>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</si>
  <si>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</si>
  <si>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</si>
  <si>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</si>
  <si>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</si>
  <si>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</si>
  <si>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</si>
  <si>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</si>
  <si>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</si>
  <si>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</si>
  <si>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</si>
  <si>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</si>
  <si>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</si>
  <si>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</si>
  <si>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</si>
  <si>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</si>
  <si>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</si>
  <si>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</si>
  <si>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</si>
  <si>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</si>
  <si>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</si>
  <si>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</si>
  <si>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</si>
  <si>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</si>
  <si>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</si>
  <si>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</si>
  <si>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</si>
  <si>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</si>
  <si>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</si>
  <si>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</si>
  <si>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</si>
  <si>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</si>
  <si>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</si>
  <si>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</si>
  <si>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</si>
  <si>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</si>
  <si>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</si>
  <si>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</si>
  <si>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</si>
  <si>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</si>
  <si>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</si>
  <si>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</si>
  <si>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</si>
  <si>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</si>
  <si>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</si>
  <si>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</si>
  <si>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 xml:space="preserve"> </t>
  </si>
  <si>
    <t xml:space="preserve">  z Úřadu práce</t>
  </si>
  <si>
    <t>odborná praxe pro mladé do 30 let v KHK - z Úřadu práce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</si>
  <si>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</si>
  <si>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</si>
  <si>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</si>
  <si>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</si>
  <si>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</si>
  <si>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</si>
  <si>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</si>
  <si>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</si>
  <si>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</si>
  <si>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činnost KÚ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</si>
  <si>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</si>
  <si>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</si>
  <si>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</si>
  <si>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</si>
  <si>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</si>
  <si>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</si>
  <si>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</si>
  <si>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</si>
  <si>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</si>
  <si>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</si>
  <si>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</si>
  <si>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</si>
  <si>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</si>
  <si>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</si>
  <si>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</si>
  <si>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</si>
  <si>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</si>
  <si>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</si>
  <si>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</si>
  <si>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</si>
  <si>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</si>
  <si>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</si>
  <si>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</si>
  <si>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</si>
  <si>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>Akce</t>
  </si>
  <si>
    <t xml:space="preserve">Digitální planetárium - SR </t>
  </si>
  <si>
    <t xml:space="preserve">OP LZZ Podpora soc.integr.obyv.vylouč.lok.v KHK III - SR </t>
  </si>
  <si>
    <t xml:space="preserve">OP LZZ Podpora činnosti orgánu soc.právní ochrany dětí - SR </t>
  </si>
  <si>
    <t xml:space="preserve">             doprava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</si>
  <si>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</si>
  <si>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</si>
  <si>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</si>
  <si>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</si>
  <si>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</si>
  <si>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   org. 2088</t>
  </si>
  <si>
    <t xml:space="preserve">                 org. 2077</t>
  </si>
  <si>
    <t xml:space="preserve">                 org. 2099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</si>
  <si>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</si>
  <si>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</si>
  <si>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</si>
  <si>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</si>
  <si>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</si>
  <si>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</si>
  <si>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</si>
  <si>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</si>
  <si>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</si>
  <si>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</si>
  <si>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>NA ROK 2018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</si>
  <si>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</si>
  <si>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</si>
  <si>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</si>
  <si>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</si>
  <si>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</si>
  <si>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</si>
  <si>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průmyslová zóna Solnice - Kvasiny</t>
  </si>
  <si>
    <t xml:space="preserve">            kultura </t>
  </si>
  <si>
    <t>ostatní běžné výdaje - poplatky</t>
  </si>
  <si>
    <t>volnočasové aktivity</t>
  </si>
  <si>
    <t xml:space="preserve">            životní prostředí a zemědělství</t>
  </si>
  <si>
    <t>krajský úřad</t>
  </si>
  <si>
    <t>kap. 19 - krajský úřad</t>
  </si>
  <si>
    <t>Krajský akční plán vzdělávání v KHK - SR 2017</t>
  </si>
  <si>
    <t>vzdělávací programy paměťových institucí do škol - SR</t>
  </si>
  <si>
    <t>protiradonová opatření - SR</t>
  </si>
  <si>
    <t>volba prezidenta ČR - SR</t>
  </si>
  <si>
    <t>volby do Senátu PČR - SR</t>
  </si>
  <si>
    <t xml:space="preserve">              rezerva neinvestiční</t>
  </si>
  <si>
    <t>OP Z Rozvoj dostup.a kvality soc.sl.v KHK V - SR 2017</t>
  </si>
  <si>
    <t>OP Z Služby soc.prevence v KHK IV - SR  2017</t>
  </si>
  <si>
    <t>OP Z Rozvoj reg.partnerství v soc.oblasti v KHK - SR 2017</t>
  </si>
  <si>
    <t>OP Z - Zaměstnaný absolvent - SR 2017</t>
  </si>
  <si>
    <t>OP VVV - Smart Akcelerátor - SR 2017</t>
  </si>
  <si>
    <t>OP Z - Predikce trhu práce - Kompas - SR 2017</t>
  </si>
  <si>
    <t>TP Interreg V-A ČR-Polsko - SR 2017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</si>
  <si>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</si>
  <si>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</si>
  <si>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</si>
  <si>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</si>
  <si>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</si>
  <si>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</si>
  <si>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</si>
  <si>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</si>
  <si>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</si>
  <si>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 xml:space="preserve">OP Z Služby soc.prevence v KHK V - SR  </t>
  </si>
  <si>
    <t xml:space="preserve">Snížení emisí z lokál.vytápění domácností v KHK II. - SR </t>
  </si>
  <si>
    <t>IP Přeshraniční spolupráce zdravotn. oborů - SR</t>
  </si>
  <si>
    <t>17051, 95113</t>
  </si>
  <si>
    <t>17988, 95823</t>
  </si>
  <si>
    <t>mimořádné účelové příspěvky PO</t>
  </si>
  <si>
    <t>potravinová pomoc dětem v KHK - obědy do škol - SR 2017</t>
  </si>
  <si>
    <t xml:space="preserve">OP Z - Predikce trhu práce - Kompas - SR </t>
  </si>
  <si>
    <t>OP Z - Rozvoj KHK-chytře, efektivně, s prosperitou - SR</t>
  </si>
  <si>
    <t>podpora služeb s nadreg.a celost.působností - SR</t>
  </si>
  <si>
    <t xml:space="preserve">OP VVV - Smart Akcelerátor - SR </t>
  </si>
  <si>
    <t>podpora vzdělání cizinců ve školách - modul A - SR</t>
  </si>
  <si>
    <t>podpora vzdělání cizinců ve školách - modul B, C - SR</t>
  </si>
  <si>
    <t xml:space="preserve">  z MZdr.</t>
  </si>
  <si>
    <t>zlepšení přeshraniční dostupnosti ČR-PL - SR</t>
  </si>
  <si>
    <t>průmyslová zóna Kvasiny III.</t>
  </si>
  <si>
    <t>řešení mimoř.událostí a kriz.situací ZZS KHK - SR</t>
  </si>
  <si>
    <t xml:space="preserve">OP Z - Zaměstnaný absolvent - SR </t>
  </si>
  <si>
    <t xml:space="preserve">potravinová pomoc dětem v KHK - obědy do škol - SR </t>
  </si>
  <si>
    <t>financování silnic II.a III. třídy v KHK - SFDI - SR</t>
  </si>
  <si>
    <t>OP VVV - APIV - podpora dětí,žáků se sluch.postiž.- SR</t>
  </si>
  <si>
    <t>financování výst. a modern.silnic - PZ Kvasiny - SFDI</t>
  </si>
  <si>
    <t>Sníž. emisí z lokál.vytápění domácností v KHK I- SR 2017</t>
  </si>
  <si>
    <t>Sníž.emisí z lokál.vytápění domácností v KHK II - SR 2017</t>
  </si>
  <si>
    <t>Sníž.emisí z lokál.vytápění domácností v KHK I - SR 2017</t>
  </si>
  <si>
    <t xml:space="preserve">Krajský akční plán vzdělávání v KHK - SR </t>
  </si>
  <si>
    <t>IKAP rozvoje vzdělávání v KHK - SR</t>
  </si>
  <si>
    <t>vybavení šk.porad.zařízení diagnost.nástroji - SR</t>
  </si>
  <si>
    <t>preventivní ochrana před nepřízn.vlivy počasí-SR</t>
  </si>
  <si>
    <t>podpora vých.vzděl.aktivit v muzejnictví - SR</t>
  </si>
  <si>
    <t>průmyslová zóna Vrchlabí - SR</t>
  </si>
  <si>
    <t>OP Z Rozvoj reg.partnerství v soc.oblasti v KHK - SR</t>
  </si>
  <si>
    <t xml:space="preserve">  od obcí a DSO</t>
  </si>
  <si>
    <t>výkon sociální práce</t>
  </si>
  <si>
    <t>SOAL TU - Centrum duševního zdraví RIAPS - SR</t>
  </si>
  <si>
    <t>17968,17969</t>
  </si>
  <si>
    <t xml:space="preserve">potravinová pomoc dětem v KHK II. - obědy do škol-SR </t>
  </si>
  <si>
    <t>CEP, a.s. - návratná finanční výpomoc</t>
  </si>
  <si>
    <t>vybrané aktivity ve prospěch seniorů v KHK - SR</t>
  </si>
  <si>
    <t>volby do 1/3 Senátu PČR a zastupitelstev obcí - SR</t>
  </si>
  <si>
    <t>modernizace VOŠ a SPŠ Rychnov n.K. - II. etapa - SR</t>
  </si>
  <si>
    <t xml:space="preserve">OP Z Rozvoj dostup.a kvality soc.sl.v KHK V - SR </t>
  </si>
  <si>
    <t>majetková účast v a.s. - CEP HK</t>
  </si>
  <si>
    <t>OP VVV - projekty PO - SR</t>
  </si>
  <si>
    <t>podpora org.a ukonč.stř.vzděl.matur.zkouškou - SR</t>
  </si>
  <si>
    <t>OP Z - Do praxe bez bariér</t>
  </si>
  <si>
    <t>integrovaný systém ochrany kulturního dědictví - SR</t>
  </si>
  <si>
    <t>potravin. pomoc dětem v KHK - obědy do škol - SR 2017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</si>
</sst>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0.00_ ;\-0.00\ "/>
    <numFmt numFmtId="176" formatCode="0.000_ ;\-0.000\ "/>
    <numFmt numFmtId="177" formatCode="0.0_ ;\-0.0\ "/>
    <numFmt numFmtId="178" formatCode="0_ ;\-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7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5" fontId="4" fillId="0" borderId="11" xfId="38" applyNumberFormat="1" applyFont="1" applyBorder="1" applyAlignment="1">
      <alignment horizontal="center"/>
    </xf>
    <xf numFmtId="166" fontId="4" fillId="0" borderId="12" xfId="38" applyNumberFormat="1" applyFont="1" applyBorder="1" applyAlignment="1">
      <alignment/>
    </xf>
    <xf numFmtId="3" fontId="4" fillId="0" borderId="13" xfId="0" applyFont="1" applyBorder="1" applyAlignment="1">
      <alignment/>
    </xf>
    <xf numFmtId="3" fontId="5" fillId="0" borderId="13" xfId="0" applyFont="1" applyBorder="1" applyAlignment="1">
      <alignment/>
    </xf>
    <xf numFmtId="3" fontId="0" fillId="0" borderId="13" xfId="0" applyFont="1" applyBorder="1" applyAlignment="1">
      <alignment/>
    </xf>
    <xf numFmtId="3" fontId="0" fillId="0" borderId="13" xfId="0" applyBorder="1" applyAlignment="1">
      <alignment/>
    </xf>
    <xf numFmtId="3" fontId="4" fillId="0" borderId="13" xfId="0" applyFont="1" applyBorder="1" applyAlignment="1">
      <alignment/>
    </xf>
    <xf numFmtId="3" fontId="5" fillId="0" borderId="13" xfId="0" applyFont="1" applyBorder="1" applyAlignment="1">
      <alignment/>
    </xf>
    <xf numFmtId="3" fontId="0" fillId="0" borderId="14" xfId="0" applyBorder="1" applyAlignment="1">
      <alignment/>
    </xf>
    <xf numFmtId="3" fontId="0" fillId="0" borderId="13" xfId="0" applyFont="1" applyBorder="1" applyAlignment="1">
      <alignment/>
    </xf>
    <xf numFmtId="3" fontId="2" fillId="0" borderId="15" xfId="0" applyFont="1" applyBorder="1" applyAlignment="1">
      <alignment vertical="center"/>
    </xf>
    <xf numFmtId="3" fontId="6" fillId="0" borderId="13" xfId="0" applyFont="1" applyBorder="1" applyAlignment="1">
      <alignment/>
    </xf>
    <xf numFmtId="3" fontId="6" fillId="0" borderId="13" xfId="0" applyFont="1" applyBorder="1" applyAlignment="1">
      <alignment/>
    </xf>
    <xf numFmtId="3" fontId="0" fillId="0" borderId="14" xfId="0" applyFont="1" applyBorder="1" applyAlignment="1">
      <alignment/>
    </xf>
    <xf numFmtId="3" fontId="7" fillId="0" borderId="13" xfId="0" applyFont="1" applyBorder="1" applyAlignment="1">
      <alignment/>
    </xf>
    <xf numFmtId="3" fontId="7" fillId="0" borderId="14" xfId="0" applyFont="1" applyBorder="1" applyAlignment="1">
      <alignment/>
    </xf>
    <xf numFmtId="3" fontId="0" fillId="0" borderId="14" xfId="0" applyFont="1" applyBorder="1" applyAlignment="1">
      <alignment/>
    </xf>
    <xf numFmtId="3" fontId="4" fillId="0" borderId="13" xfId="0" applyFont="1" applyFill="1" applyBorder="1" applyAlignment="1">
      <alignment/>
    </xf>
    <xf numFmtId="3" fontId="0" fillId="0" borderId="13" xfId="0" applyFill="1" applyBorder="1" applyAlignment="1">
      <alignment/>
    </xf>
    <xf numFmtId="3" fontId="4" fillId="0" borderId="15" xfId="0" applyFont="1" applyBorder="1" applyAlignment="1">
      <alignment/>
    </xf>
    <xf numFmtId="3" fontId="3" fillId="0" borderId="16" xfId="0" applyFont="1" applyBorder="1" applyAlignment="1">
      <alignment vertical="center"/>
    </xf>
    <xf numFmtId="3" fontId="4" fillId="0" borderId="16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2" fillId="0" borderId="17" xfId="0" applyFont="1" applyBorder="1" applyAlignment="1">
      <alignment vertical="center"/>
    </xf>
    <xf numFmtId="3" fontId="2" fillId="0" borderId="13" xfId="0" applyFont="1" applyBorder="1" applyAlignment="1">
      <alignment vertical="center"/>
    </xf>
    <xf numFmtId="3" fontId="0" fillId="0" borderId="13" xfId="0" applyFont="1" applyBorder="1" applyAlignment="1">
      <alignment vertical="center"/>
    </xf>
    <xf numFmtId="3" fontId="0" fillId="0" borderId="13" xfId="0" applyBorder="1" applyAlignment="1">
      <alignment vertical="center"/>
    </xf>
    <xf numFmtId="3" fontId="7" fillId="0" borderId="13" xfId="0" applyFont="1" applyBorder="1" applyAlignment="1">
      <alignment/>
    </xf>
    <xf numFmtId="3" fontId="4" fillId="0" borderId="13" xfId="0" applyFont="1" applyBorder="1" applyAlignment="1">
      <alignment horizontal="left" vertic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5" fontId="4" fillId="0" borderId="20" xfId="38" applyNumberFormat="1" applyFont="1" applyBorder="1" applyAlignment="1">
      <alignment horizontal="center"/>
    </xf>
    <xf numFmtId="3" fontId="46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5" xfId="0" applyBorder="1" applyAlignment="1">
      <alignment vertical="center"/>
    </xf>
    <xf numFmtId="3" fontId="47" fillId="0" borderId="0" xfId="0" applyFont="1" applyAlignment="1">
      <alignment/>
    </xf>
    <xf numFmtId="3" fontId="7" fillId="0" borderId="21" xfId="0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3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167" fontId="0" fillId="0" borderId="23" xfId="0" applyNumberFormat="1" applyBorder="1" applyAlignment="1">
      <alignment/>
    </xf>
    <xf numFmtId="167" fontId="0" fillId="0" borderId="24" xfId="0" applyNumberFormat="1" applyBorder="1" applyAlignment="1">
      <alignment/>
    </xf>
    <xf numFmtId="3" fontId="4" fillId="0" borderId="25" xfId="0" applyFont="1" applyBorder="1" applyAlignment="1">
      <alignment horizontal="center" vertical="center"/>
    </xf>
    <xf numFmtId="3" fontId="4" fillId="0" borderId="21" xfId="0" applyFont="1" applyBorder="1" applyAlignment="1">
      <alignment horizontal="left" vertical="center"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1" xfId="0" applyBorder="1" applyAlignment="1">
      <alignment/>
    </xf>
    <xf numFmtId="3" fontId="4" fillId="0" borderId="21" xfId="0" applyFont="1" applyBorder="1" applyAlignment="1">
      <alignment/>
    </xf>
    <xf numFmtId="3" fontId="5" fillId="0" borderId="21" xfId="0" applyFont="1" applyBorder="1" applyAlignment="1">
      <alignment/>
    </xf>
    <xf numFmtId="3" fontId="0" fillId="0" borderId="21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7" fillId="0" borderId="21" xfId="0" applyFont="1" applyBorder="1" applyAlignment="1">
      <alignment horizontal="center"/>
    </xf>
    <xf numFmtId="3" fontId="0" fillId="0" borderId="13" xfId="0" applyFont="1" applyBorder="1" applyAlignment="1">
      <alignment/>
    </xf>
    <xf numFmtId="3" fontId="9" fillId="0" borderId="21" xfId="0" applyFont="1" applyBorder="1" applyAlignment="1">
      <alignment/>
    </xf>
    <xf numFmtId="3" fontId="7" fillId="0" borderId="27" xfId="0" applyFont="1" applyBorder="1" applyAlignment="1">
      <alignment horizontal="center"/>
    </xf>
    <xf numFmtId="3" fontId="9" fillId="0" borderId="21" xfId="0" applyFont="1" applyBorder="1" applyAlignment="1">
      <alignment horizontal="center"/>
    </xf>
    <xf numFmtId="3" fontId="9" fillId="0" borderId="21" xfId="0" applyFont="1" applyFill="1" applyBorder="1" applyAlignment="1">
      <alignment horizontal="center"/>
    </xf>
    <xf numFmtId="3" fontId="7" fillId="0" borderId="21" xfId="0" applyFont="1" applyFill="1" applyBorder="1" applyAlignment="1">
      <alignment horizontal="center"/>
    </xf>
    <xf numFmtId="3" fontId="9" fillId="0" borderId="16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9" fillId="0" borderId="13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7" fillId="0" borderId="13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28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8" xfId="38" applyNumberFormat="1" applyFont="1" applyBorder="1" applyAlignment="1">
      <alignment/>
    </xf>
    <xf numFmtId="174" fontId="4" fillId="0" borderId="28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2" fillId="0" borderId="29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6" fillId="0" borderId="28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30" xfId="38" applyNumberFormat="1" applyFont="1" applyBorder="1" applyAlignment="1">
      <alignment/>
    </xf>
    <xf numFmtId="174" fontId="6" fillId="0" borderId="28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3" fillId="0" borderId="31" xfId="38" applyNumberFormat="1" applyFont="1" applyBorder="1" applyAlignment="1">
      <alignment vertical="center"/>
    </xf>
    <xf numFmtId="174" fontId="4" fillId="0" borderId="31" xfId="38" applyNumberFormat="1" applyFont="1" applyBorder="1" applyAlignment="1">
      <alignment vertical="center"/>
    </xf>
    <xf numFmtId="174" fontId="2" fillId="0" borderId="31" xfId="38" applyNumberFormat="1" applyFont="1" applyBorder="1" applyAlignment="1">
      <alignment vertical="center"/>
    </xf>
    <xf numFmtId="174" fontId="3" fillId="0" borderId="11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74" fontId="2" fillId="0" borderId="11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4" fillId="0" borderId="32" xfId="38" applyNumberFormat="1" applyFont="1" applyBorder="1" applyAlignment="1">
      <alignment/>
    </xf>
    <xf numFmtId="174" fontId="2" fillId="0" borderId="33" xfId="38" applyNumberFormat="1" applyFont="1" applyBorder="1" applyAlignment="1">
      <alignment vertical="center"/>
    </xf>
    <xf numFmtId="174" fontId="4" fillId="0" borderId="21" xfId="38" applyNumberFormat="1" applyFont="1" applyBorder="1" applyAlignment="1">
      <alignment/>
    </xf>
    <xf numFmtId="165" fontId="46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26" xfId="0" applyFont="1" applyBorder="1" applyAlignment="1">
      <alignment horizontal="center"/>
    </xf>
    <xf numFmtId="174" fontId="0" fillId="0" borderId="19" xfId="38" applyNumberFormat="1" applyFont="1" applyBorder="1" applyAlignment="1">
      <alignment/>
    </xf>
    <xf numFmtId="3" fontId="0" fillId="0" borderId="15" xfId="0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0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4" fontId="0" fillId="0" borderId="0" xfId="0" applyNumberFormat="1" applyAlignment="1">
      <alignment/>
    </xf>
    <xf numFmtId="174" fontId="3" fillId="0" borderId="34" xfId="38" applyNumberFormat="1" applyFont="1" applyBorder="1" applyAlignment="1">
      <alignment vertical="center"/>
    </xf>
    <xf numFmtId="174" fontId="3" fillId="0" borderId="35" xfId="38" applyNumberFormat="1" applyFont="1" applyBorder="1" applyAlignment="1">
      <alignment vertical="center"/>
    </xf>
    <xf numFmtId="167" fontId="0" fillId="0" borderId="32" xfId="0" applyNumberFormat="1" applyBorder="1" applyAlignment="1">
      <alignment/>
    </xf>
    <xf numFmtId="174" fontId="4" fillId="0" borderId="21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3" fontId="4" fillId="0" borderId="26" xfId="0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74" fontId="0" fillId="0" borderId="10" xfId="38" applyNumberFormat="1" applyFont="1" applyBorder="1" applyAlignment="1">
      <alignment vertical="center"/>
    </xf>
    <xf numFmtId="174" fontId="0" fillId="0" borderId="19" xfId="38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left"/>
    </xf>
    <xf numFmtId="174" fontId="0" fillId="0" borderId="32" xfId="38" applyNumberFormat="1" applyFont="1" applyBorder="1" applyAlignment="1">
      <alignment/>
    </xf>
    <xf numFmtId="174" fontId="4" fillId="0" borderId="32" xfId="38" applyNumberFormat="1" applyFont="1" applyBorder="1" applyAlignment="1">
      <alignment/>
    </xf>
    <xf numFmtId="174" fontId="2" fillId="0" borderId="36" xfId="38" applyNumberFormat="1" applyFont="1" applyBorder="1" applyAlignment="1">
      <alignment vertical="center"/>
    </xf>
    <xf numFmtId="174" fontId="6" fillId="0" borderId="32" xfId="38" applyNumberFormat="1" applyFont="1" applyBorder="1" applyAlignment="1">
      <alignment/>
    </xf>
    <xf numFmtId="174" fontId="6" fillId="0" borderId="32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37" xfId="38" applyNumberFormat="1" applyFont="1" applyBorder="1" applyAlignment="1">
      <alignment vertical="center"/>
    </xf>
    <xf numFmtId="165" fontId="4" fillId="0" borderId="25" xfId="38" applyNumberFormat="1" applyFont="1" applyBorder="1" applyAlignment="1">
      <alignment horizontal="center"/>
    </xf>
    <xf numFmtId="165" fontId="4" fillId="0" borderId="26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74" fontId="2" fillId="0" borderId="26" xfId="38" applyNumberFormat="1" applyFont="1" applyBorder="1" applyAlignment="1">
      <alignment vertical="center"/>
    </xf>
    <xf numFmtId="174" fontId="6" fillId="0" borderId="21" xfId="38" applyNumberFormat="1" applyFont="1" applyBorder="1" applyAlignment="1">
      <alignment/>
    </xf>
    <xf numFmtId="174" fontId="0" fillId="0" borderId="27" xfId="38" applyNumberFormat="1" applyFont="1" applyBorder="1" applyAlignment="1">
      <alignment/>
    </xf>
    <xf numFmtId="174" fontId="6" fillId="0" borderId="21" xfId="38" applyNumberFormat="1" applyFont="1" applyBorder="1" applyAlignment="1">
      <alignment/>
    </xf>
    <xf numFmtId="174" fontId="0" fillId="0" borderId="26" xfId="38" applyNumberFormat="1" applyFont="1" applyBorder="1" applyAlignment="1">
      <alignment/>
    </xf>
    <xf numFmtId="174" fontId="4" fillId="0" borderId="34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174" fontId="3" fillId="0" borderId="25" xfId="38" applyNumberFormat="1" applyFont="1" applyBorder="1" applyAlignment="1">
      <alignment vertical="center"/>
    </xf>
    <xf numFmtId="174" fontId="3" fillId="0" borderId="21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2" fillId="0" borderId="25" xfId="38" applyNumberFormat="1" applyFont="1" applyBorder="1" applyAlignment="1">
      <alignment vertical="center"/>
    </xf>
    <xf numFmtId="174" fontId="2" fillId="0" borderId="21" xfId="38" applyNumberFormat="1" applyFont="1" applyBorder="1" applyAlignment="1">
      <alignment vertical="center"/>
    </xf>
    <xf numFmtId="174" fontId="0" fillId="0" borderId="21" xfId="38" applyNumberFormat="1" applyFont="1" applyBorder="1" applyAlignment="1">
      <alignment vertical="center"/>
    </xf>
    <xf numFmtId="174" fontId="4" fillId="0" borderId="26" xfId="38" applyNumberFormat="1" applyFont="1" applyBorder="1" applyAlignment="1">
      <alignment vertical="center"/>
    </xf>
    <xf numFmtId="174" fontId="4" fillId="0" borderId="35" xfId="38" applyNumberFormat="1" applyFont="1" applyBorder="1" applyAlignment="1">
      <alignment vertical="center"/>
    </xf>
    <xf numFmtId="174" fontId="2" fillId="0" borderId="35" xfId="38" applyNumberFormat="1" applyFont="1" applyBorder="1" applyAlignment="1">
      <alignment vertical="center"/>
    </xf>
    <xf numFmtId="174" fontId="3" fillId="0" borderId="38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39" xfId="38" applyNumberFormat="1" applyFont="1" applyBorder="1" applyAlignment="1">
      <alignment vertical="center"/>
    </xf>
    <xf numFmtId="174" fontId="4" fillId="0" borderId="16" xfId="38" applyNumberFormat="1" applyFont="1" applyBorder="1" applyAlignment="1">
      <alignment/>
    </xf>
    <xf numFmtId="3" fontId="10" fillId="0" borderId="21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165" fontId="4" fillId="0" borderId="37" xfId="38" applyNumberFormat="1" applyFont="1" applyBorder="1" applyAlignment="1">
      <alignment horizontal="center"/>
    </xf>
    <xf numFmtId="165" fontId="4" fillId="0" borderId="36" xfId="38" applyNumberFormat="1" applyFont="1" applyBorder="1" applyAlignment="1">
      <alignment horizontal="center"/>
    </xf>
    <xf numFmtId="174" fontId="3" fillId="0" borderId="16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165" fontId="4" fillId="0" borderId="40" xfId="38" applyNumberFormat="1" applyFont="1" applyBorder="1" applyAlignment="1">
      <alignment horizontal="center"/>
    </xf>
    <xf numFmtId="165" fontId="4" fillId="0" borderId="41" xfId="38" applyNumberFormat="1" applyFont="1" applyBorder="1" applyAlignment="1">
      <alignment horizontal="center"/>
    </xf>
    <xf numFmtId="165" fontId="4" fillId="0" borderId="42" xfId="38" applyNumberFormat="1" applyFont="1" applyBorder="1" applyAlignment="1">
      <alignment horizontal="center"/>
    </xf>
    <xf numFmtId="174" fontId="4" fillId="0" borderId="42" xfId="38" applyNumberFormat="1" applyFont="1" applyBorder="1" applyAlignment="1">
      <alignment/>
    </xf>
    <xf numFmtId="174" fontId="0" fillId="0" borderId="42" xfId="38" applyNumberFormat="1" applyFont="1" applyBorder="1" applyAlignment="1">
      <alignment/>
    </xf>
    <xf numFmtId="174" fontId="4" fillId="0" borderId="42" xfId="38" applyNumberFormat="1" applyFont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6" fillId="0" borderId="42" xfId="38" applyNumberFormat="1" applyFont="1" applyBorder="1" applyAlignment="1">
      <alignment/>
    </xf>
    <xf numFmtId="174" fontId="6" fillId="0" borderId="42" xfId="38" applyNumberFormat="1" applyFont="1" applyBorder="1" applyAlignment="1">
      <alignment/>
    </xf>
    <xf numFmtId="174" fontId="0" fillId="0" borderId="42" xfId="38" applyNumberFormat="1" applyFont="1" applyFill="1" applyBorder="1" applyAlignment="1">
      <alignment/>
    </xf>
    <xf numFmtId="174" fontId="3" fillId="0" borderId="43" xfId="38" applyNumberFormat="1" applyFont="1" applyBorder="1" applyAlignment="1">
      <alignment vertical="center"/>
    </xf>
    <xf numFmtId="174" fontId="2" fillId="0" borderId="40" xfId="38" applyNumberFormat="1" applyFont="1" applyBorder="1" applyAlignment="1">
      <alignment vertical="center"/>
    </xf>
    <xf numFmtId="165" fontId="4" fillId="0" borderId="17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74" fontId="4" fillId="0" borderId="13" xfId="38" applyNumberFormat="1" applyFont="1" applyBorder="1" applyAlignment="1">
      <alignment/>
    </xf>
    <xf numFmtId="166" fontId="4" fillId="0" borderId="13" xfId="38" applyNumberFormat="1" applyFont="1" applyBorder="1" applyAlignment="1">
      <alignment/>
    </xf>
    <xf numFmtId="4" fontId="0" fillId="0" borderId="13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4" fillId="0" borderId="13" xfId="38" applyNumberFormat="1" applyFont="1" applyBorder="1" applyAlignment="1">
      <alignment/>
    </xf>
    <xf numFmtId="4" fontId="2" fillId="0" borderId="15" xfId="38" applyNumberFormat="1" applyFont="1" applyBorder="1" applyAlignment="1">
      <alignment vertical="center"/>
    </xf>
    <xf numFmtId="4" fontId="6" fillId="0" borderId="13" xfId="38" applyNumberFormat="1" applyFont="1" applyBorder="1" applyAlignment="1">
      <alignment/>
    </xf>
    <xf numFmtId="4" fontId="6" fillId="0" borderId="13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2" fillId="0" borderId="17" xfId="38" applyNumberFormat="1" applyFont="1" applyBorder="1" applyAlignment="1">
      <alignment vertical="center"/>
    </xf>
    <xf numFmtId="4" fontId="8" fillId="0" borderId="13" xfId="38" applyNumberFormat="1" applyFont="1" applyBorder="1" applyAlignment="1">
      <alignment vertical="center"/>
    </xf>
    <xf numFmtId="174" fontId="0" fillId="0" borderId="44" xfId="38" applyNumberFormat="1" applyFont="1" applyBorder="1" applyAlignment="1">
      <alignment/>
    </xf>
    <xf numFmtId="174" fontId="0" fillId="0" borderId="41" xfId="38" applyNumberFormat="1" applyFont="1" applyBorder="1" applyAlignment="1">
      <alignment/>
    </xf>
    <xf numFmtId="174" fontId="6" fillId="0" borderId="42" xfId="38" applyNumberFormat="1" applyFont="1" applyFill="1" applyBorder="1" applyAlignment="1">
      <alignment/>
    </xf>
    <xf numFmtId="174" fontId="2" fillId="0" borderId="42" xfId="38" applyNumberFormat="1" applyFont="1" applyBorder="1" applyAlignment="1">
      <alignment vertical="center"/>
    </xf>
    <xf numFmtId="174" fontId="0" fillId="0" borderId="42" xfId="38" applyNumberFormat="1" applyFont="1" applyBorder="1" applyAlignment="1">
      <alignment vertical="center"/>
    </xf>
    <xf numFmtId="174" fontId="0" fillId="0" borderId="41" xfId="38" applyNumberFormat="1" applyFont="1" applyBorder="1" applyAlignment="1">
      <alignment vertical="center"/>
    </xf>
    <xf numFmtId="174" fontId="0" fillId="0" borderId="13" xfId="38" applyNumberFormat="1" applyFont="1" applyBorder="1" applyAlignment="1">
      <alignment/>
    </xf>
    <xf numFmtId="174" fontId="4" fillId="0" borderId="13" xfId="38" applyNumberFormat="1" applyFont="1" applyBorder="1" applyAlignment="1">
      <alignment/>
    </xf>
    <xf numFmtId="174" fontId="2" fillId="0" borderId="15" xfId="38" applyNumberFormat="1" applyFont="1" applyBorder="1" applyAlignment="1">
      <alignment vertical="center"/>
    </xf>
    <xf numFmtId="174" fontId="6" fillId="0" borderId="13" xfId="38" applyNumberFormat="1" applyFont="1" applyBorder="1" applyAlignment="1">
      <alignment/>
    </xf>
    <xf numFmtId="174" fontId="6" fillId="0" borderId="13" xfId="38" applyNumberFormat="1" applyFont="1" applyBorder="1" applyAlignment="1">
      <alignment/>
    </xf>
    <xf numFmtId="174" fontId="0" fillId="0" borderId="14" xfId="38" applyNumberFormat="1" applyFont="1" applyBorder="1" applyAlignment="1">
      <alignment/>
    </xf>
    <xf numFmtId="174" fontId="0" fillId="0" borderId="15" xfId="38" applyNumberFormat="1" applyFont="1" applyBorder="1" applyAlignment="1">
      <alignment/>
    </xf>
    <xf numFmtId="174" fontId="0" fillId="0" borderId="13" xfId="38" applyNumberFormat="1" applyFont="1" applyFill="1" applyBorder="1" applyAlignment="1">
      <alignment/>
    </xf>
    <xf numFmtId="174" fontId="2" fillId="0" borderId="17" xfId="38" applyNumberFormat="1" applyFont="1" applyBorder="1" applyAlignment="1">
      <alignment vertical="center"/>
    </xf>
    <xf numFmtId="174" fontId="8" fillId="0" borderId="13" xfId="38" applyNumberFormat="1" applyFont="1" applyBorder="1" applyAlignment="1">
      <alignment vertical="center"/>
    </xf>
    <xf numFmtId="174" fontId="0" fillId="0" borderId="13" xfId="38" applyNumberFormat="1" applyFont="1" applyBorder="1" applyAlignment="1">
      <alignment vertical="center"/>
    </xf>
    <xf numFmtId="174" fontId="0" fillId="0" borderId="15" xfId="38" applyNumberFormat="1" applyFont="1" applyBorder="1" applyAlignment="1">
      <alignment vertical="center"/>
    </xf>
    <xf numFmtId="4" fontId="4" fillId="0" borderId="21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4" fillId="0" borderId="21" xfId="38" applyNumberFormat="1" applyFont="1" applyBorder="1" applyAlignment="1">
      <alignment/>
    </xf>
    <xf numFmtId="4" fontId="2" fillId="0" borderId="26" xfId="38" applyNumberFormat="1" applyFont="1" applyBorder="1" applyAlignment="1">
      <alignment vertical="center"/>
    </xf>
    <xf numFmtId="4" fontId="6" fillId="0" borderId="21" xfId="38" applyNumberFormat="1" applyFont="1" applyBorder="1" applyAlignment="1">
      <alignment/>
    </xf>
    <xf numFmtId="4" fontId="6" fillId="0" borderId="21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7" fillId="0" borderId="21" xfId="38" applyNumberFormat="1" applyFont="1" applyBorder="1" applyAlignment="1">
      <alignment/>
    </xf>
    <xf numFmtId="4" fontId="0" fillId="0" borderId="21" xfId="38" applyNumberFormat="1" applyFont="1" applyFill="1" applyBorder="1" applyAlignment="1">
      <alignment/>
    </xf>
    <xf numFmtId="4" fontId="3" fillId="0" borderId="34" xfId="38" applyNumberFormat="1" applyFont="1" applyBorder="1" applyAlignment="1">
      <alignment vertical="center"/>
    </xf>
    <xf numFmtId="4" fontId="4" fillId="0" borderId="34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3" fillId="0" borderId="25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4" fontId="2" fillId="0" borderId="25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4" fontId="8" fillId="0" borderId="26" xfId="38" applyNumberFormat="1" applyFont="1" applyBorder="1" applyAlignment="1">
      <alignment vertical="center"/>
    </xf>
    <xf numFmtId="167" fontId="0" fillId="0" borderId="0" xfId="0" applyNumberFormat="1" applyBorder="1" applyAlignment="1">
      <alignment/>
    </xf>
    <xf numFmtId="174" fontId="3" fillId="0" borderId="15" xfId="38" applyNumberFormat="1" applyFont="1" applyBorder="1" applyAlignment="1">
      <alignment vertical="center"/>
    </xf>
    <xf numFmtId="174" fontId="3" fillId="0" borderId="13" xfId="38" applyNumberFormat="1" applyFont="1" applyBorder="1" applyAlignment="1">
      <alignment vertical="center"/>
    </xf>
    <xf numFmtId="4" fontId="0" fillId="0" borderId="45" xfId="38" applyNumberFormat="1" applyFont="1" applyBorder="1" applyAlignment="1">
      <alignment/>
    </xf>
    <xf numFmtId="4" fontId="4" fillId="0" borderId="18" xfId="38" applyNumberFormat="1" applyFont="1" applyBorder="1" applyAlignment="1">
      <alignment/>
    </xf>
    <xf numFmtId="4" fontId="0" fillId="0" borderId="18" xfId="38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4" fillId="0" borderId="18" xfId="38" applyNumberFormat="1" applyFont="1" applyBorder="1" applyAlignment="1">
      <alignment/>
    </xf>
    <xf numFmtId="4" fontId="2" fillId="0" borderId="20" xfId="38" applyNumberFormat="1" applyFont="1" applyBorder="1" applyAlignment="1">
      <alignment vertical="center"/>
    </xf>
    <xf numFmtId="4" fontId="6" fillId="0" borderId="18" xfId="38" applyNumberFormat="1" applyFont="1" applyBorder="1" applyAlignment="1">
      <alignment/>
    </xf>
    <xf numFmtId="4" fontId="6" fillId="0" borderId="18" xfId="38" applyNumberFormat="1" applyFont="1" applyBorder="1" applyAlignment="1">
      <alignment/>
    </xf>
    <xf numFmtId="4" fontId="7" fillId="0" borderId="18" xfId="38" applyNumberFormat="1" applyFont="1" applyBorder="1" applyAlignment="1">
      <alignment/>
    </xf>
    <xf numFmtId="4" fontId="0" fillId="0" borderId="18" xfId="38" applyNumberFormat="1" applyFont="1" applyFill="1" applyBorder="1" applyAlignment="1">
      <alignment/>
    </xf>
    <xf numFmtId="4" fontId="3" fillId="0" borderId="46" xfId="38" applyNumberFormat="1" applyFont="1" applyBorder="1" applyAlignment="1">
      <alignment vertical="center"/>
    </xf>
    <xf numFmtId="4" fontId="4" fillId="0" borderId="46" xfId="38" applyNumberFormat="1" applyFont="1" applyBorder="1" applyAlignment="1">
      <alignment vertical="center"/>
    </xf>
    <xf numFmtId="4" fontId="2" fillId="0" borderId="46" xfId="38" applyNumberFormat="1" applyFont="1" applyBorder="1" applyAlignment="1">
      <alignment vertical="center"/>
    </xf>
    <xf numFmtId="4" fontId="3" fillId="0" borderId="47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8" fillId="0" borderId="18" xfId="38" applyNumberFormat="1" applyFont="1" applyBorder="1" applyAlignment="1">
      <alignment vertical="center"/>
    </xf>
    <xf numFmtId="165" fontId="9" fillId="0" borderId="47" xfId="38" applyNumberFormat="1" applyFont="1" applyBorder="1" applyAlignment="1">
      <alignment horizontal="center"/>
    </xf>
    <xf numFmtId="174" fontId="0" fillId="0" borderId="18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3" fontId="0" fillId="0" borderId="32" xfId="0" applyBorder="1" applyAlignment="1">
      <alignment/>
    </xf>
    <xf numFmtId="4" fontId="0" fillId="0" borderId="13" xfId="0" applyNumberFormat="1" applyBorder="1" applyAlignment="1">
      <alignment/>
    </xf>
    <xf numFmtId="4" fontId="4" fillId="0" borderId="16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/>
    </xf>
    <xf numFmtId="4" fontId="0" fillId="0" borderId="14" xfId="38" applyNumberFormat="1" applyFont="1" applyFill="1" applyBorder="1" applyAlignment="1">
      <alignment/>
    </xf>
    <xf numFmtId="4" fontId="3" fillId="0" borderId="35" xfId="38" applyNumberFormat="1" applyFont="1" applyBorder="1" applyAlignment="1">
      <alignment vertical="center"/>
    </xf>
    <xf numFmtId="4" fontId="4" fillId="0" borderId="35" xfId="38" applyNumberFormat="1" applyFont="1" applyBorder="1" applyAlignment="1">
      <alignment vertical="center"/>
    </xf>
    <xf numFmtId="4" fontId="2" fillId="0" borderId="35" xfId="38" applyNumberFormat="1" applyFont="1" applyBorder="1" applyAlignment="1">
      <alignment vertical="center"/>
    </xf>
    <xf numFmtId="4" fontId="3" fillId="0" borderId="38" xfId="38" applyNumberFormat="1" applyFont="1" applyBorder="1" applyAlignment="1">
      <alignment vertical="center"/>
    </xf>
    <xf numFmtId="4" fontId="3" fillId="0" borderId="0" xfId="38" applyNumberFormat="1" applyFont="1" applyBorder="1" applyAlignment="1">
      <alignment vertical="center"/>
    </xf>
    <xf numFmtId="4" fontId="3" fillId="0" borderId="39" xfId="38" applyNumberFormat="1" applyFont="1" applyBorder="1" applyAlignment="1">
      <alignment vertical="center"/>
    </xf>
    <xf numFmtId="167" fontId="0" fillId="33" borderId="32" xfId="0" applyNumberFormat="1" applyFill="1" applyBorder="1" applyAlignment="1">
      <alignment/>
    </xf>
    <xf numFmtId="167" fontId="4" fillId="0" borderId="32" xfId="38" applyNumberFormat="1" applyFont="1" applyBorder="1" applyAlignment="1">
      <alignment/>
    </xf>
    <xf numFmtId="167" fontId="0" fillId="0" borderId="48" xfId="0" applyNumberFormat="1" applyBorder="1" applyAlignment="1">
      <alignment/>
    </xf>
    <xf numFmtId="167" fontId="0" fillId="0" borderId="36" xfId="0" applyNumberFormat="1" applyBorder="1" applyAlignment="1">
      <alignment/>
    </xf>
    <xf numFmtId="165" fontId="4" fillId="0" borderId="38" xfId="38" applyNumberFormat="1" applyFont="1" applyBorder="1" applyAlignment="1">
      <alignment horizontal="center"/>
    </xf>
    <xf numFmtId="165" fontId="4" fillId="0" borderId="39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4" fontId="4" fillId="0" borderId="0" xfId="38" applyNumberFormat="1" applyFont="1" applyBorder="1" applyAlignment="1">
      <alignment/>
    </xf>
    <xf numFmtId="4" fontId="0" fillId="0" borderId="0" xfId="38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0" xfId="38" applyNumberFormat="1" applyFont="1" applyBorder="1" applyAlignment="1">
      <alignment/>
    </xf>
    <xf numFmtId="4" fontId="2" fillId="0" borderId="39" xfId="38" applyNumberFormat="1" applyFont="1" applyBorder="1" applyAlignment="1">
      <alignment vertical="center"/>
    </xf>
    <xf numFmtId="4" fontId="6" fillId="0" borderId="0" xfId="38" applyNumberFormat="1" applyFont="1" applyBorder="1" applyAlignment="1">
      <alignment/>
    </xf>
    <xf numFmtId="4" fontId="6" fillId="0" borderId="0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0" fillId="0" borderId="0" xfId="38" applyNumberFormat="1" applyFont="1" applyFill="1" applyBorder="1" applyAlignment="1">
      <alignment/>
    </xf>
    <xf numFmtId="4" fontId="0" fillId="0" borderId="49" xfId="38" applyNumberFormat="1" applyFont="1" applyFill="1" applyBorder="1" applyAlignment="1">
      <alignment/>
    </xf>
    <xf numFmtId="4" fontId="2" fillId="0" borderId="38" xfId="38" applyNumberFormat="1" applyFont="1" applyBorder="1" applyAlignment="1">
      <alignment vertical="center"/>
    </xf>
    <xf numFmtId="4" fontId="2" fillId="0" borderId="0" xfId="38" applyNumberFormat="1" applyFont="1" applyBorder="1" applyAlignment="1">
      <alignment vertical="center"/>
    </xf>
    <xf numFmtId="4" fontId="8" fillId="0" borderId="0" xfId="38" applyNumberFormat="1" applyFont="1" applyBorder="1" applyAlignment="1">
      <alignment vertical="center"/>
    </xf>
    <xf numFmtId="4" fontId="8" fillId="0" borderId="39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19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30" xfId="38" applyNumberFormat="1" applyFont="1" applyBorder="1" applyAlignment="1">
      <alignment/>
    </xf>
    <xf numFmtId="4" fontId="0" fillId="0" borderId="27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3" fillId="0" borderId="31" xfId="38" applyNumberFormat="1" applyFont="1" applyBorder="1" applyAlignment="1">
      <alignment vertical="center"/>
    </xf>
    <xf numFmtId="4" fontId="4" fillId="0" borderId="31" xfId="38" applyNumberFormat="1" applyFont="1" applyBorder="1" applyAlignment="1">
      <alignment vertical="center"/>
    </xf>
    <xf numFmtId="4" fontId="2" fillId="0" borderId="31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9" xfId="38" applyNumberFormat="1" applyFont="1" applyBorder="1" applyAlignment="1">
      <alignment vertical="center"/>
    </xf>
    <xf numFmtId="3" fontId="0" fillId="0" borderId="27" xfId="0" applyFont="1" applyBorder="1" applyAlignment="1">
      <alignment/>
    </xf>
    <xf numFmtId="165" fontId="4" fillId="0" borderId="47" xfId="38" applyNumberFormat="1" applyFont="1" applyBorder="1" applyAlignment="1">
      <alignment horizontal="center"/>
    </xf>
    <xf numFmtId="4" fontId="3" fillId="0" borderId="18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3" fontId="0" fillId="0" borderId="0" xfId="0" applyFill="1" applyAlignment="1">
      <alignment/>
    </xf>
    <xf numFmtId="178" fontId="7" fillId="0" borderId="21" xfId="34" applyNumberFormat="1" applyFont="1" applyBorder="1" applyAlignment="1">
      <alignment horizontal="center"/>
    </xf>
    <xf numFmtId="4" fontId="0" fillId="0" borderId="26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39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3" fontId="7" fillId="0" borderId="15" xfId="0" applyFont="1" applyBorder="1" applyAlignment="1">
      <alignment/>
    </xf>
    <xf numFmtId="3" fontId="0" fillId="0" borderId="15" xfId="0" applyFont="1" applyFill="1" applyBorder="1" applyAlignment="1">
      <alignment/>
    </xf>
    <xf numFmtId="174" fontId="0" fillId="0" borderId="19" xfId="38" applyNumberFormat="1" applyFont="1" applyFill="1" applyBorder="1" applyAlignment="1">
      <alignment/>
    </xf>
    <xf numFmtId="174" fontId="0" fillId="0" borderId="41" xfId="38" applyNumberFormat="1" applyFont="1" applyFill="1" applyBorder="1" applyAlignment="1">
      <alignment/>
    </xf>
    <xf numFmtId="4" fontId="0" fillId="0" borderId="26" xfId="38" applyNumberFormat="1" applyFont="1" applyFill="1" applyBorder="1" applyAlignment="1">
      <alignment/>
    </xf>
    <xf numFmtId="3" fontId="0" fillId="0" borderId="15" xfId="0" applyBorder="1" applyAlignment="1">
      <alignment/>
    </xf>
    <xf numFmtId="174" fontId="0" fillId="0" borderId="26" xfId="38" applyNumberFormat="1" applyFont="1" applyBorder="1" applyAlignment="1">
      <alignment/>
    </xf>
    <xf numFmtId="3" fontId="0" fillId="0" borderId="15" xfId="0" applyFon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17" xfId="0" applyFont="1" applyBorder="1" applyAlignment="1">
      <alignment horizontal="center" vertical="center"/>
    </xf>
    <xf numFmtId="3" fontId="0" fillId="0" borderId="1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8"/>
  <sheetViews>
    <sheetView zoomScaleSheetLayoutView="69" zoomScalePageLayoutView="0" workbookViewId="0" topLeftCell="A1">
      <pane xSplit="1" ySplit="9" topLeftCell="C4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89" sqref="M489"/>
    </sheetView>
  </sheetViews>
  <sheetFormatPr defaultColWidth="9.00390625" defaultRowHeight="12.75"/>
  <cols>
    <col min="1" max="1" width="47.125" style="0" customWidth="1"/>
    <col min="2" max="2" width="10.00390625" style="0" hidden="1" customWidth="1"/>
    <col min="3" max="3" width="15.625" style="0" customWidth="1"/>
    <col min="4" max="4" width="15.125" style="0" hidden="1" customWidth="1"/>
    <col min="5" max="5" width="12.25390625" style="0" hidden="1" customWidth="1"/>
    <col min="6" max="6" width="16.25390625" style="0" hidden="1" customWidth="1"/>
    <col min="7" max="7" width="12.625" style="0" hidden="1" customWidth="1"/>
    <col min="8" max="8" width="11.75390625" style="0" hidden="1" customWidth="1"/>
    <col min="9" max="9" width="15.625" style="0" hidden="1" customWidth="1"/>
    <col min="10" max="10" width="12.875" style="0" hidden="1" customWidth="1"/>
    <col min="11" max="11" width="13.75390625" style="0" hidden="1" customWidth="1"/>
    <col min="12" max="12" width="15.75390625" style="0" customWidth="1"/>
    <col min="13" max="13" width="13.25390625" style="0" customWidth="1"/>
    <col min="14" max="14" width="13.375" style="0" hidden="1" customWidth="1"/>
    <col min="15" max="15" width="15.75390625" style="0" customWidth="1"/>
    <col min="16" max="16" width="13.25390625" style="0" hidden="1" customWidth="1"/>
    <col min="17" max="17" width="15.125" style="0" hidden="1" customWidth="1"/>
    <col min="19" max="19" width="13.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146</v>
      </c>
      <c r="Q1" s="2" t="s">
        <v>146</v>
      </c>
    </row>
    <row r="2" spans="3:6" ht="9.75" customHeight="1">
      <c r="C2" s="1"/>
      <c r="D2" s="1"/>
      <c r="E2" s="1"/>
      <c r="F2" s="2"/>
    </row>
    <row r="3" spans="1:17" ht="15.75">
      <c r="A3" s="330" t="s">
        <v>280</v>
      </c>
      <c r="B3" s="33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5.75">
      <c r="A4" s="332" t="s">
        <v>281</v>
      </c>
      <c r="B4" s="332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5">
      <c r="A5" s="333" t="s">
        <v>0</v>
      </c>
      <c r="B5" s="333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12.75">
      <c r="A6" s="334" t="s">
        <v>1</v>
      </c>
      <c r="B6" s="33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3" ht="18" customHeight="1" thickBot="1">
      <c r="A7" s="3"/>
      <c r="B7" s="3"/>
      <c r="C7" s="4"/>
      <c r="D7" s="101"/>
      <c r="E7" s="4"/>
      <c r="F7" s="4"/>
      <c r="G7" s="38"/>
      <c r="J7" s="41"/>
      <c r="M7" s="38"/>
    </row>
    <row r="8" spans="1:17" ht="12.75">
      <c r="A8" s="335" t="s">
        <v>2</v>
      </c>
      <c r="B8" s="49" t="s">
        <v>258</v>
      </c>
      <c r="C8" s="127" t="s">
        <v>3</v>
      </c>
      <c r="D8" s="6" t="s">
        <v>4</v>
      </c>
      <c r="E8" s="164" t="s">
        <v>5</v>
      </c>
      <c r="F8" s="176" t="s">
        <v>6</v>
      </c>
      <c r="G8" s="127" t="s">
        <v>7</v>
      </c>
      <c r="H8" s="252" t="s">
        <v>5</v>
      </c>
      <c r="I8" s="176" t="s">
        <v>6</v>
      </c>
      <c r="J8" s="176" t="s">
        <v>8</v>
      </c>
      <c r="K8" s="272" t="s">
        <v>5</v>
      </c>
      <c r="L8" s="176" t="s">
        <v>6</v>
      </c>
      <c r="M8" s="127" t="s">
        <v>9</v>
      </c>
      <c r="N8" s="6" t="s">
        <v>5</v>
      </c>
      <c r="O8" s="312" t="s">
        <v>6</v>
      </c>
      <c r="P8" s="152" t="s">
        <v>172</v>
      </c>
      <c r="Q8" s="43" t="s">
        <v>6</v>
      </c>
    </row>
    <row r="9" spans="1:17" ht="13.5" thickBot="1">
      <c r="A9" s="336"/>
      <c r="B9" s="115" t="s">
        <v>195</v>
      </c>
      <c r="C9" s="128" t="s">
        <v>10</v>
      </c>
      <c r="D9" s="36" t="s">
        <v>11</v>
      </c>
      <c r="E9" s="165" t="s">
        <v>12</v>
      </c>
      <c r="F9" s="177" t="s">
        <v>13</v>
      </c>
      <c r="G9" s="128" t="s">
        <v>11</v>
      </c>
      <c r="H9" s="37" t="s">
        <v>12</v>
      </c>
      <c r="I9" s="177" t="s">
        <v>14</v>
      </c>
      <c r="J9" s="177" t="s">
        <v>11</v>
      </c>
      <c r="K9" s="273" t="s">
        <v>12</v>
      </c>
      <c r="L9" s="177" t="s">
        <v>15</v>
      </c>
      <c r="M9" s="128" t="s">
        <v>11</v>
      </c>
      <c r="N9" s="36" t="s">
        <v>12</v>
      </c>
      <c r="O9" s="37" t="s">
        <v>16</v>
      </c>
      <c r="P9" s="153" t="s">
        <v>11</v>
      </c>
      <c r="Q9" s="44" t="s">
        <v>173</v>
      </c>
    </row>
    <row r="10" spans="1:17" ht="15.75" customHeight="1">
      <c r="A10" s="34" t="s">
        <v>17</v>
      </c>
      <c r="B10" s="50"/>
      <c r="C10" s="129"/>
      <c r="D10" s="5"/>
      <c r="E10" s="166"/>
      <c r="F10" s="178"/>
      <c r="G10" s="129"/>
      <c r="H10" s="35"/>
      <c r="I10" s="178"/>
      <c r="J10" s="178"/>
      <c r="K10" s="274"/>
      <c r="L10" s="178"/>
      <c r="M10" s="129"/>
      <c r="N10" s="5"/>
      <c r="O10" s="35"/>
      <c r="P10" s="255"/>
      <c r="Q10" s="45"/>
    </row>
    <row r="11" spans="1:17" ht="12.75">
      <c r="A11" s="8" t="s">
        <v>247</v>
      </c>
      <c r="B11" s="51"/>
      <c r="C11" s="113">
        <f>C13+C14+C15</f>
        <v>4012390</v>
      </c>
      <c r="D11" s="74">
        <f>D13+D14+D15</f>
        <v>19085.93</v>
      </c>
      <c r="E11" s="167">
        <f>E13+E14+E15</f>
        <v>0</v>
      </c>
      <c r="F11" s="179">
        <f aca="true" t="shared" si="0" ref="F11:Q11">F13+F14+F15</f>
        <v>4031475.93</v>
      </c>
      <c r="G11" s="210">
        <f t="shared" si="0"/>
        <v>148823.4</v>
      </c>
      <c r="H11" s="234">
        <f t="shared" si="0"/>
        <v>1020</v>
      </c>
      <c r="I11" s="182">
        <f t="shared" si="0"/>
        <v>4181319.33</v>
      </c>
      <c r="J11" s="182">
        <f t="shared" si="0"/>
        <v>59945.02</v>
      </c>
      <c r="K11" s="275">
        <f t="shared" si="0"/>
        <v>11856.48</v>
      </c>
      <c r="L11" s="182">
        <f t="shared" si="0"/>
        <v>4253120.83</v>
      </c>
      <c r="M11" s="210">
        <f t="shared" si="0"/>
        <v>8250</v>
      </c>
      <c r="N11" s="291">
        <f t="shared" si="0"/>
        <v>0</v>
      </c>
      <c r="O11" s="234">
        <f t="shared" si="0"/>
        <v>4261370.83</v>
      </c>
      <c r="P11" s="114">
        <f t="shared" si="0"/>
        <v>0</v>
      </c>
      <c r="Q11" s="114">
        <f t="shared" si="0"/>
        <v>19085.93</v>
      </c>
    </row>
    <row r="12" spans="1:17" ht="12.75">
      <c r="A12" s="9" t="s">
        <v>18</v>
      </c>
      <c r="B12" s="52"/>
      <c r="C12" s="113"/>
      <c r="D12" s="74"/>
      <c r="E12" s="167"/>
      <c r="F12" s="179"/>
      <c r="G12" s="210"/>
      <c r="H12" s="234"/>
      <c r="I12" s="180"/>
      <c r="J12" s="182"/>
      <c r="K12" s="275"/>
      <c r="L12" s="182"/>
      <c r="M12" s="210"/>
      <c r="N12" s="291"/>
      <c r="O12" s="234"/>
      <c r="P12" s="112"/>
      <c r="Q12" s="46"/>
    </row>
    <row r="13" spans="1:17" ht="12.75">
      <c r="A13" s="60" t="s">
        <v>254</v>
      </c>
      <c r="B13" s="52"/>
      <c r="C13" s="106">
        <v>4010000</v>
      </c>
      <c r="D13" s="75"/>
      <c r="E13" s="167"/>
      <c r="F13" s="198">
        <f>C13+D13+E13</f>
        <v>4010000</v>
      </c>
      <c r="G13" s="211">
        <f>56000+2700+10000+3000+2000+2287.4+620+5000+40000+27216</f>
        <v>148823.4</v>
      </c>
      <c r="H13" s="235">
        <f>1020</f>
        <v>1020</v>
      </c>
      <c r="I13" s="181">
        <f>F13+G13+H13</f>
        <v>4159843.4</v>
      </c>
      <c r="J13" s="181">
        <f>31697.54+200+1941.45+16000+7606.03+2500</f>
        <v>59945.02</v>
      </c>
      <c r="K13" s="276">
        <f>1200+2000+6656.48+2000</f>
        <v>11856.48</v>
      </c>
      <c r="L13" s="181">
        <f>I13+J13+K13</f>
        <v>4231644.9</v>
      </c>
      <c r="M13" s="211">
        <f>7500+750</f>
        <v>8250</v>
      </c>
      <c r="N13" s="291"/>
      <c r="O13" s="235">
        <f>L13+M13+N13</f>
        <v>4239894.9</v>
      </c>
      <c r="P13" s="112"/>
      <c r="Q13" s="46"/>
    </row>
    <row r="14" spans="1:17" ht="12.75">
      <c r="A14" s="10" t="s">
        <v>19</v>
      </c>
      <c r="B14" s="53"/>
      <c r="C14" s="106"/>
      <c r="D14" s="86">
        <f>19085.93</f>
        <v>19085.93</v>
      </c>
      <c r="E14" s="168"/>
      <c r="F14" s="198">
        <f>C14+D14+E14</f>
        <v>19085.93</v>
      </c>
      <c r="G14" s="211"/>
      <c r="H14" s="234"/>
      <c r="I14" s="181">
        <f>F14+G14+H14</f>
        <v>19085.93</v>
      </c>
      <c r="J14" s="181"/>
      <c r="K14" s="275"/>
      <c r="L14" s="181">
        <f>I14+J14+K14</f>
        <v>19085.93</v>
      </c>
      <c r="M14" s="211"/>
      <c r="N14" s="291"/>
      <c r="O14" s="235">
        <f>L14+M14+N14</f>
        <v>19085.93</v>
      </c>
      <c r="P14" s="112"/>
      <c r="Q14" s="46">
        <f aca="true" t="shared" si="1" ref="Q14:Q79">O14+P14</f>
        <v>19085.93</v>
      </c>
    </row>
    <row r="15" spans="1:17" ht="12.75">
      <c r="A15" s="60" t="s">
        <v>255</v>
      </c>
      <c r="B15" s="53"/>
      <c r="C15" s="106">
        <v>2390</v>
      </c>
      <c r="D15" s="86"/>
      <c r="E15" s="168"/>
      <c r="F15" s="198">
        <f>C15+D15+E15</f>
        <v>2390</v>
      </c>
      <c r="G15" s="211"/>
      <c r="H15" s="234"/>
      <c r="I15" s="181">
        <f>F15+G15+H15</f>
        <v>2390</v>
      </c>
      <c r="J15" s="181"/>
      <c r="K15" s="275"/>
      <c r="L15" s="181">
        <f>I15+J15+K15</f>
        <v>2390</v>
      </c>
      <c r="M15" s="211"/>
      <c r="N15" s="291"/>
      <c r="O15" s="235">
        <f>L15+M15+N15</f>
        <v>2390</v>
      </c>
      <c r="P15" s="112"/>
      <c r="Q15" s="46"/>
    </row>
    <row r="16" spans="1:17" ht="12.75">
      <c r="A16" s="8" t="s">
        <v>248</v>
      </c>
      <c r="B16" s="51"/>
      <c r="C16" s="113">
        <f aca="true" t="shared" si="2" ref="C16:Q16">SUM(C18:C24)+C31</f>
        <v>207606.75</v>
      </c>
      <c r="D16" s="74">
        <f t="shared" si="2"/>
        <v>12131.49</v>
      </c>
      <c r="E16" s="167">
        <f t="shared" si="2"/>
        <v>0</v>
      </c>
      <c r="F16" s="179">
        <f t="shared" si="2"/>
        <v>219738.24000000002</v>
      </c>
      <c r="G16" s="210">
        <f t="shared" si="2"/>
        <v>31216.44</v>
      </c>
      <c r="H16" s="234">
        <f t="shared" si="2"/>
        <v>26521.2</v>
      </c>
      <c r="I16" s="182">
        <f t="shared" si="2"/>
        <v>277475.88</v>
      </c>
      <c r="J16" s="182">
        <f t="shared" si="2"/>
        <v>17441.21</v>
      </c>
      <c r="K16" s="275">
        <f t="shared" si="2"/>
        <v>0</v>
      </c>
      <c r="L16" s="182">
        <f t="shared" si="2"/>
        <v>294917.08999999997</v>
      </c>
      <c r="M16" s="210">
        <f t="shared" si="2"/>
        <v>43421.95</v>
      </c>
      <c r="N16" s="291">
        <f t="shared" si="2"/>
        <v>0</v>
      </c>
      <c r="O16" s="234">
        <f t="shared" si="2"/>
        <v>338339.04000000004</v>
      </c>
      <c r="P16" s="98">
        <f t="shared" si="2"/>
        <v>0</v>
      </c>
      <c r="Q16" s="73">
        <f t="shared" si="2"/>
        <v>276147.9</v>
      </c>
    </row>
    <row r="17" spans="1:17" ht="10.5" customHeight="1">
      <c r="A17" s="9" t="s">
        <v>20</v>
      </c>
      <c r="B17" s="52"/>
      <c r="C17" s="113"/>
      <c r="D17" s="74"/>
      <c r="E17" s="167"/>
      <c r="F17" s="179"/>
      <c r="G17" s="210"/>
      <c r="H17" s="234"/>
      <c r="I17" s="182"/>
      <c r="J17" s="182"/>
      <c r="K17" s="275"/>
      <c r="L17" s="182"/>
      <c r="M17" s="210"/>
      <c r="N17" s="291"/>
      <c r="O17" s="234"/>
      <c r="P17" s="112"/>
      <c r="Q17" s="46"/>
    </row>
    <row r="18" spans="1:17" ht="12.75">
      <c r="A18" s="10" t="s">
        <v>21</v>
      </c>
      <c r="B18" s="53"/>
      <c r="C18" s="106">
        <v>200</v>
      </c>
      <c r="D18" s="75"/>
      <c r="E18" s="168"/>
      <c r="F18" s="198">
        <f>C18+D18+E18</f>
        <v>200</v>
      </c>
      <c r="G18" s="211"/>
      <c r="H18" s="235"/>
      <c r="I18" s="181">
        <f aca="true" t="shared" si="3" ref="I18:I23">F18+G18+H18</f>
        <v>200</v>
      </c>
      <c r="J18" s="181"/>
      <c r="K18" s="276"/>
      <c r="L18" s="181">
        <f aca="true" t="shared" si="4" ref="L18:L23">I18+J18+K18</f>
        <v>200</v>
      </c>
      <c r="M18" s="211"/>
      <c r="N18" s="292"/>
      <c r="O18" s="235">
        <f aca="true" t="shared" si="5" ref="O18:O23">L18+M18+N18</f>
        <v>200</v>
      </c>
      <c r="P18" s="112"/>
      <c r="Q18" s="46">
        <f t="shared" si="1"/>
        <v>200</v>
      </c>
    </row>
    <row r="19" spans="1:17" ht="12.75">
      <c r="A19" s="60" t="s">
        <v>308</v>
      </c>
      <c r="B19" s="53"/>
      <c r="C19" s="106"/>
      <c r="D19" s="75">
        <f>0.98</f>
        <v>0.98</v>
      </c>
      <c r="E19" s="168"/>
      <c r="F19" s="198">
        <f aca="true" t="shared" si="6" ref="F19:F31">C19+D19+E19</f>
        <v>0.98</v>
      </c>
      <c r="G19" s="211">
        <f>1075.48+2843.17</f>
        <v>3918.65</v>
      </c>
      <c r="H19" s="235"/>
      <c r="I19" s="181">
        <f t="shared" si="3"/>
        <v>3919.63</v>
      </c>
      <c r="J19" s="181">
        <f>1724.13+776.6+832.28+6016.28+21.78</f>
        <v>9371.070000000002</v>
      </c>
      <c r="K19" s="276"/>
      <c r="L19" s="181">
        <f t="shared" si="4"/>
        <v>13290.7</v>
      </c>
      <c r="M19" s="211">
        <f>752.84+557.3+1029.36+1216.06+6955.27+2365.41+933.9</f>
        <v>13810.14</v>
      </c>
      <c r="N19" s="292"/>
      <c r="O19" s="235">
        <f t="shared" si="5"/>
        <v>27100.84</v>
      </c>
      <c r="P19" s="112"/>
      <c r="Q19" s="46">
        <f t="shared" si="1"/>
        <v>27100.84</v>
      </c>
    </row>
    <row r="20" spans="1:17" ht="12.75">
      <c r="A20" s="60" t="s">
        <v>314</v>
      </c>
      <c r="B20" s="53"/>
      <c r="C20" s="106">
        <v>30000</v>
      </c>
      <c r="D20" s="75"/>
      <c r="E20" s="168"/>
      <c r="F20" s="198">
        <f t="shared" si="6"/>
        <v>30000</v>
      </c>
      <c r="G20" s="211"/>
      <c r="H20" s="235"/>
      <c r="I20" s="181">
        <f t="shared" si="3"/>
        <v>30000</v>
      </c>
      <c r="J20" s="181"/>
      <c r="K20" s="276"/>
      <c r="L20" s="181">
        <f t="shared" si="4"/>
        <v>30000</v>
      </c>
      <c r="M20" s="211"/>
      <c r="N20" s="292"/>
      <c r="O20" s="235">
        <f t="shared" si="5"/>
        <v>30000</v>
      </c>
      <c r="P20" s="112"/>
      <c r="Q20" s="46">
        <f t="shared" si="1"/>
        <v>30000</v>
      </c>
    </row>
    <row r="21" spans="1:17" ht="12.75">
      <c r="A21" s="11" t="s">
        <v>309</v>
      </c>
      <c r="B21" s="54"/>
      <c r="C21" s="106">
        <v>79816.15</v>
      </c>
      <c r="D21" s="75"/>
      <c r="E21" s="168"/>
      <c r="F21" s="198">
        <f t="shared" si="6"/>
        <v>79816.15</v>
      </c>
      <c r="G21" s="211"/>
      <c r="H21" s="235"/>
      <c r="I21" s="181">
        <f t="shared" si="3"/>
        <v>79816.15</v>
      </c>
      <c r="J21" s="181">
        <f>1608.75</f>
        <v>1608.75</v>
      </c>
      <c r="K21" s="276"/>
      <c r="L21" s="181">
        <f t="shared" si="4"/>
        <v>81424.9</v>
      </c>
      <c r="M21" s="211">
        <f>24049.6</f>
        <v>24049.6</v>
      </c>
      <c r="N21" s="292"/>
      <c r="O21" s="235">
        <f t="shared" si="5"/>
        <v>105474.5</v>
      </c>
      <c r="P21" s="112"/>
      <c r="Q21" s="46">
        <f t="shared" si="1"/>
        <v>105474.5</v>
      </c>
    </row>
    <row r="22" spans="1:17" ht="12.75">
      <c r="A22" s="11" t="s">
        <v>310</v>
      </c>
      <c r="B22" s="54"/>
      <c r="C22" s="106"/>
      <c r="D22" s="75"/>
      <c r="E22" s="168"/>
      <c r="F22" s="198">
        <f t="shared" si="6"/>
        <v>0</v>
      </c>
      <c r="G22" s="211"/>
      <c r="H22" s="235">
        <f>25500</f>
        <v>25500</v>
      </c>
      <c r="I22" s="181">
        <f t="shared" si="3"/>
        <v>25500</v>
      </c>
      <c r="J22" s="181"/>
      <c r="K22" s="276"/>
      <c r="L22" s="181">
        <f t="shared" si="4"/>
        <v>25500</v>
      </c>
      <c r="M22" s="211"/>
      <c r="N22" s="292"/>
      <c r="O22" s="235">
        <f t="shared" si="5"/>
        <v>25500</v>
      </c>
      <c r="P22" s="112"/>
      <c r="Q22" s="46"/>
    </row>
    <row r="23" spans="1:17" ht="12.75">
      <c r="A23" s="11" t="s">
        <v>311</v>
      </c>
      <c r="B23" s="54"/>
      <c r="C23" s="106"/>
      <c r="D23" s="75">
        <f>6.53+868.75+15.34+81.93+43.31+388.98+120</f>
        <v>1524.84</v>
      </c>
      <c r="E23" s="168"/>
      <c r="F23" s="198">
        <f t="shared" si="6"/>
        <v>1524.84</v>
      </c>
      <c r="G23" s="211">
        <f>2.45+2+6+4.15+267+62.15+161.43+90+95.88+435+220+10.2+628.14+1638.07+19.26</f>
        <v>3641.7300000000005</v>
      </c>
      <c r="H23" s="235"/>
      <c r="I23" s="181">
        <f t="shared" si="3"/>
        <v>5166.570000000001</v>
      </c>
      <c r="J23" s="181">
        <f>-62.15+208.8+371.03+626.6+32.58+2046.06+99.22</f>
        <v>3322.14</v>
      </c>
      <c r="K23" s="276"/>
      <c r="L23" s="181">
        <f t="shared" si="4"/>
        <v>8488.710000000001</v>
      </c>
      <c r="M23" s="219">
        <f>20.61+68.4+821.18+1674.7+123.03+1408.99</f>
        <v>4116.91</v>
      </c>
      <c r="N23" s="292"/>
      <c r="O23" s="235">
        <f t="shared" si="5"/>
        <v>12605.62</v>
      </c>
      <c r="P23" s="112"/>
      <c r="Q23" s="46">
        <f t="shared" si="1"/>
        <v>12605.62</v>
      </c>
    </row>
    <row r="24" spans="1:17" ht="12.75">
      <c r="A24" s="10" t="s">
        <v>22</v>
      </c>
      <c r="B24" s="53"/>
      <c r="C24" s="106">
        <f>SUM(C25:C30)</f>
        <v>97590.6</v>
      </c>
      <c r="D24" s="75">
        <f aca="true" t="shared" si="7" ref="D24:Q24">SUM(D25:D30)</f>
        <v>1348.51</v>
      </c>
      <c r="E24" s="168">
        <f t="shared" si="7"/>
        <v>0</v>
      </c>
      <c r="F24" s="198">
        <f t="shared" si="7"/>
        <v>98939.11000000002</v>
      </c>
      <c r="G24" s="211">
        <f t="shared" si="7"/>
        <v>-332.11</v>
      </c>
      <c r="H24" s="235">
        <f t="shared" si="7"/>
        <v>0</v>
      </c>
      <c r="I24" s="181">
        <f t="shared" si="7"/>
        <v>98607</v>
      </c>
      <c r="J24" s="181">
        <f t="shared" si="7"/>
        <v>719.25</v>
      </c>
      <c r="K24" s="276">
        <f t="shared" si="7"/>
        <v>0</v>
      </c>
      <c r="L24" s="181">
        <f t="shared" si="7"/>
        <v>99326.25</v>
      </c>
      <c r="M24" s="211">
        <f t="shared" si="7"/>
        <v>1440.6899999999998</v>
      </c>
      <c r="N24" s="292">
        <f t="shared" si="7"/>
        <v>0</v>
      </c>
      <c r="O24" s="235">
        <f t="shared" si="7"/>
        <v>100766.94</v>
      </c>
      <c r="P24" s="120">
        <f t="shared" si="7"/>
        <v>0</v>
      </c>
      <c r="Q24" s="76">
        <f t="shared" si="7"/>
        <v>100766.94</v>
      </c>
    </row>
    <row r="25" spans="1:17" ht="12.75">
      <c r="A25" s="10" t="s">
        <v>23</v>
      </c>
      <c r="B25" s="53"/>
      <c r="C25" s="106">
        <v>38857.2</v>
      </c>
      <c r="D25" s="75">
        <f>1348.51</f>
        <v>1348.51</v>
      </c>
      <c r="E25" s="168"/>
      <c r="F25" s="198">
        <f t="shared" si="6"/>
        <v>40205.71</v>
      </c>
      <c r="G25" s="211">
        <f>35.94</f>
        <v>35.94</v>
      </c>
      <c r="H25" s="235"/>
      <c r="I25" s="181">
        <f aca="true" t="shared" si="8" ref="I25:I31">F25+G25+H25</f>
        <v>40241.65</v>
      </c>
      <c r="J25" s="181">
        <f>601.32+159.13</f>
        <v>760.45</v>
      </c>
      <c r="K25" s="276"/>
      <c r="L25" s="181">
        <f aca="true" t="shared" si="9" ref="L25:L31">I25+J25+K25</f>
        <v>41002.1</v>
      </c>
      <c r="M25" s="211">
        <f>433.79+945.8</f>
        <v>1379.59</v>
      </c>
      <c r="N25" s="292"/>
      <c r="O25" s="235">
        <f aca="true" t="shared" si="10" ref="O25:O31">L25+M25+N25</f>
        <v>42381.689999999995</v>
      </c>
      <c r="P25" s="112"/>
      <c r="Q25" s="46">
        <f t="shared" si="1"/>
        <v>42381.689999999995</v>
      </c>
    </row>
    <row r="26" spans="1:17" ht="12.75">
      <c r="A26" s="11" t="s">
        <v>159</v>
      </c>
      <c r="B26" s="54"/>
      <c r="C26" s="106">
        <v>1004.6</v>
      </c>
      <c r="D26" s="75"/>
      <c r="E26" s="168"/>
      <c r="F26" s="198">
        <f t="shared" si="6"/>
        <v>1004.6</v>
      </c>
      <c r="G26" s="211">
        <f>-894.45</f>
        <v>-894.45</v>
      </c>
      <c r="H26" s="235"/>
      <c r="I26" s="181">
        <f t="shared" si="8"/>
        <v>110.14999999999998</v>
      </c>
      <c r="J26" s="181"/>
      <c r="K26" s="276"/>
      <c r="L26" s="181">
        <f t="shared" si="9"/>
        <v>110.14999999999998</v>
      </c>
      <c r="M26" s="211"/>
      <c r="N26" s="292"/>
      <c r="O26" s="235">
        <f t="shared" si="10"/>
        <v>110.14999999999998</v>
      </c>
      <c r="P26" s="112"/>
      <c r="Q26" s="46">
        <f t="shared" si="1"/>
        <v>110.14999999999998</v>
      </c>
    </row>
    <row r="27" spans="1:17" ht="12.75">
      <c r="A27" s="10" t="s">
        <v>24</v>
      </c>
      <c r="B27" s="53"/>
      <c r="C27" s="106">
        <v>18468</v>
      </c>
      <c r="D27" s="75"/>
      <c r="E27" s="168"/>
      <c r="F27" s="198">
        <f t="shared" si="6"/>
        <v>18468</v>
      </c>
      <c r="G27" s="211"/>
      <c r="H27" s="235"/>
      <c r="I27" s="181">
        <f t="shared" si="8"/>
        <v>18468</v>
      </c>
      <c r="J27" s="181"/>
      <c r="K27" s="276"/>
      <c r="L27" s="181">
        <f t="shared" si="9"/>
        <v>18468</v>
      </c>
      <c r="M27" s="211"/>
      <c r="N27" s="292"/>
      <c r="O27" s="235">
        <f t="shared" si="10"/>
        <v>18468</v>
      </c>
      <c r="P27" s="112"/>
      <c r="Q27" s="46">
        <f t="shared" si="1"/>
        <v>18468</v>
      </c>
    </row>
    <row r="28" spans="1:17" ht="12.75">
      <c r="A28" s="11" t="s">
        <v>160</v>
      </c>
      <c r="B28" s="54"/>
      <c r="C28" s="106">
        <v>9053.1</v>
      </c>
      <c r="D28" s="75"/>
      <c r="E28" s="168"/>
      <c r="F28" s="198">
        <f t="shared" si="6"/>
        <v>9053.1</v>
      </c>
      <c r="G28" s="211">
        <f>526.4</f>
        <v>526.4</v>
      </c>
      <c r="H28" s="235"/>
      <c r="I28" s="181">
        <f t="shared" si="8"/>
        <v>9579.5</v>
      </c>
      <c r="J28" s="181">
        <v>-41.2</v>
      </c>
      <c r="K28" s="276"/>
      <c r="L28" s="181">
        <f t="shared" si="9"/>
        <v>9538.3</v>
      </c>
      <c r="M28" s="211">
        <f>3.5</f>
        <v>3.5</v>
      </c>
      <c r="N28" s="292"/>
      <c r="O28" s="235">
        <f t="shared" si="10"/>
        <v>9541.8</v>
      </c>
      <c r="P28" s="112"/>
      <c r="Q28" s="46">
        <f t="shared" si="1"/>
        <v>9541.8</v>
      </c>
    </row>
    <row r="29" spans="1:17" ht="12.75">
      <c r="A29" s="11" t="s">
        <v>282</v>
      </c>
      <c r="B29" s="54"/>
      <c r="C29" s="106">
        <v>268.8</v>
      </c>
      <c r="D29" s="75"/>
      <c r="E29" s="168"/>
      <c r="F29" s="198">
        <f t="shared" si="6"/>
        <v>268.8</v>
      </c>
      <c r="G29" s="211"/>
      <c r="H29" s="235"/>
      <c r="I29" s="181">
        <f t="shared" si="8"/>
        <v>268.8</v>
      </c>
      <c r="J29" s="181"/>
      <c r="K29" s="276"/>
      <c r="L29" s="181">
        <f t="shared" si="9"/>
        <v>268.8</v>
      </c>
      <c r="M29" s="211">
        <f>57.6</f>
        <v>57.6</v>
      </c>
      <c r="N29" s="292"/>
      <c r="O29" s="235">
        <f t="shared" si="10"/>
        <v>326.40000000000003</v>
      </c>
      <c r="P29" s="112"/>
      <c r="Q29" s="46">
        <f t="shared" si="1"/>
        <v>326.40000000000003</v>
      </c>
    </row>
    <row r="30" spans="1:17" ht="12.75">
      <c r="A30" s="11" t="s">
        <v>161</v>
      </c>
      <c r="B30" s="54"/>
      <c r="C30" s="106">
        <v>29938.9</v>
      </c>
      <c r="D30" s="75"/>
      <c r="E30" s="168"/>
      <c r="F30" s="198">
        <f t="shared" si="6"/>
        <v>29938.9</v>
      </c>
      <c r="G30" s="211"/>
      <c r="H30" s="235"/>
      <c r="I30" s="181">
        <f t="shared" si="8"/>
        <v>29938.9</v>
      </c>
      <c r="J30" s="181"/>
      <c r="K30" s="276"/>
      <c r="L30" s="181">
        <f t="shared" si="9"/>
        <v>29938.9</v>
      </c>
      <c r="M30" s="211"/>
      <c r="N30" s="292"/>
      <c r="O30" s="235">
        <f t="shared" si="10"/>
        <v>29938.9</v>
      </c>
      <c r="P30" s="112"/>
      <c r="Q30" s="46">
        <f>O30+P30</f>
        <v>29938.9</v>
      </c>
    </row>
    <row r="31" spans="1:15" ht="12.75">
      <c r="A31" s="11" t="s">
        <v>214</v>
      </c>
      <c r="B31" s="54"/>
      <c r="C31" s="106"/>
      <c r="D31" s="102">
        <f>1009+39.86+1108+67.75+837.8+5686.34+508.41</f>
        <v>9257.16</v>
      </c>
      <c r="E31" s="168"/>
      <c r="F31" s="198">
        <f t="shared" si="6"/>
        <v>9257.16</v>
      </c>
      <c r="G31" s="212">
        <f>805.17+307+17525+5000+351</f>
        <v>23988.17</v>
      </c>
      <c r="H31" s="236">
        <f>614.71+406.49</f>
        <v>1021.2</v>
      </c>
      <c r="I31" s="181">
        <f t="shared" si="8"/>
        <v>34266.53</v>
      </c>
      <c r="J31" s="256">
        <v>2420</v>
      </c>
      <c r="K31" s="277"/>
      <c r="L31" s="181">
        <f t="shared" si="9"/>
        <v>36686.53</v>
      </c>
      <c r="M31" s="212">
        <f>4.61</f>
        <v>4.61</v>
      </c>
      <c r="N31" s="293"/>
      <c r="O31" s="235">
        <f t="shared" si="10"/>
        <v>36691.14</v>
      </c>
    </row>
    <row r="32" spans="1:17" ht="12.75">
      <c r="A32" s="12" t="s">
        <v>249</v>
      </c>
      <c r="B32" s="55"/>
      <c r="C32" s="100">
        <f>SUM(C34:C38)</f>
        <v>16790</v>
      </c>
      <c r="D32" s="78">
        <f aca="true" t="shared" si="11" ref="D32:Q32">SUM(D34:D38)</f>
        <v>0</v>
      </c>
      <c r="E32" s="169">
        <f t="shared" si="11"/>
        <v>0</v>
      </c>
      <c r="F32" s="199">
        <f t="shared" si="11"/>
        <v>16790</v>
      </c>
      <c r="G32" s="213">
        <f t="shared" si="11"/>
        <v>0</v>
      </c>
      <c r="H32" s="237">
        <f t="shared" si="11"/>
        <v>0</v>
      </c>
      <c r="I32" s="183">
        <f t="shared" si="11"/>
        <v>16790</v>
      </c>
      <c r="J32" s="183">
        <f t="shared" si="11"/>
        <v>0</v>
      </c>
      <c r="K32" s="278">
        <f t="shared" si="11"/>
        <v>0</v>
      </c>
      <c r="L32" s="183">
        <f t="shared" si="11"/>
        <v>16790</v>
      </c>
      <c r="M32" s="213">
        <f t="shared" si="11"/>
        <v>0</v>
      </c>
      <c r="N32" s="294">
        <f t="shared" si="11"/>
        <v>0</v>
      </c>
      <c r="O32" s="237">
        <f t="shared" si="11"/>
        <v>16790</v>
      </c>
      <c r="P32" s="121">
        <f t="shared" si="11"/>
        <v>0</v>
      </c>
      <c r="Q32" s="77">
        <f t="shared" si="11"/>
        <v>15000</v>
      </c>
    </row>
    <row r="33" spans="1:17" ht="11.25" customHeight="1">
      <c r="A33" s="9" t="s">
        <v>20</v>
      </c>
      <c r="B33" s="52"/>
      <c r="C33" s="106"/>
      <c r="D33" s="75"/>
      <c r="E33" s="168"/>
      <c r="F33" s="198"/>
      <c r="G33" s="211"/>
      <c r="H33" s="235"/>
      <c r="I33" s="181"/>
      <c r="J33" s="181"/>
      <c r="K33" s="276"/>
      <c r="L33" s="181"/>
      <c r="M33" s="211"/>
      <c r="N33" s="292"/>
      <c r="O33" s="235"/>
      <c r="P33" s="112"/>
      <c r="Q33" s="46"/>
    </row>
    <row r="34" spans="1:17" ht="12.75" hidden="1">
      <c r="A34" s="60" t="s">
        <v>121</v>
      </c>
      <c r="B34" s="53"/>
      <c r="C34" s="106"/>
      <c r="D34" s="75"/>
      <c r="E34" s="168"/>
      <c r="F34" s="198">
        <f>C34+D34+E34</f>
        <v>0</v>
      </c>
      <c r="G34" s="211"/>
      <c r="H34" s="235"/>
      <c r="I34" s="181">
        <f>F34+G34+H34</f>
        <v>0</v>
      </c>
      <c r="J34" s="181"/>
      <c r="K34" s="276"/>
      <c r="L34" s="181">
        <f>I34+J34+K34</f>
        <v>0</v>
      </c>
      <c r="M34" s="211"/>
      <c r="N34" s="292"/>
      <c r="O34" s="235">
        <f>L34+M34+N34</f>
        <v>0</v>
      </c>
      <c r="P34" s="112"/>
      <c r="Q34" s="46">
        <f t="shared" si="1"/>
        <v>0</v>
      </c>
    </row>
    <row r="35" spans="1:17" ht="12.75" hidden="1">
      <c r="A35" s="11" t="s">
        <v>116</v>
      </c>
      <c r="B35" s="54"/>
      <c r="C35" s="106"/>
      <c r="D35" s="75"/>
      <c r="E35" s="168"/>
      <c r="F35" s="198">
        <f>C35+D35+E35</f>
        <v>0</v>
      </c>
      <c r="G35" s="211"/>
      <c r="H35" s="235"/>
      <c r="I35" s="181">
        <f>F35+G35+H35</f>
        <v>0</v>
      </c>
      <c r="J35" s="189"/>
      <c r="K35" s="276"/>
      <c r="L35" s="181">
        <f>I35+J35+K35</f>
        <v>0</v>
      </c>
      <c r="M35" s="219"/>
      <c r="N35" s="292"/>
      <c r="O35" s="235">
        <f>L35+M35+N35</f>
        <v>0</v>
      </c>
      <c r="P35" s="112"/>
      <c r="Q35" s="46">
        <f t="shared" si="1"/>
        <v>0</v>
      </c>
    </row>
    <row r="36" spans="1:17" ht="12.75">
      <c r="A36" s="11" t="s">
        <v>119</v>
      </c>
      <c r="B36" s="54"/>
      <c r="C36" s="106">
        <v>1790</v>
      </c>
      <c r="D36" s="75"/>
      <c r="E36" s="168"/>
      <c r="F36" s="198">
        <f>C36+D36+E36</f>
        <v>1790</v>
      </c>
      <c r="G36" s="211"/>
      <c r="H36" s="235"/>
      <c r="I36" s="181">
        <f>F36+G36+H36</f>
        <v>1790</v>
      </c>
      <c r="J36" s="189"/>
      <c r="K36" s="276"/>
      <c r="L36" s="181">
        <f>I36+J36+K36</f>
        <v>1790</v>
      </c>
      <c r="M36" s="219"/>
      <c r="N36" s="292"/>
      <c r="O36" s="235">
        <f>L36+M36+N36</f>
        <v>1790</v>
      </c>
      <c r="P36" s="112"/>
      <c r="Q36" s="46"/>
    </row>
    <row r="37" spans="1:17" ht="12.75" hidden="1">
      <c r="A37" s="11" t="s">
        <v>126</v>
      </c>
      <c r="B37" s="54"/>
      <c r="C37" s="106"/>
      <c r="D37" s="75"/>
      <c r="E37" s="168"/>
      <c r="F37" s="198">
        <f>C37+D37+E37</f>
        <v>0</v>
      </c>
      <c r="G37" s="211"/>
      <c r="H37" s="235"/>
      <c r="I37" s="181">
        <f>F37+G37+H37</f>
        <v>0</v>
      </c>
      <c r="J37" s="189"/>
      <c r="K37" s="276"/>
      <c r="L37" s="181">
        <f>I37+J37+K37</f>
        <v>0</v>
      </c>
      <c r="M37" s="219"/>
      <c r="N37" s="292"/>
      <c r="O37" s="235">
        <f>L37+M37+N37</f>
        <v>0</v>
      </c>
      <c r="P37" s="112"/>
      <c r="Q37" s="46">
        <f t="shared" si="1"/>
        <v>0</v>
      </c>
    </row>
    <row r="38" spans="1:17" ht="12.75">
      <c r="A38" s="60" t="s">
        <v>283</v>
      </c>
      <c r="B38" s="53"/>
      <c r="C38" s="106">
        <v>15000</v>
      </c>
      <c r="D38" s="75"/>
      <c r="E38" s="168"/>
      <c r="F38" s="198">
        <f>C38+D38+E38</f>
        <v>15000</v>
      </c>
      <c r="G38" s="211"/>
      <c r="H38" s="235"/>
      <c r="I38" s="181">
        <f>F38+G38+H38</f>
        <v>15000</v>
      </c>
      <c r="J38" s="181"/>
      <c r="K38" s="276"/>
      <c r="L38" s="181">
        <f>I38+J38+K38</f>
        <v>15000</v>
      </c>
      <c r="M38" s="211"/>
      <c r="N38" s="292"/>
      <c r="O38" s="235">
        <f>L38+M38+N38</f>
        <v>15000</v>
      </c>
      <c r="P38" s="112"/>
      <c r="Q38" s="46">
        <f t="shared" si="1"/>
        <v>15000</v>
      </c>
    </row>
    <row r="39" spans="1:17" ht="12.75">
      <c r="A39" s="12" t="s">
        <v>250</v>
      </c>
      <c r="B39" s="53"/>
      <c r="C39" s="106"/>
      <c r="D39" s="75"/>
      <c r="E39" s="168"/>
      <c r="F39" s="198"/>
      <c r="G39" s="211"/>
      <c r="H39" s="235"/>
      <c r="I39" s="181"/>
      <c r="J39" s="181"/>
      <c r="K39" s="276"/>
      <c r="L39" s="181"/>
      <c r="M39" s="211"/>
      <c r="N39" s="292"/>
      <c r="O39" s="235"/>
      <c r="P39" s="112"/>
      <c r="Q39" s="46"/>
    </row>
    <row r="40" spans="1:17" ht="12.75">
      <c r="A40" s="8" t="s">
        <v>26</v>
      </c>
      <c r="B40" s="51"/>
      <c r="C40" s="113">
        <f>SUM(C42:C61)</f>
        <v>83932.3</v>
      </c>
      <c r="D40" s="74">
        <f aca="true" t="shared" si="12" ref="D40:Q40">SUM(D42:D61)</f>
        <v>7069317.0600000005</v>
      </c>
      <c r="E40" s="167">
        <f t="shared" si="12"/>
        <v>0</v>
      </c>
      <c r="F40" s="179">
        <f t="shared" si="12"/>
        <v>7153249.360000001</v>
      </c>
      <c r="G40" s="210">
        <f t="shared" si="12"/>
        <v>192456.34</v>
      </c>
      <c r="H40" s="234">
        <f t="shared" si="12"/>
        <v>0</v>
      </c>
      <c r="I40" s="182">
        <f t="shared" si="12"/>
        <v>7345705.7</v>
      </c>
      <c r="J40" s="182">
        <f t="shared" si="12"/>
        <v>221083.44000000003</v>
      </c>
      <c r="K40" s="275">
        <f t="shared" si="12"/>
        <v>0</v>
      </c>
      <c r="L40" s="182">
        <f t="shared" si="12"/>
        <v>7566789.140000001</v>
      </c>
      <c r="M40" s="210">
        <f t="shared" si="12"/>
        <v>154302.62</v>
      </c>
      <c r="N40" s="291">
        <f t="shared" si="12"/>
        <v>0</v>
      </c>
      <c r="O40" s="234">
        <f t="shared" si="12"/>
        <v>7721091.760000001</v>
      </c>
      <c r="P40" s="98">
        <f t="shared" si="12"/>
        <v>0</v>
      </c>
      <c r="Q40" s="73">
        <f t="shared" si="12"/>
        <v>7721091.760000001</v>
      </c>
    </row>
    <row r="41" spans="1:17" ht="10.5" customHeight="1">
      <c r="A41" s="13" t="s">
        <v>27</v>
      </c>
      <c r="B41" s="56"/>
      <c r="C41" s="106"/>
      <c r="D41" s="75"/>
      <c r="E41" s="168"/>
      <c r="F41" s="198"/>
      <c r="G41" s="211"/>
      <c r="H41" s="235"/>
      <c r="I41" s="181"/>
      <c r="J41" s="181"/>
      <c r="K41" s="276"/>
      <c r="L41" s="181"/>
      <c r="M41" s="211"/>
      <c r="N41" s="292"/>
      <c r="O41" s="235"/>
      <c r="P41" s="112"/>
      <c r="Q41" s="46"/>
    </row>
    <row r="42" spans="1:17" ht="12.75">
      <c r="A42" s="11" t="s">
        <v>28</v>
      </c>
      <c r="B42" s="54"/>
      <c r="C42" s="106">
        <v>83682.3</v>
      </c>
      <c r="D42" s="75"/>
      <c r="E42" s="168"/>
      <c r="F42" s="198">
        <f aca="true" t="shared" si="13" ref="F42:F61">C42+D42+E42</f>
        <v>83682.3</v>
      </c>
      <c r="G42" s="211"/>
      <c r="H42" s="235"/>
      <c r="I42" s="181">
        <f>F42+G42+H42</f>
        <v>83682.3</v>
      </c>
      <c r="J42" s="181"/>
      <c r="K42" s="276"/>
      <c r="L42" s="181">
        <f>I42+J42+K42</f>
        <v>83682.3</v>
      </c>
      <c r="M42" s="211"/>
      <c r="N42" s="292"/>
      <c r="O42" s="235">
        <f>L42+M42+N42</f>
        <v>83682.3</v>
      </c>
      <c r="P42" s="112"/>
      <c r="Q42" s="46">
        <f t="shared" si="1"/>
        <v>83682.3</v>
      </c>
    </row>
    <row r="43" spans="1:17" ht="12.75">
      <c r="A43" s="11" t="s">
        <v>29</v>
      </c>
      <c r="B43" s="54"/>
      <c r="C43" s="106"/>
      <c r="D43" s="75">
        <f>200+30+150+15.68</f>
        <v>395.68</v>
      </c>
      <c r="E43" s="168"/>
      <c r="F43" s="198">
        <f t="shared" si="13"/>
        <v>395.68</v>
      </c>
      <c r="G43" s="211">
        <f>21.42+29.3</f>
        <v>50.72</v>
      </c>
      <c r="H43" s="235"/>
      <c r="I43" s="181">
        <f aca="true" t="shared" si="14" ref="I43:I61">F43+G43+H43</f>
        <v>446.4</v>
      </c>
      <c r="J43" s="181">
        <f>18.22+33.26+30.89+30+3.5+15.84+53+373.82+10.5+20.72+28.26+691.96+30.89</f>
        <v>1340.8600000000001</v>
      </c>
      <c r="K43" s="276"/>
      <c r="L43" s="181">
        <f aca="true" t="shared" si="15" ref="L43:L61">I43+J43+K43</f>
        <v>1787.2600000000002</v>
      </c>
      <c r="M43" s="211">
        <f>200+24+13.5+16.25+24.04+25+38.02+7+44.25</f>
        <v>392.06</v>
      </c>
      <c r="N43" s="292"/>
      <c r="O43" s="235">
        <f aca="true" t="shared" si="16" ref="O43:O61">L43+M43+N43</f>
        <v>2179.32</v>
      </c>
      <c r="P43" s="112"/>
      <c r="Q43" s="46">
        <f t="shared" si="1"/>
        <v>2179.32</v>
      </c>
    </row>
    <row r="44" spans="1:17" ht="12.75">
      <c r="A44" s="11" t="s">
        <v>30</v>
      </c>
      <c r="B44" s="54"/>
      <c r="C44" s="106"/>
      <c r="D44" s="75">
        <f>1373+71282.48+5806196.47+612.5+5782.93+2043.37+5938+10259.23+482.38+3261.32+9128.57+206.42</f>
        <v>5916566.670000001</v>
      </c>
      <c r="E44" s="168"/>
      <c r="F44" s="198">
        <f t="shared" si="13"/>
        <v>5916566.670000001</v>
      </c>
      <c r="G44" s="211">
        <f>135.06+1476.68+720.53+1659.16+520+160.14+271.7+546.71+361.27+680.95+211.52+1396.04+422.23+72228.5+3280.86+5224.6+765.24+5659.95+1500-60.39-54.14+2855.25</f>
        <v>99961.86000000002</v>
      </c>
      <c r="H44" s="235"/>
      <c r="I44" s="181">
        <f t="shared" si="14"/>
        <v>6016528.530000001</v>
      </c>
      <c r="J44" s="181">
        <f>905.31+147.83+417.95+1639.93+7169.15-249.07+445.35+323.5+73021.45+1295.39+17100+221.5-90.33-14.37+491.9+612.5+1416.56+1292.23+50064.65-20.49-7.08-90.71-818.77+102.63</f>
        <v>155377.01000000004</v>
      </c>
      <c r="K44" s="276"/>
      <c r="L44" s="181">
        <f t="shared" si="15"/>
        <v>6171905.540000001</v>
      </c>
      <c r="M44" s="211">
        <f>1292.85+606.37+1685.81+2281.98+107.55+17512.27+190.9-159.71-53+190.28+87.36+8576.43+1883+1181.16+550.85+8165.41+75315.24+1099.47+820.25+2969</f>
        <v>124303.47000000002</v>
      </c>
      <c r="N44" s="292"/>
      <c r="O44" s="235">
        <f t="shared" si="16"/>
        <v>6296209.010000001</v>
      </c>
      <c r="P44" s="112"/>
      <c r="Q44" s="46">
        <f t="shared" si="1"/>
        <v>6296209.010000001</v>
      </c>
    </row>
    <row r="45" spans="1:17" ht="12.75">
      <c r="A45" s="11" t="s">
        <v>31</v>
      </c>
      <c r="B45" s="54"/>
      <c r="C45" s="106"/>
      <c r="D45" s="75">
        <f>782123.8+57358.39+7000+566.83+29847.76</f>
        <v>876896.78</v>
      </c>
      <c r="E45" s="168"/>
      <c r="F45" s="198">
        <f t="shared" si="13"/>
        <v>876896.78</v>
      </c>
      <c r="G45" s="211">
        <f>643.52+2510.76+2343.04+570+1249.89+4287.51+631.78+585.81</f>
        <v>12822.310000000001</v>
      </c>
      <c r="H45" s="235"/>
      <c r="I45" s="181">
        <f t="shared" si="14"/>
        <v>889719.0900000001</v>
      </c>
      <c r="J45" s="181">
        <f>1562.03+504.28+6373.4+42155.63+1698+6322.99</f>
        <v>58616.329999999994</v>
      </c>
      <c r="K45" s="276"/>
      <c r="L45" s="181">
        <f t="shared" si="15"/>
        <v>948335.42</v>
      </c>
      <c r="M45" s="211">
        <f>664.8+29.52-42.81+3354.85+3675.83+1043.73+710.82+649.64</f>
        <v>10086.38</v>
      </c>
      <c r="N45" s="292"/>
      <c r="O45" s="235">
        <f t="shared" si="16"/>
        <v>958421.8</v>
      </c>
      <c r="P45" s="112"/>
      <c r="Q45" s="46">
        <f t="shared" si="1"/>
        <v>958421.8</v>
      </c>
    </row>
    <row r="46" spans="1:17" ht="12.75">
      <c r="A46" s="11" t="s">
        <v>32</v>
      </c>
      <c r="B46" s="54"/>
      <c r="C46" s="106"/>
      <c r="D46" s="75">
        <f>55.91</f>
        <v>55.91</v>
      </c>
      <c r="E46" s="168"/>
      <c r="F46" s="198">
        <f t="shared" si="13"/>
        <v>55.91</v>
      </c>
      <c r="G46" s="211">
        <f>141.99+36.6+73.26+39.76+18.3+846.6+21.98+110.15+13.17</f>
        <v>1301.8100000000002</v>
      </c>
      <c r="H46" s="235"/>
      <c r="I46" s="181">
        <f t="shared" si="14"/>
        <v>1357.7200000000003</v>
      </c>
      <c r="J46" s="181">
        <f>48.1+25.2+78.66+33.6</f>
        <v>185.55999999999997</v>
      </c>
      <c r="K46" s="276"/>
      <c r="L46" s="181">
        <f t="shared" si="15"/>
        <v>1543.2800000000002</v>
      </c>
      <c r="M46" s="211">
        <f>15.78+26.82+39.39+27.99+2.08+16.11+29.84+15.25+3.05+5.32+933.9+12.87+10.85+11.52+17.67+170.89</f>
        <v>1339.33</v>
      </c>
      <c r="N46" s="292"/>
      <c r="O46" s="235">
        <f t="shared" si="16"/>
        <v>2882.61</v>
      </c>
      <c r="P46" s="112"/>
      <c r="Q46" s="46">
        <f t="shared" si="1"/>
        <v>2882.61</v>
      </c>
    </row>
    <row r="47" spans="1:17" ht="12.75">
      <c r="A47" s="11" t="s">
        <v>33</v>
      </c>
      <c r="B47" s="54"/>
      <c r="C47" s="106"/>
      <c r="D47" s="75"/>
      <c r="E47" s="168"/>
      <c r="F47" s="198">
        <f t="shared" si="13"/>
        <v>0</v>
      </c>
      <c r="G47" s="211">
        <f>320+150+340+88</f>
        <v>898</v>
      </c>
      <c r="H47" s="235"/>
      <c r="I47" s="181">
        <f t="shared" si="14"/>
        <v>898</v>
      </c>
      <c r="J47" s="181">
        <f>114+32+100+107+40+107</f>
        <v>500</v>
      </c>
      <c r="K47" s="276"/>
      <c r="L47" s="181">
        <f t="shared" si="15"/>
        <v>1398</v>
      </c>
      <c r="M47" s="211"/>
      <c r="N47" s="292"/>
      <c r="O47" s="235">
        <f t="shared" si="16"/>
        <v>1398</v>
      </c>
      <c r="P47" s="112"/>
      <c r="Q47" s="46">
        <f t="shared" si="1"/>
        <v>1398</v>
      </c>
    </row>
    <row r="48" spans="1:17" ht="12.75">
      <c r="A48" s="11" t="s">
        <v>330</v>
      </c>
      <c r="B48" s="54"/>
      <c r="C48" s="106"/>
      <c r="D48" s="75"/>
      <c r="E48" s="168"/>
      <c r="F48" s="198">
        <f t="shared" si="13"/>
        <v>0</v>
      </c>
      <c r="G48" s="211">
        <f>2000+170</f>
        <v>2170</v>
      </c>
      <c r="H48" s="235"/>
      <c r="I48" s="181">
        <f t="shared" si="14"/>
        <v>2170</v>
      </c>
      <c r="J48" s="181">
        <f>1360.89</f>
        <v>1360.89</v>
      </c>
      <c r="K48" s="276"/>
      <c r="L48" s="181">
        <f t="shared" si="15"/>
        <v>3530.8900000000003</v>
      </c>
      <c r="M48" s="211"/>
      <c r="N48" s="292"/>
      <c r="O48" s="235">
        <f t="shared" si="16"/>
        <v>3530.8900000000003</v>
      </c>
      <c r="P48" s="112"/>
      <c r="Q48" s="46">
        <f t="shared" si="1"/>
        <v>3530.8900000000003</v>
      </c>
    </row>
    <row r="49" spans="1:17" ht="12.75">
      <c r="A49" s="11" t="s">
        <v>34</v>
      </c>
      <c r="B49" s="54"/>
      <c r="C49" s="106"/>
      <c r="D49" s="75"/>
      <c r="E49" s="168"/>
      <c r="F49" s="198">
        <f t="shared" si="13"/>
        <v>0</v>
      </c>
      <c r="G49" s="211"/>
      <c r="H49" s="235"/>
      <c r="I49" s="181">
        <f t="shared" si="14"/>
        <v>0</v>
      </c>
      <c r="J49" s="181">
        <f>256</f>
        <v>256</v>
      </c>
      <c r="K49" s="276"/>
      <c r="L49" s="181">
        <f t="shared" si="15"/>
        <v>256</v>
      </c>
      <c r="M49" s="211"/>
      <c r="N49" s="292"/>
      <c r="O49" s="235">
        <f t="shared" si="16"/>
        <v>256</v>
      </c>
      <c r="P49" s="112"/>
      <c r="Q49" s="46">
        <f t="shared" si="1"/>
        <v>256</v>
      </c>
    </row>
    <row r="50" spans="1:17" ht="12.75">
      <c r="A50" s="11" t="s">
        <v>152</v>
      </c>
      <c r="B50" s="54"/>
      <c r="C50" s="106"/>
      <c r="D50" s="75">
        <f>270393.45</f>
        <v>270393.45</v>
      </c>
      <c r="E50" s="168"/>
      <c r="F50" s="198">
        <f t="shared" si="13"/>
        <v>270393.45</v>
      </c>
      <c r="G50" s="211"/>
      <c r="H50" s="235"/>
      <c r="I50" s="181">
        <f t="shared" si="14"/>
        <v>270393.45</v>
      </c>
      <c r="J50" s="181"/>
      <c r="K50" s="276"/>
      <c r="L50" s="181">
        <f t="shared" si="15"/>
        <v>270393.45</v>
      </c>
      <c r="M50" s="211"/>
      <c r="N50" s="292"/>
      <c r="O50" s="235">
        <f t="shared" si="16"/>
        <v>270393.45</v>
      </c>
      <c r="P50" s="112"/>
      <c r="Q50" s="46">
        <f t="shared" si="1"/>
        <v>270393.45</v>
      </c>
    </row>
    <row r="51" spans="1:17" ht="12.75">
      <c r="A51" s="11" t="s">
        <v>164</v>
      </c>
      <c r="B51" s="54"/>
      <c r="C51" s="106"/>
      <c r="D51" s="75">
        <f>3399.51</f>
        <v>3399.51</v>
      </c>
      <c r="E51" s="168"/>
      <c r="F51" s="198">
        <f t="shared" si="13"/>
        <v>3399.51</v>
      </c>
      <c r="G51" s="211"/>
      <c r="H51" s="235"/>
      <c r="I51" s="181">
        <f t="shared" si="14"/>
        <v>3399.51</v>
      </c>
      <c r="J51" s="181"/>
      <c r="K51" s="276"/>
      <c r="L51" s="181">
        <f t="shared" si="15"/>
        <v>3399.51</v>
      </c>
      <c r="M51" s="211">
        <f>1379.16</f>
        <v>1379.16</v>
      </c>
      <c r="N51" s="292"/>
      <c r="O51" s="235">
        <f t="shared" si="16"/>
        <v>4778.67</v>
      </c>
      <c r="P51" s="112"/>
      <c r="Q51" s="46">
        <f t="shared" si="1"/>
        <v>4778.67</v>
      </c>
    </row>
    <row r="52" spans="1:17" ht="12.75">
      <c r="A52" s="11" t="s">
        <v>35</v>
      </c>
      <c r="B52" s="54"/>
      <c r="C52" s="106"/>
      <c r="D52" s="75">
        <f>1609.06</f>
        <v>1609.06</v>
      </c>
      <c r="E52" s="168"/>
      <c r="F52" s="198">
        <f t="shared" si="13"/>
        <v>1609.06</v>
      </c>
      <c r="G52" s="211"/>
      <c r="H52" s="235"/>
      <c r="I52" s="181">
        <f t="shared" si="14"/>
        <v>1609.06</v>
      </c>
      <c r="J52" s="181">
        <f>1433.02+1872.57</f>
        <v>3305.59</v>
      </c>
      <c r="K52" s="276"/>
      <c r="L52" s="181">
        <f t="shared" si="15"/>
        <v>4914.65</v>
      </c>
      <c r="M52" s="211">
        <f>1121.04+123.36</f>
        <v>1244.3999999999999</v>
      </c>
      <c r="N52" s="292"/>
      <c r="O52" s="235">
        <f t="shared" si="16"/>
        <v>6159.049999999999</v>
      </c>
      <c r="P52" s="268"/>
      <c r="Q52" s="46">
        <f t="shared" si="1"/>
        <v>6159.049999999999</v>
      </c>
    </row>
    <row r="53" spans="1:17" ht="12.75">
      <c r="A53" s="11" t="s">
        <v>36</v>
      </c>
      <c r="B53" s="54"/>
      <c r="C53" s="106"/>
      <c r="D53" s="75"/>
      <c r="E53" s="168"/>
      <c r="F53" s="198">
        <f t="shared" si="13"/>
        <v>0</v>
      </c>
      <c r="G53" s="211">
        <f>88+250</f>
        <v>338</v>
      </c>
      <c r="H53" s="235"/>
      <c r="I53" s="181">
        <f t="shared" si="14"/>
        <v>338</v>
      </c>
      <c r="J53" s="189"/>
      <c r="K53" s="276"/>
      <c r="L53" s="181">
        <f t="shared" si="15"/>
        <v>338</v>
      </c>
      <c r="M53" s="211">
        <f>38</f>
        <v>38</v>
      </c>
      <c r="N53" s="292"/>
      <c r="O53" s="235">
        <f t="shared" si="16"/>
        <v>376</v>
      </c>
      <c r="P53" s="112"/>
      <c r="Q53" s="46">
        <f t="shared" si="1"/>
        <v>376</v>
      </c>
    </row>
    <row r="54" spans="1:17" ht="12.75" hidden="1">
      <c r="A54" s="11" t="s">
        <v>222</v>
      </c>
      <c r="B54" s="54"/>
      <c r="C54" s="106"/>
      <c r="D54" s="75"/>
      <c r="E54" s="168"/>
      <c r="F54" s="198">
        <f t="shared" si="13"/>
        <v>0</v>
      </c>
      <c r="G54" s="211"/>
      <c r="H54" s="235"/>
      <c r="I54" s="181">
        <f t="shared" si="14"/>
        <v>0</v>
      </c>
      <c r="J54" s="189"/>
      <c r="K54" s="276"/>
      <c r="L54" s="181">
        <f t="shared" si="15"/>
        <v>0</v>
      </c>
      <c r="M54" s="211"/>
      <c r="N54" s="292"/>
      <c r="O54" s="235"/>
      <c r="P54" s="112"/>
      <c r="Q54" s="46"/>
    </row>
    <row r="55" spans="1:17" ht="12.75" hidden="1">
      <c r="A55" s="11" t="s">
        <v>165</v>
      </c>
      <c r="B55" s="54"/>
      <c r="C55" s="106"/>
      <c r="D55" s="75"/>
      <c r="E55" s="168"/>
      <c r="F55" s="198">
        <f t="shared" si="13"/>
        <v>0</v>
      </c>
      <c r="G55" s="211"/>
      <c r="H55" s="235"/>
      <c r="I55" s="181">
        <f t="shared" si="14"/>
        <v>0</v>
      </c>
      <c r="J55" s="189"/>
      <c r="K55" s="276"/>
      <c r="L55" s="181">
        <f t="shared" si="15"/>
        <v>0</v>
      </c>
      <c r="M55" s="211"/>
      <c r="N55" s="292"/>
      <c r="O55" s="235">
        <f t="shared" si="16"/>
        <v>0</v>
      </c>
      <c r="P55" s="112"/>
      <c r="Q55" s="46">
        <f t="shared" si="1"/>
        <v>0</v>
      </c>
    </row>
    <row r="56" spans="1:17" ht="12.75" hidden="1">
      <c r="A56" s="11" t="s">
        <v>37</v>
      </c>
      <c r="B56" s="54"/>
      <c r="C56" s="106"/>
      <c r="D56" s="75"/>
      <c r="E56" s="168"/>
      <c r="F56" s="198">
        <f t="shared" si="13"/>
        <v>0</v>
      </c>
      <c r="G56" s="211"/>
      <c r="H56" s="235"/>
      <c r="I56" s="181">
        <f t="shared" si="14"/>
        <v>0</v>
      </c>
      <c r="J56" s="181"/>
      <c r="K56" s="276"/>
      <c r="L56" s="181">
        <f t="shared" si="15"/>
        <v>0</v>
      </c>
      <c r="M56" s="211"/>
      <c r="N56" s="292"/>
      <c r="O56" s="235">
        <f t="shared" si="16"/>
        <v>0</v>
      </c>
      <c r="P56" s="112"/>
      <c r="Q56" s="46">
        <f t="shared" si="1"/>
        <v>0</v>
      </c>
    </row>
    <row r="57" spans="1:17" ht="12.75" hidden="1">
      <c r="A57" s="11" t="s">
        <v>47</v>
      </c>
      <c r="B57" s="54"/>
      <c r="C57" s="106"/>
      <c r="D57" s="75"/>
      <c r="E57" s="168"/>
      <c r="F57" s="198">
        <f t="shared" si="13"/>
        <v>0</v>
      </c>
      <c r="G57" s="211"/>
      <c r="H57" s="235"/>
      <c r="I57" s="181">
        <f t="shared" si="14"/>
        <v>0</v>
      </c>
      <c r="J57" s="181"/>
      <c r="K57" s="276"/>
      <c r="L57" s="181">
        <f t="shared" si="15"/>
        <v>0</v>
      </c>
      <c r="M57" s="211"/>
      <c r="N57" s="292"/>
      <c r="O57" s="235">
        <f t="shared" si="16"/>
        <v>0</v>
      </c>
      <c r="P57" s="112"/>
      <c r="Q57" s="46">
        <f t="shared" si="1"/>
        <v>0</v>
      </c>
    </row>
    <row r="58" spans="1:17" ht="12.75">
      <c r="A58" s="11" t="s">
        <v>38</v>
      </c>
      <c r="B58" s="54"/>
      <c r="C58" s="106"/>
      <c r="D58" s="75"/>
      <c r="E58" s="168"/>
      <c r="F58" s="198">
        <f t="shared" si="13"/>
        <v>0</v>
      </c>
      <c r="G58" s="211">
        <f>69355</f>
        <v>69355</v>
      </c>
      <c r="H58" s="235"/>
      <c r="I58" s="181">
        <f t="shared" si="14"/>
        <v>69355</v>
      </c>
      <c r="J58" s="181"/>
      <c r="K58" s="276"/>
      <c r="L58" s="181">
        <f t="shared" si="15"/>
        <v>69355</v>
      </c>
      <c r="M58" s="211">
        <f>14645</f>
        <v>14645</v>
      </c>
      <c r="N58" s="292"/>
      <c r="O58" s="235">
        <f t="shared" si="16"/>
        <v>84000</v>
      </c>
      <c r="P58" s="112"/>
      <c r="Q58" s="46">
        <f t="shared" si="1"/>
        <v>84000</v>
      </c>
    </row>
    <row r="59" spans="1:17" ht="12.75">
      <c r="A59" s="11" t="s">
        <v>39</v>
      </c>
      <c r="B59" s="54"/>
      <c r="C59" s="106"/>
      <c r="D59" s="75"/>
      <c r="E59" s="168"/>
      <c r="F59" s="198">
        <f t="shared" si="13"/>
        <v>0</v>
      </c>
      <c r="G59" s="211">
        <f>1245.41+2413.78+223.9</f>
        <v>3883.0900000000006</v>
      </c>
      <c r="H59" s="235"/>
      <c r="I59" s="181">
        <f t="shared" si="14"/>
        <v>3883.0900000000006</v>
      </c>
      <c r="J59" s="181"/>
      <c r="K59" s="276"/>
      <c r="L59" s="181">
        <f t="shared" si="15"/>
        <v>3883.0900000000006</v>
      </c>
      <c r="M59" s="211">
        <f>571.25+268.26+35.31</f>
        <v>874.8199999999999</v>
      </c>
      <c r="N59" s="292"/>
      <c r="O59" s="235">
        <f t="shared" si="16"/>
        <v>4757.910000000001</v>
      </c>
      <c r="P59" s="112"/>
      <c r="Q59" s="46">
        <f t="shared" si="1"/>
        <v>4757.910000000001</v>
      </c>
    </row>
    <row r="60" spans="1:17" ht="12.75">
      <c r="A60" s="11" t="s">
        <v>349</v>
      </c>
      <c r="B60" s="54"/>
      <c r="C60" s="106">
        <v>250</v>
      </c>
      <c r="D60" s="75"/>
      <c r="E60" s="168"/>
      <c r="F60" s="198">
        <f t="shared" si="13"/>
        <v>250</v>
      </c>
      <c r="G60" s="211">
        <f>1675.55</f>
        <v>1675.55</v>
      </c>
      <c r="H60" s="235"/>
      <c r="I60" s="181">
        <f t="shared" si="14"/>
        <v>1925.55</v>
      </c>
      <c r="J60" s="181">
        <f>141.2</f>
        <v>141.2</v>
      </c>
      <c r="K60" s="276"/>
      <c r="L60" s="181">
        <f t="shared" si="15"/>
        <v>2066.75</v>
      </c>
      <c r="M60" s="211"/>
      <c r="N60" s="292"/>
      <c r="O60" s="235">
        <f t="shared" si="16"/>
        <v>2066.75</v>
      </c>
      <c r="P60" s="112"/>
      <c r="Q60" s="46">
        <f t="shared" si="1"/>
        <v>2066.75</v>
      </c>
    </row>
    <row r="61" spans="1:17" ht="12.75" hidden="1">
      <c r="A61" s="11" t="s">
        <v>170</v>
      </c>
      <c r="B61" s="54"/>
      <c r="C61" s="106"/>
      <c r="D61" s="75"/>
      <c r="E61" s="168"/>
      <c r="F61" s="198">
        <f t="shared" si="13"/>
        <v>0</v>
      </c>
      <c r="G61" s="211"/>
      <c r="H61" s="235"/>
      <c r="I61" s="181">
        <f t="shared" si="14"/>
        <v>0</v>
      </c>
      <c r="J61" s="181"/>
      <c r="K61" s="276"/>
      <c r="L61" s="181">
        <f t="shared" si="15"/>
        <v>0</v>
      </c>
      <c r="M61" s="211"/>
      <c r="N61" s="292"/>
      <c r="O61" s="235">
        <f t="shared" si="16"/>
        <v>0</v>
      </c>
      <c r="P61" s="112"/>
      <c r="Q61" s="46">
        <f t="shared" si="1"/>
        <v>0</v>
      </c>
    </row>
    <row r="62" spans="1:17" ht="12.75" hidden="1">
      <c r="A62" s="12" t="s">
        <v>40</v>
      </c>
      <c r="B62" s="55"/>
      <c r="C62" s="100">
        <f>SUM(C64:C66)</f>
        <v>0</v>
      </c>
      <c r="D62" s="78">
        <f>SUM(D64:D66)</f>
        <v>0</v>
      </c>
      <c r="E62" s="169">
        <f>SUM(E64:E66)</f>
        <v>0</v>
      </c>
      <c r="F62" s="199">
        <f>SUM(F64:F66)</f>
        <v>0</v>
      </c>
      <c r="G62" s="213"/>
      <c r="H62" s="237"/>
      <c r="I62" s="183">
        <f>SUM(I64:I66)</f>
        <v>0</v>
      </c>
      <c r="J62" s="183"/>
      <c r="K62" s="278"/>
      <c r="L62" s="183">
        <f>SUM(L64:L66)</f>
        <v>0</v>
      </c>
      <c r="M62" s="213"/>
      <c r="N62" s="294"/>
      <c r="O62" s="237">
        <f>SUM(O64:O66)</f>
        <v>0</v>
      </c>
      <c r="P62" s="269"/>
      <c r="Q62" s="7">
        <f>SUM(Q64:Q66)</f>
        <v>0</v>
      </c>
    </row>
    <row r="63" spans="1:17" ht="12.75" hidden="1">
      <c r="A63" s="9" t="s">
        <v>27</v>
      </c>
      <c r="B63" s="52"/>
      <c r="C63" s="106"/>
      <c r="D63" s="75"/>
      <c r="E63" s="168"/>
      <c r="F63" s="198"/>
      <c r="G63" s="211"/>
      <c r="H63" s="235"/>
      <c r="I63" s="181"/>
      <c r="J63" s="181"/>
      <c r="K63" s="276"/>
      <c r="L63" s="181"/>
      <c r="M63" s="211"/>
      <c r="N63" s="292"/>
      <c r="O63" s="235">
        <f>L63+M63+N63</f>
        <v>0</v>
      </c>
      <c r="P63" s="112"/>
      <c r="Q63" s="46"/>
    </row>
    <row r="64" spans="1:17" ht="12.75" hidden="1">
      <c r="A64" s="11" t="s">
        <v>41</v>
      </c>
      <c r="B64" s="54"/>
      <c r="C64" s="106"/>
      <c r="D64" s="75"/>
      <c r="E64" s="168"/>
      <c r="F64" s="198">
        <f>C64+D64+E64</f>
        <v>0</v>
      </c>
      <c r="G64" s="211"/>
      <c r="H64" s="235"/>
      <c r="I64" s="181">
        <f>F64+G64+H64</f>
        <v>0</v>
      </c>
      <c r="J64" s="181"/>
      <c r="K64" s="276"/>
      <c r="L64" s="181">
        <f>I64+J64+K64</f>
        <v>0</v>
      </c>
      <c r="M64" s="211"/>
      <c r="N64" s="292"/>
      <c r="O64" s="235">
        <f>L64+M64+N64</f>
        <v>0</v>
      </c>
      <c r="P64" s="112"/>
      <c r="Q64" s="46">
        <f t="shared" si="1"/>
        <v>0</v>
      </c>
    </row>
    <row r="65" spans="1:17" ht="12.75" hidden="1">
      <c r="A65" s="11" t="s">
        <v>42</v>
      </c>
      <c r="B65" s="54"/>
      <c r="C65" s="106"/>
      <c r="D65" s="75"/>
      <c r="E65" s="168"/>
      <c r="F65" s="198">
        <f>C65+D65+E65</f>
        <v>0</v>
      </c>
      <c r="G65" s="211"/>
      <c r="H65" s="235"/>
      <c r="I65" s="181">
        <f>F65+G65+H65</f>
        <v>0</v>
      </c>
      <c r="J65" s="181"/>
      <c r="K65" s="276"/>
      <c r="L65" s="181">
        <f>I65+J65+K65</f>
        <v>0</v>
      </c>
      <c r="M65" s="211"/>
      <c r="N65" s="292"/>
      <c r="O65" s="235">
        <f>L65+M65+N65</f>
        <v>0</v>
      </c>
      <c r="P65" s="112"/>
      <c r="Q65" s="46">
        <f t="shared" si="1"/>
        <v>0</v>
      </c>
    </row>
    <row r="66" spans="1:17" ht="12.75" hidden="1">
      <c r="A66" s="11" t="s">
        <v>43</v>
      </c>
      <c r="B66" s="54"/>
      <c r="C66" s="106"/>
      <c r="D66" s="75"/>
      <c r="E66" s="168"/>
      <c r="F66" s="198">
        <f>C66+D66+E66</f>
        <v>0</v>
      </c>
      <c r="G66" s="211"/>
      <c r="H66" s="235"/>
      <c r="I66" s="181">
        <f>F66+G66+H66</f>
        <v>0</v>
      </c>
      <c r="J66" s="181"/>
      <c r="K66" s="276"/>
      <c r="L66" s="181">
        <f>I66+J66+K66</f>
        <v>0</v>
      </c>
      <c r="M66" s="211"/>
      <c r="N66" s="292"/>
      <c r="O66" s="235">
        <f>L66+M66+N66</f>
        <v>0</v>
      </c>
      <c r="P66" s="112"/>
      <c r="Q66" s="46">
        <f t="shared" si="1"/>
        <v>0</v>
      </c>
    </row>
    <row r="67" spans="1:17" ht="12.75">
      <c r="A67" s="8" t="s">
        <v>44</v>
      </c>
      <c r="B67" s="51"/>
      <c r="C67" s="113">
        <f>SUM(C69:C84)</f>
        <v>0</v>
      </c>
      <c r="D67" s="74">
        <f aca="true" t="shared" si="17" ref="D67:Q67">SUM(D69:D84)</f>
        <v>96723.42000000001</v>
      </c>
      <c r="E67" s="167">
        <f t="shared" si="17"/>
        <v>0</v>
      </c>
      <c r="F67" s="179">
        <f t="shared" si="17"/>
        <v>96723.42000000001</v>
      </c>
      <c r="G67" s="210">
        <f t="shared" si="17"/>
        <v>393435.51</v>
      </c>
      <c r="H67" s="234">
        <f t="shared" si="17"/>
        <v>0</v>
      </c>
      <c r="I67" s="182">
        <f t="shared" si="17"/>
        <v>490158.93000000005</v>
      </c>
      <c r="J67" s="182">
        <f t="shared" si="17"/>
        <v>230990.44</v>
      </c>
      <c r="K67" s="275">
        <f t="shared" si="17"/>
        <v>0</v>
      </c>
      <c r="L67" s="182">
        <f t="shared" si="17"/>
        <v>721149.3700000001</v>
      </c>
      <c r="M67" s="210">
        <f t="shared" si="17"/>
        <v>321808.44</v>
      </c>
      <c r="N67" s="291">
        <f t="shared" si="17"/>
        <v>0</v>
      </c>
      <c r="O67" s="234">
        <f t="shared" si="17"/>
        <v>1042957.81</v>
      </c>
      <c r="P67" s="98">
        <f t="shared" si="17"/>
        <v>0</v>
      </c>
      <c r="Q67" s="73">
        <f t="shared" si="17"/>
        <v>1019087.9700000001</v>
      </c>
    </row>
    <row r="68" spans="1:17" ht="12.75">
      <c r="A68" s="13" t="s">
        <v>27</v>
      </c>
      <c r="B68" s="56"/>
      <c r="C68" s="106"/>
      <c r="D68" s="75"/>
      <c r="E68" s="168"/>
      <c r="F68" s="198"/>
      <c r="G68" s="211"/>
      <c r="H68" s="235"/>
      <c r="I68" s="181"/>
      <c r="J68" s="181"/>
      <c r="K68" s="276"/>
      <c r="L68" s="181"/>
      <c r="M68" s="211"/>
      <c r="N68" s="292"/>
      <c r="O68" s="235"/>
      <c r="P68" s="112"/>
      <c r="Q68" s="46"/>
    </row>
    <row r="69" spans="1:17" ht="12.75">
      <c r="A69" s="11" t="s">
        <v>30</v>
      </c>
      <c r="B69" s="54"/>
      <c r="C69" s="106"/>
      <c r="D69" s="75"/>
      <c r="E69" s="168"/>
      <c r="F69" s="198">
        <f aca="true" t="shared" si="18" ref="F69:F84">C69+D69+E69</f>
        <v>0</v>
      </c>
      <c r="G69" s="211"/>
      <c r="H69" s="235"/>
      <c r="I69" s="181">
        <f>F69+G69+H69</f>
        <v>0</v>
      </c>
      <c r="J69" s="181">
        <f>9743.64</f>
        <v>9743.64</v>
      </c>
      <c r="K69" s="276"/>
      <c r="L69" s="181">
        <f>I69+J69+K69</f>
        <v>9743.64</v>
      </c>
      <c r="M69" s="211"/>
      <c r="N69" s="292"/>
      <c r="O69" s="235">
        <f>L69+M69+N69</f>
        <v>9743.64</v>
      </c>
      <c r="P69" s="112"/>
      <c r="Q69" s="46">
        <f t="shared" si="1"/>
        <v>9743.64</v>
      </c>
    </row>
    <row r="70" spans="1:17" ht="12.75">
      <c r="A70" s="15" t="s">
        <v>31</v>
      </c>
      <c r="B70" s="57"/>
      <c r="C70" s="106"/>
      <c r="D70" s="75"/>
      <c r="E70" s="168"/>
      <c r="F70" s="198">
        <f t="shared" si="18"/>
        <v>0</v>
      </c>
      <c r="G70" s="211"/>
      <c r="H70" s="235"/>
      <c r="I70" s="181">
        <f aca="true" t="shared" si="19" ref="I70:I84">F70+G70+H70</f>
        <v>0</v>
      </c>
      <c r="J70" s="181">
        <f>19964.25</f>
        <v>19964.25</v>
      </c>
      <c r="K70" s="276"/>
      <c r="L70" s="181">
        <f aca="true" t="shared" si="20" ref="L70:L84">I70+J70+K70</f>
        <v>19964.25</v>
      </c>
      <c r="M70" s="211"/>
      <c r="N70" s="292"/>
      <c r="O70" s="235">
        <f aca="true" t="shared" si="21" ref="O70:O84">L70+M70+N70</f>
        <v>19964.25</v>
      </c>
      <c r="P70" s="112"/>
      <c r="Q70" s="46">
        <f t="shared" si="1"/>
        <v>19964.25</v>
      </c>
    </row>
    <row r="71" spans="1:17" ht="12.75">
      <c r="A71" s="15" t="s">
        <v>29</v>
      </c>
      <c r="B71" s="57"/>
      <c r="C71" s="106"/>
      <c r="D71" s="75"/>
      <c r="E71" s="168"/>
      <c r="F71" s="198">
        <f t="shared" si="18"/>
        <v>0</v>
      </c>
      <c r="G71" s="211"/>
      <c r="H71" s="235"/>
      <c r="I71" s="181">
        <f t="shared" si="19"/>
        <v>0</v>
      </c>
      <c r="J71" s="181"/>
      <c r="K71" s="276"/>
      <c r="L71" s="181">
        <f t="shared" si="20"/>
        <v>0</v>
      </c>
      <c r="M71" s="211">
        <f>36500+3329.7</f>
        <v>39829.7</v>
      </c>
      <c r="N71" s="292"/>
      <c r="O71" s="235">
        <f t="shared" si="21"/>
        <v>39829.7</v>
      </c>
      <c r="P71" s="112"/>
      <c r="Q71" s="46">
        <f t="shared" si="1"/>
        <v>39829.7</v>
      </c>
    </row>
    <row r="72" spans="1:17" ht="12.75">
      <c r="A72" s="15" t="s">
        <v>45</v>
      </c>
      <c r="B72" s="57"/>
      <c r="C72" s="106"/>
      <c r="D72" s="75"/>
      <c r="E72" s="168"/>
      <c r="F72" s="198">
        <f t="shared" si="18"/>
        <v>0</v>
      </c>
      <c r="G72" s="211"/>
      <c r="H72" s="235"/>
      <c r="I72" s="181">
        <f t="shared" si="19"/>
        <v>0</v>
      </c>
      <c r="J72" s="181">
        <f>6866.99+10303.63+28638.93</f>
        <v>45809.55</v>
      </c>
      <c r="K72" s="276"/>
      <c r="L72" s="181">
        <f t="shared" si="20"/>
        <v>45809.55</v>
      </c>
      <c r="M72" s="211"/>
      <c r="N72" s="292"/>
      <c r="O72" s="235">
        <f t="shared" si="21"/>
        <v>45809.55</v>
      </c>
      <c r="P72" s="112"/>
      <c r="Q72" s="46">
        <f t="shared" si="1"/>
        <v>45809.55</v>
      </c>
    </row>
    <row r="73" spans="1:17" ht="12.75">
      <c r="A73" s="11" t="s">
        <v>32</v>
      </c>
      <c r="B73" s="54"/>
      <c r="C73" s="106"/>
      <c r="D73" s="75">
        <f>4.05</f>
        <v>4.05</v>
      </c>
      <c r="E73" s="168"/>
      <c r="F73" s="198">
        <f t="shared" si="18"/>
        <v>4.05</v>
      </c>
      <c r="G73" s="211">
        <f>499.19+12284.06+17096.88+3934.39+236.73+2099.25+22828.25+23167.89+5862.49+23024.59+297.65</f>
        <v>111331.37000000001</v>
      </c>
      <c r="H73" s="235"/>
      <c r="I73" s="181">
        <f t="shared" si="19"/>
        <v>111335.42000000001</v>
      </c>
      <c r="J73" s="181">
        <f>15316.92+643.32+6711.47+2310.83+16754.59+23371.55+15062.51+153.55+2474.55+25721.3+246.78+30709.14</f>
        <v>139476.51</v>
      </c>
      <c r="K73" s="276"/>
      <c r="L73" s="181">
        <f t="shared" si="20"/>
        <v>250811.93000000002</v>
      </c>
      <c r="M73" s="211">
        <f>45231.07+10313.8+11057.56+48817.19+30104.94+74.45+16210.21+23065.93+16138.17+14270.99+5.45+16009.21+15837.05+17715.83+13867.65</f>
        <v>278719.5</v>
      </c>
      <c r="N73" s="292"/>
      <c r="O73" s="235">
        <f t="shared" si="21"/>
        <v>529531.43</v>
      </c>
      <c r="P73" s="112"/>
      <c r="Q73" s="46">
        <f t="shared" si="1"/>
        <v>529531.43</v>
      </c>
    </row>
    <row r="74" spans="1:17" ht="12.75" hidden="1">
      <c r="A74" s="11" t="s">
        <v>330</v>
      </c>
      <c r="B74" s="54"/>
      <c r="C74" s="106"/>
      <c r="D74" s="75"/>
      <c r="E74" s="168"/>
      <c r="F74" s="198">
        <f t="shared" si="18"/>
        <v>0</v>
      </c>
      <c r="G74" s="211"/>
      <c r="H74" s="235"/>
      <c r="I74" s="181">
        <f t="shared" si="19"/>
        <v>0</v>
      </c>
      <c r="J74" s="181"/>
      <c r="K74" s="276"/>
      <c r="L74" s="181">
        <f t="shared" si="20"/>
        <v>0</v>
      </c>
      <c r="M74" s="211"/>
      <c r="N74" s="292"/>
      <c r="O74" s="235">
        <f t="shared" si="21"/>
        <v>0</v>
      </c>
      <c r="P74" s="112"/>
      <c r="Q74" s="46"/>
    </row>
    <row r="75" spans="1:17" ht="12.75">
      <c r="A75" s="11" t="s">
        <v>33</v>
      </c>
      <c r="B75" s="54"/>
      <c r="C75" s="106"/>
      <c r="D75" s="75"/>
      <c r="E75" s="168"/>
      <c r="F75" s="198"/>
      <c r="G75" s="211"/>
      <c r="H75" s="235"/>
      <c r="I75" s="181"/>
      <c r="J75" s="181"/>
      <c r="K75" s="276"/>
      <c r="L75" s="181">
        <f t="shared" si="20"/>
        <v>0</v>
      </c>
      <c r="M75" s="211">
        <f>252</f>
        <v>252</v>
      </c>
      <c r="N75" s="292"/>
      <c r="O75" s="235">
        <f t="shared" si="21"/>
        <v>252</v>
      </c>
      <c r="P75" s="112"/>
      <c r="Q75" s="46"/>
    </row>
    <row r="76" spans="1:17" ht="12.75" hidden="1">
      <c r="A76" s="11" t="s">
        <v>241</v>
      </c>
      <c r="B76" s="54"/>
      <c r="C76" s="106"/>
      <c r="D76" s="75"/>
      <c r="E76" s="168"/>
      <c r="F76" s="198">
        <f t="shared" si="18"/>
        <v>0</v>
      </c>
      <c r="G76" s="211"/>
      <c r="H76" s="235"/>
      <c r="I76" s="181">
        <f t="shared" si="19"/>
        <v>0</v>
      </c>
      <c r="J76" s="181"/>
      <c r="K76" s="276"/>
      <c r="L76" s="181">
        <f t="shared" si="20"/>
        <v>0</v>
      </c>
      <c r="M76" s="211"/>
      <c r="N76" s="292"/>
      <c r="O76" s="235">
        <f t="shared" si="21"/>
        <v>0</v>
      </c>
      <c r="P76" s="112"/>
      <c r="Q76" s="46"/>
    </row>
    <row r="77" spans="1:17" ht="12.75">
      <c r="A77" s="11" t="s">
        <v>164</v>
      </c>
      <c r="B77" s="54"/>
      <c r="C77" s="106"/>
      <c r="D77" s="75">
        <f>96650.49</f>
        <v>96650.49</v>
      </c>
      <c r="E77" s="168"/>
      <c r="F77" s="198">
        <f t="shared" si="18"/>
        <v>96650.49</v>
      </c>
      <c r="G77" s="211"/>
      <c r="H77" s="235"/>
      <c r="I77" s="181">
        <f t="shared" si="19"/>
        <v>96650.49</v>
      </c>
      <c r="J77" s="181"/>
      <c r="K77" s="276"/>
      <c r="L77" s="181">
        <f t="shared" si="20"/>
        <v>96650.49</v>
      </c>
      <c r="M77" s="211">
        <f>1655.61</f>
        <v>1655.61</v>
      </c>
      <c r="N77" s="292"/>
      <c r="O77" s="235">
        <f t="shared" si="21"/>
        <v>98306.1</v>
      </c>
      <c r="P77" s="112"/>
      <c r="Q77" s="46">
        <f t="shared" si="1"/>
        <v>98306.1</v>
      </c>
    </row>
    <row r="78" spans="1:17" ht="12.75" hidden="1">
      <c r="A78" s="11" t="s">
        <v>165</v>
      </c>
      <c r="B78" s="54"/>
      <c r="C78" s="106"/>
      <c r="D78" s="75"/>
      <c r="E78" s="168"/>
      <c r="F78" s="198">
        <f t="shared" si="18"/>
        <v>0</v>
      </c>
      <c r="G78" s="211"/>
      <c r="H78" s="235"/>
      <c r="I78" s="181">
        <f t="shared" si="19"/>
        <v>0</v>
      </c>
      <c r="J78" s="181"/>
      <c r="K78" s="276"/>
      <c r="L78" s="181">
        <f t="shared" si="20"/>
        <v>0</v>
      </c>
      <c r="M78" s="211"/>
      <c r="N78" s="292"/>
      <c r="O78" s="235">
        <f t="shared" si="21"/>
        <v>0</v>
      </c>
      <c r="P78" s="112"/>
      <c r="Q78" s="46">
        <f t="shared" si="1"/>
        <v>0</v>
      </c>
    </row>
    <row r="79" spans="1:17" ht="12.75">
      <c r="A79" s="11" t="s">
        <v>46</v>
      </c>
      <c r="B79" s="54"/>
      <c r="C79" s="106"/>
      <c r="D79" s="75"/>
      <c r="E79" s="168"/>
      <c r="F79" s="198">
        <f t="shared" si="18"/>
        <v>0</v>
      </c>
      <c r="G79" s="211">
        <f>83617.95+190000</f>
        <v>273617.95</v>
      </c>
      <c r="H79" s="235"/>
      <c r="I79" s="181">
        <f t="shared" si="19"/>
        <v>273617.95</v>
      </c>
      <c r="J79" s="181"/>
      <c r="K79" s="276"/>
      <c r="L79" s="181">
        <f t="shared" si="20"/>
        <v>273617.95</v>
      </c>
      <c r="M79" s="211">
        <f>-14645</f>
        <v>-14645</v>
      </c>
      <c r="N79" s="292"/>
      <c r="O79" s="235">
        <f t="shared" si="21"/>
        <v>258972.95</v>
      </c>
      <c r="P79" s="112"/>
      <c r="Q79" s="46">
        <f t="shared" si="1"/>
        <v>258972.95</v>
      </c>
    </row>
    <row r="80" spans="1:17" ht="12.75" hidden="1">
      <c r="A80" s="11" t="s">
        <v>47</v>
      </c>
      <c r="B80" s="54"/>
      <c r="C80" s="106"/>
      <c r="D80" s="75"/>
      <c r="E80" s="168"/>
      <c r="F80" s="198">
        <f t="shared" si="18"/>
        <v>0</v>
      </c>
      <c r="G80" s="211"/>
      <c r="H80" s="235"/>
      <c r="I80" s="181">
        <f t="shared" si="19"/>
        <v>0</v>
      </c>
      <c r="J80" s="181"/>
      <c r="K80" s="276"/>
      <c r="L80" s="181">
        <f t="shared" si="20"/>
        <v>0</v>
      </c>
      <c r="M80" s="211"/>
      <c r="N80" s="292"/>
      <c r="O80" s="235">
        <f t="shared" si="21"/>
        <v>0</v>
      </c>
      <c r="P80" s="112"/>
      <c r="Q80" s="46">
        <f aca="true" t="shared" si="22" ref="Q80:Q144">O80+P80</f>
        <v>0</v>
      </c>
    </row>
    <row r="81" spans="1:17" ht="12.75" hidden="1">
      <c r="A81" s="11" t="s">
        <v>48</v>
      </c>
      <c r="B81" s="54"/>
      <c r="C81" s="106"/>
      <c r="D81" s="75"/>
      <c r="E81" s="168"/>
      <c r="F81" s="198">
        <f t="shared" si="18"/>
        <v>0</v>
      </c>
      <c r="G81" s="211"/>
      <c r="H81" s="235"/>
      <c r="I81" s="181">
        <f t="shared" si="19"/>
        <v>0</v>
      </c>
      <c r="J81" s="181"/>
      <c r="K81" s="276"/>
      <c r="L81" s="181">
        <f t="shared" si="20"/>
        <v>0</v>
      </c>
      <c r="M81" s="211"/>
      <c r="N81" s="292"/>
      <c r="O81" s="235">
        <f t="shared" si="21"/>
        <v>0</v>
      </c>
      <c r="P81" s="112"/>
      <c r="Q81" s="46">
        <f t="shared" si="22"/>
        <v>0</v>
      </c>
    </row>
    <row r="82" spans="1:17" ht="12.75">
      <c r="A82" s="11" t="s">
        <v>35</v>
      </c>
      <c r="B82" s="54"/>
      <c r="C82" s="106"/>
      <c r="D82" s="75">
        <f>68.88</f>
        <v>68.88</v>
      </c>
      <c r="E82" s="168"/>
      <c r="F82" s="198">
        <f t="shared" si="18"/>
        <v>68.88</v>
      </c>
      <c r="G82" s="211"/>
      <c r="H82" s="235"/>
      <c r="I82" s="181">
        <f t="shared" si="19"/>
        <v>68.88</v>
      </c>
      <c r="J82" s="181">
        <f>5060.02</f>
        <v>5060.02</v>
      </c>
      <c r="K82" s="276"/>
      <c r="L82" s="181">
        <f t="shared" si="20"/>
        <v>5128.900000000001</v>
      </c>
      <c r="M82" s="211">
        <f>11801.45</f>
        <v>11801.45</v>
      </c>
      <c r="N82" s="292"/>
      <c r="O82" s="235">
        <f t="shared" si="21"/>
        <v>16930.350000000002</v>
      </c>
      <c r="P82" s="268"/>
      <c r="Q82" s="46">
        <f t="shared" si="22"/>
        <v>16930.350000000002</v>
      </c>
    </row>
    <row r="83" spans="1:17" ht="12.75">
      <c r="A83" s="11" t="s">
        <v>39</v>
      </c>
      <c r="B83" s="54"/>
      <c r="C83" s="106"/>
      <c r="D83" s="75"/>
      <c r="E83" s="168"/>
      <c r="F83" s="198">
        <f t="shared" si="18"/>
        <v>0</v>
      </c>
      <c r="G83" s="211">
        <f>8486.19</f>
        <v>8486.19</v>
      </c>
      <c r="H83" s="235"/>
      <c r="I83" s="181">
        <f t="shared" si="19"/>
        <v>8486.19</v>
      </c>
      <c r="J83" s="181">
        <f>10936.47</f>
        <v>10936.47</v>
      </c>
      <c r="K83" s="276"/>
      <c r="L83" s="181">
        <f t="shared" si="20"/>
        <v>19422.66</v>
      </c>
      <c r="M83" s="211">
        <f>4195.18</f>
        <v>4195.18</v>
      </c>
      <c r="N83" s="292"/>
      <c r="O83" s="235">
        <f t="shared" si="21"/>
        <v>23617.84</v>
      </c>
      <c r="P83" s="268"/>
      <c r="Q83" s="46"/>
    </row>
    <row r="84" spans="1:17" ht="12.75" hidden="1">
      <c r="A84" s="11" t="s">
        <v>170</v>
      </c>
      <c r="B84" s="54"/>
      <c r="C84" s="106"/>
      <c r="D84" s="75"/>
      <c r="E84" s="168"/>
      <c r="F84" s="198">
        <f t="shared" si="18"/>
        <v>0</v>
      </c>
      <c r="G84" s="211"/>
      <c r="H84" s="235"/>
      <c r="I84" s="181">
        <f t="shared" si="19"/>
        <v>0</v>
      </c>
      <c r="J84" s="181"/>
      <c r="K84" s="276"/>
      <c r="L84" s="181">
        <f t="shared" si="20"/>
        <v>0</v>
      </c>
      <c r="M84" s="211"/>
      <c r="N84" s="292"/>
      <c r="O84" s="235">
        <f t="shared" si="21"/>
        <v>0</v>
      </c>
      <c r="P84" s="112"/>
      <c r="Q84" s="46">
        <f t="shared" si="22"/>
        <v>0</v>
      </c>
    </row>
    <row r="85" spans="1:17" ht="15" customHeight="1" hidden="1">
      <c r="A85" s="12" t="s">
        <v>49</v>
      </c>
      <c r="B85" s="55"/>
      <c r="C85" s="100">
        <f>SUM(C87:C89)</f>
        <v>0</v>
      </c>
      <c r="D85" s="78">
        <f>SUM(D87:D89)</f>
        <v>0</v>
      </c>
      <c r="E85" s="169">
        <f>SUM(E87:E89)</f>
        <v>0</v>
      </c>
      <c r="F85" s="199">
        <f>SUM(F87:F89)</f>
        <v>0</v>
      </c>
      <c r="G85" s="213"/>
      <c r="H85" s="237"/>
      <c r="I85" s="183">
        <f>SUM(I87:I89)</f>
        <v>0</v>
      </c>
      <c r="J85" s="183"/>
      <c r="K85" s="278"/>
      <c r="L85" s="183">
        <f>SUM(L87:L89)</f>
        <v>0</v>
      </c>
      <c r="M85" s="213"/>
      <c r="N85" s="294"/>
      <c r="O85" s="237">
        <f>SUM(O87:O89)</f>
        <v>0</v>
      </c>
      <c r="P85" s="269"/>
      <c r="Q85" s="7">
        <f>SUM(Q87:Q89)</f>
        <v>0</v>
      </c>
    </row>
    <row r="86" spans="1:17" ht="12.75" hidden="1">
      <c r="A86" s="9" t="s">
        <v>27</v>
      </c>
      <c r="B86" s="52"/>
      <c r="C86" s="106"/>
      <c r="D86" s="75"/>
      <c r="E86" s="168"/>
      <c r="F86" s="198"/>
      <c r="G86" s="211"/>
      <c r="H86" s="235"/>
      <c r="I86" s="181"/>
      <c r="J86" s="181"/>
      <c r="K86" s="276"/>
      <c r="L86" s="181"/>
      <c r="M86" s="211"/>
      <c r="N86" s="292"/>
      <c r="O86" s="235"/>
      <c r="P86" s="112"/>
      <c r="Q86" s="46"/>
    </row>
    <row r="87" spans="1:17" ht="12.75" hidden="1">
      <c r="A87" s="11" t="s">
        <v>50</v>
      </c>
      <c r="B87" s="54"/>
      <c r="C87" s="106"/>
      <c r="D87" s="75"/>
      <c r="E87" s="168"/>
      <c r="F87" s="198">
        <f>C87+D87+E87</f>
        <v>0</v>
      </c>
      <c r="G87" s="211"/>
      <c r="H87" s="235"/>
      <c r="I87" s="181">
        <f>F87+G87+H87</f>
        <v>0</v>
      </c>
      <c r="J87" s="181"/>
      <c r="K87" s="276"/>
      <c r="L87" s="181">
        <f>I87+J87+K87</f>
        <v>0</v>
      </c>
      <c r="M87" s="211"/>
      <c r="N87" s="292"/>
      <c r="O87" s="235">
        <f>L87+M87+N87</f>
        <v>0</v>
      </c>
      <c r="P87" s="112"/>
      <c r="Q87" s="46">
        <f t="shared" si="22"/>
        <v>0</v>
      </c>
    </row>
    <row r="88" spans="1:17" ht="12.75" hidden="1">
      <c r="A88" s="11" t="s">
        <v>25</v>
      </c>
      <c r="B88" s="54"/>
      <c r="C88" s="106"/>
      <c r="D88" s="75"/>
      <c r="E88" s="168"/>
      <c r="F88" s="198">
        <f>C88+D88+E88</f>
        <v>0</v>
      </c>
      <c r="G88" s="211"/>
      <c r="H88" s="235"/>
      <c r="I88" s="181">
        <f>F88+G88+H88</f>
        <v>0</v>
      </c>
      <c r="J88" s="181"/>
      <c r="K88" s="276"/>
      <c r="L88" s="181">
        <f>I88+J88+K88</f>
        <v>0</v>
      </c>
      <c r="M88" s="211"/>
      <c r="N88" s="292"/>
      <c r="O88" s="235">
        <f>L88+M88+N88</f>
        <v>0</v>
      </c>
      <c r="P88" s="112"/>
      <c r="Q88" s="46">
        <f t="shared" si="22"/>
        <v>0</v>
      </c>
    </row>
    <row r="89" spans="1:17" ht="12.75" hidden="1">
      <c r="A89" s="11" t="s">
        <v>42</v>
      </c>
      <c r="B89" s="54"/>
      <c r="C89" s="106"/>
      <c r="D89" s="75"/>
      <c r="E89" s="168"/>
      <c r="F89" s="198">
        <f>C89+D89+E89</f>
        <v>0</v>
      </c>
      <c r="G89" s="211"/>
      <c r="H89" s="235"/>
      <c r="I89" s="181">
        <f>F89+G89+H89</f>
        <v>0</v>
      </c>
      <c r="J89" s="181"/>
      <c r="K89" s="276"/>
      <c r="L89" s="181">
        <f>I89+J89+K89</f>
        <v>0</v>
      </c>
      <c r="M89" s="211"/>
      <c r="N89" s="292"/>
      <c r="O89" s="235">
        <f>L89+M89+N89</f>
        <v>0</v>
      </c>
      <c r="P89" s="112"/>
      <c r="Q89" s="46">
        <f t="shared" si="22"/>
        <v>0</v>
      </c>
    </row>
    <row r="90" spans="1:17" ht="16.5" thickBot="1">
      <c r="A90" s="16" t="s">
        <v>51</v>
      </c>
      <c r="B90" s="58"/>
      <c r="C90" s="130">
        <f aca="true" t="shared" si="23" ref="C90:Q90">C11+C16+C40+C67+C32+C85</f>
        <v>4320719.05</v>
      </c>
      <c r="D90" s="80">
        <f t="shared" si="23"/>
        <v>7197257.9</v>
      </c>
      <c r="E90" s="170">
        <f t="shared" si="23"/>
        <v>0</v>
      </c>
      <c r="F90" s="200">
        <f t="shared" si="23"/>
        <v>11517976.950000001</v>
      </c>
      <c r="G90" s="214">
        <f t="shared" si="23"/>
        <v>765931.69</v>
      </c>
      <c r="H90" s="238">
        <f t="shared" si="23"/>
        <v>27541.2</v>
      </c>
      <c r="I90" s="184">
        <f t="shared" si="23"/>
        <v>12311449.84</v>
      </c>
      <c r="J90" s="184">
        <f t="shared" si="23"/>
        <v>529460.1100000001</v>
      </c>
      <c r="K90" s="279">
        <f t="shared" si="23"/>
        <v>11856.48</v>
      </c>
      <c r="L90" s="184">
        <f t="shared" si="23"/>
        <v>12852766.43</v>
      </c>
      <c r="M90" s="214">
        <f t="shared" si="23"/>
        <v>527783.01</v>
      </c>
      <c r="N90" s="295">
        <f t="shared" si="23"/>
        <v>0</v>
      </c>
      <c r="O90" s="238">
        <f t="shared" si="23"/>
        <v>13380549.440000001</v>
      </c>
      <c r="P90" s="122">
        <f t="shared" si="23"/>
        <v>0</v>
      </c>
      <c r="Q90" s="79">
        <f t="shared" si="23"/>
        <v>9050413.56</v>
      </c>
    </row>
    <row r="91" spans="1:17" ht="12.75">
      <c r="A91" s="8" t="s">
        <v>52</v>
      </c>
      <c r="B91" s="51"/>
      <c r="C91" s="113"/>
      <c r="D91" s="75"/>
      <c r="E91" s="168"/>
      <c r="F91" s="198"/>
      <c r="G91" s="211"/>
      <c r="H91" s="235"/>
      <c r="I91" s="181"/>
      <c r="J91" s="181"/>
      <c r="K91" s="276"/>
      <c r="L91" s="181"/>
      <c r="M91" s="211"/>
      <c r="N91" s="292"/>
      <c r="O91" s="235"/>
      <c r="P91" s="112"/>
      <c r="Q91" s="46"/>
    </row>
    <row r="92" spans="1:17" ht="12.75">
      <c r="A92" s="8" t="s">
        <v>68</v>
      </c>
      <c r="B92" s="63"/>
      <c r="C92" s="113">
        <f>C93+C102</f>
        <v>95515</v>
      </c>
      <c r="D92" s="74">
        <f aca="true" t="shared" si="24" ref="D92:Q92">D93+D102</f>
        <v>72257.36</v>
      </c>
      <c r="E92" s="167">
        <f t="shared" si="24"/>
        <v>0</v>
      </c>
      <c r="F92" s="179">
        <f t="shared" si="24"/>
        <v>167772.36</v>
      </c>
      <c r="G92" s="210">
        <f t="shared" si="24"/>
        <v>10855.89</v>
      </c>
      <c r="H92" s="234">
        <f t="shared" si="24"/>
        <v>18478.440000000002</v>
      </c>
      <c r="I92" s="182">
        <f t="shared" si="24"/>
        <v>197106.69</v>
      </c>
      <c r="J92" s="182">
        <f t="shared" si="24"/>
        <v>2405.0200000000004</v>
      </c>
      <c r="K92" s="275">
        <f t="shared" si="24"/>
        <v>0</v>
      </c>
      <c r="L92" s="182">
        <f t="shared" si="24"/>
        <v>199511.71</v>
      </c>
      <c r="M92" s="210">
        <f t="shared" si="24"/>
        <v>579.26</v>
      </c>
      <c r="N92" s="291">
        <f t="shared" si="24"/>
        <v>0</v>
      </c>
      <c r="O92" s="234">
        <f t="shared" si="24"/>
        <v>200090.97</v>
      </c>
      <c r="P92" s="98">
        <f t="shared" si="24"/>
        <v>0</v>
      </c>
      <c r="Q92" s="73">
        <f t="shared" si="24"/>
        <v>122085.25</v>
      </c>
    </row>
    <row r="93" spans="1:17" ht="12.75">
      <c r="A93" s="17" t="s">
        <v>54</v>
      </c>
      <c r="B93" s="63"/>
      <c r="C93" s="131">
        <f>SUM(C95:C100)</f>
        <v>63515</v>
      </c>
      <c r="D93" s="82">
        <f aca="true" t="shared" si="25" ref="D93:Q93">SUM(D95:D100)</f>
        <v>7115.68</v>
      </c>
      <c r="E93" s="171">
        <f t="shared" si="25"/>
        <v>0</v>
      </c>
      <c r="F93" s="201">
        <f t="shared" si="25"/>
        <v>70630.68</v>
      </c>
      <c r="G93" s="215">
        <f t="shared" si="25"/>
        <v>50.72</v>
      </c>
      <c r="H93" s="239">
        <f t="shared" si="25"/>
        <v>0</v>
      </c>
      <c r="I93" s="185">
        <f t="shared" si="25"/>
        <v>70681.4</v>
      </c>
      <c r="J93" s="185">
        <f t="shared" si="25"/>
        <v>2405.0200000000004</v>
      </c>
      <c r="K93" s="280">
        <f t="shared" si="25"/>
        <v>0</v>
      </c>
      <c r="L93" s="185">
        <f t="shared" si="25"/>
        <v>73086.42</v>
      </c>
      <c r="M93" s="215">
        <f t="shared" si="25"/>
        <v>579.26</v>
      </c>
      <c r="N93" s="296">
        <f t="shared" si="25"/>
        <v>0</v>
      </c>
      <c r="O93" s="239">
        <f t="shared" si="25"/>
        <v>73665.68000000001</v>
      </c>
      <c r="P93" s="123">
        <f t="shared" si="25"/>
        <v>0</v>
      </c>
      <c r="Q93" s="81">
        <f t="shared" si="25"/>
        <v>18065.68</v>
      </c>
    </row>
    <row r="94" spans="1:17" ht="12.75">
      <c r="A94" s="13" t="s">
        <v>27</v>
      </c>
      <c r="B94" s="59"/>
      <c r="C94" s="106"/>
      <c r="D94" s="75"/>
      <c r="E94" s="168"/>
      <c r="F94" s="179"/>
      <c r="G94" s="211"/>
      <c r="H94" s="235"/>
      <c r="I94" s="182"/>
      <c r="J94" s="181"/>
      <c r="K94" s="276"/>
      <c r="L94" s="182"/>
      <c r="M94" s="211"/>
      <c r="N94" s="292"/>
      <c r="O94" s="234"/>
      <c r="P94" s="112"/>
      <c r="Q94" s="46"/>
    </row>
    <row r="95" spans="1:17" ht="12.75">
      <c r="A95" s="11" t="s">
        <v>56</v>
      </c>
      <c r="B95" s="59"/>
      <c r="C95" s="106">
        <v>12515</v>
      </c>
      <c r="D95" s="75"/>
      <c r="E95" s="168"/>
      <c r="F95" s="198">
        <v>12515</v>
      </c>
      <c r="G95" s="211"/>
      <c r="H95" s="235"/>
      <c r="I95" s="181">
        <f aca="true" t="shared" si="26" ref="I95:I101">F95+G95+H95</f>
        <v>12515</v>
      </c>
      <c r="J95" s="181">
        <f>-185-130</f>
        <v>-315</v>
      </c>
      <c r="K95" s="276"/>
      <c r="L95" s="181">
        <f aca="true" t="shared" si="27" ref="L95:L101">I95+J95+K95</f>
        <v>12200</v>
      </c>
      <c r="M95" s="211"/>
      <c r="N95" s="292"/>
      <c r="O95" s="235">
        <f aca="true" t="shared" si="28" ref="O95:O101">L95+M95+N95</f>
        <v>12200</v>
      </c>
      <c r="P95" s="112"/>
      <c r="Q95" s="46">
        <f t="shared" si="22"/>
        <v>12200</v>
      </c>
    </row>
    <row r="96" spans="1:17" ht="12.75" hidden="1">
      <c r="A96" s="11" t="s">
        <v>70</v>
      </c>
      <c r="B96" s="59"/>
      <c r="C96" s="106"/>
      <c r="D96" s="75"/>
      <c r="E96" s="168"/>
      <c r="F96" s="198">
        <f aca="true" t="shared" si="29" ref="F96:F101">C96+D96+E96</f>
        <v>0</v>
      </c>
      <c r="G96" s="211"/>
      <c r="H96" s="235"/>
      <c r="I96" s="181">
        <f t="shared" si="26"/>
        <v>0</v>
      </c>
      <c r="J96" s="181"/>
      <c r="K96" s="276"/>
      <c r="L96" s="181">
        <f t="shared" si="27"/>
        <v>0</v>
      </c>
      <c r="M96" s="211"/>
      <c r="N96" s="292"/>
      <c r="O96" s="235">
        <f t="shared" si="28"/>
        <v>0</v>
      </c>
      <c r="P96" s="112"/>
      <c r="Q96" s="46">
        <f t="shared" si="22"/>
        <v>0</v>
      </c>
    </row>
    <row r="97" spans="1:17" ht="12.75">
      <c r="A97" s="15" t="s">
        <v>228</v>
      </c>
      <c r="B97" s="59"/>
      <c r="C97" s="106">
        <v>51000</v>
      </c>
      <c r="D97" s="75">
        <f>4600</f>
        <v>4600</v>
      </c>
      <c r="E97" s="168"/>
      <c r="F97" s="198">
        <f t="shared" si="29"/>
        <v>55600</v>
      </c>
      <c r="G97" s="211"/>
      <c r="H97" s="235"/>
      <c r="I97" s="181">
        <f t="shared" si="26"/>
        <v>55600</v>
      </c>
      <c r="J97" s="181"/>
      <c r="K97" s="276"/>
      <c r="L97" s="181">
        <f t="shared" si="27"/>
        <v>55600</v>
      </c>
      <c r="M97" s="211"/>
      <c r="N97" s="292"/>
      <c r="O97" s="235">
        <f t="shared" si="28"/>
        <v>55600</v>
      </c>
      <c r="P97" s="112"/>
      <c r="Q97" s="46"/>
    </row>
    <row r="98" spans="1:17" ht="12.75">
      <c r="A98" s="11" t="s">
        <v>71</v>
      </c>
      <c r="B98" s="59">
        <v>98278</v>
      </c>
      <c r="C98" s="106"/>
      <c r="D98" s="75">
        <f>15.68</f>
        <v>15.68</v>
      </c>
      <c r="E98" s="168"/>
      <c r="F98" s="198">
        <f t="shared" si="29"/>
        <v>15.68</v>
      </c>
      <c r="G98" s="211">
        <f>21.42+29.3</f>
        <v>50.72</v>
      </c>
      <c r="H98" s="235"/>
      <c r="I98" s="181">
        <f t="shared" si="26"/>
        <v>66.4</v>
      </c>
      <c r="J98" s="181">
        <f>18.22+33.26+30.89+30+3.5+15.84+53+373.82+10.5+20.72+28.26+691.96+30.89</f>
        <v>1340.8600000000001</v>
      </c>
      <c r="K98" s="276"/>
      <c r="L98" s="181">
        <f t="shared" si="27"/>
        <v>1407.2600000000002</v>
      </c>
      <c r="M98" s="211">
        <f>24+13.5+16.25+24.04+25+38.02+7+44.25</f>
        <v>192.06</v>
      </c>
      <c r="N98" s="292"/>
      <c r="O98" s="235">
        <f t="shared" si="28"/>
        <v>1599.3200000000002</v>
      </c>
      <c r="P98" s="112"/>
      <c r="Q98" s="46">
        <f t="shared" si="22"/>
        <v>1599.3200000000002</v>
      </c>
    </row>
    <row r="99" spans="1:17" ht="12.75">
      <c r="A99" s="11" t="s">
        <v>85</v>
      </c>
      <c r="B99" s="59"/>
      <c r="C99" s="106"/>
      <c r="D99" s="75"/>
      <c r="E99" s="168"/>
      <c r="F99" s="198">
        <f t="shared" si="29"/>
        <v>0</v>
      </c>
      <c r="G99" s="211"/>
      <c r="H99" s="235"/>
      <c r="I99" s="181">
        <f t="shared" si="26"/>
        <v>0</v>
      </c>
      <c r="J99" s="181">
        <f>1379.16</f>
        <v>1379.16</v>
      </c>
      <c r="K99" s="276"/>
      <c r="L99" s="181">
        <f t="shared" si="27"/>
        <v>1379.16</v>
      </c>
      <c r="M99" s="211">
        <f>387.2</f>
        <v>387.2</v>
      </c>
      <c r="N99" s="292"/>
      <c r="O99" s="235">
        <f t="shared" si="28"/>
        <v>1766.3600000000001</v>
      </c>
      <c r="P99" s="112"/>
      <c r="Q99" s="46">
        <f t="shared" si="22"/>
        <v>1766.3600000000001</v>
      </c>
    </row>
    <row r="100" spans="1:17" ht="12.75">
      <c r="A100" s="10" t="s">
        <v>72</v>
      </c>
      <c r="B100" s="59"/>
      <c r="C100" s="106"/>
      <c r="D100" s="75">
        <f>2500</f>
        <v>2500</v>
      </c>
      <c r="E100" s="168"/>
      <c r="F100" s="198">
        <f t="shared" si="29"/>
        <v>2500</v>
      </c>
      <c r="G100" s="211"/>
      <c r="H100" s="235"/>
      <c r="I100" s="181">
        <f t="shared" si="26"/>
        <v>2500</v>
      </c>
      <c r="J100" s="181"/>
      <c r="K100" s="276"/>
      <c r="L100" s="181">
        <f t="shared" si="27"/>
        <v>2500</v>
      </c>
      <c r="M100" s="211"/>
      <c r="N100" s="292"/>
      <c r="O100" s="235">
        <f t="shared" si="28"/>
        <v>2500</v>
      </c>
      <c r="P100" s="112"/>
      <c r="Q100" s="46">
        <f t="shared" si="22"/>
        <v>2500</v>
      </c>
    </row>
    <row r="101" spans="1:17" ht="12.75">
      <c r="A101" s="10" t="s">
        <v>73</v>
      </c>
      <c r="B101" s="59"/>
      <c r="C101" s="106"/>
      <c r="D101" s="75">
        <v>2500</v>
      </c>
      <c r="E101" s="168"/>
      <c r="F101" s="198">
        <f t="shared" si="29"/>
        <v>2500</v>
      </c>
      <c r="G101" s="211"/>
      <c r="H101" s="235"/>
      <c r="I101" s="181">
        <f t="shared" si="26"/>
        <v>2500</v>
      </c>
      <c r="J101" s="181"/>
      <c r="K101" s="276"/>
      <c r="L101" s="181">
        <f t="shared" si="27"/>
        <v>2500</v>
      </c>
      <c r="M101" s="211"/>
      <c r="N101" s="292"/>
      <c r="O101" s="235">
        <f t="shared" si="28"/>
        <v>2500</v>
      </c>
      <c r="P101" s="112"/>
      <c r="Q101" s="46">
        <f t="shared" si="22"/>
        <v>2500</v>
      </c>
    </row>
    <row r="102" spans="1:17" ht="12.75">
      <c r="A102" s="18" t="s">
        <v>59</v>
      </c>
      <c r="B102" s="63"/>
      <c r="C102" s="133">
        <f>SUM(C104:C110)</f>
        <v>32000</v>
      </c>
      <c r="D102" s="85">
        <f aca="true" t="shared" si="30" ref="D102:Q102">SUM(D104:D110)</f>
        <v>65141.68</v>
      </c>
      <c r="E102" s="172">
        <f t="shared" si="30"/>
        <v>0</v>
      </c>
      <c r="F102" s="202">
        <f t="shared" si="30"/>
        <v>97141.68</v>
      </c>
      <c r="G102" s="216">
        <f t="shared" si="30"/>
        <v>10805.17</v>
      </c>
      <c r="H102" s="240">
        <f t="shared" si="30"/>
        <v>18478.440000000002</v>
      </c>
      <c r="I102" s="186">
        <f t="shared" si="30"/>
        <v>126425.29</v>
      </c>
      <c r="J102" s="186">
        <f t="shared" si="30"/>
        <v>0</v>
      </c>
      <c r="K102" s="281">
        <f t="shared" si="30"/>
        <v>0</v>
      </c>
      <c r="L102" s="186">
        <f t="shared" si="30"/>
        <v>126425.29</v>
      </c>
      <c r="M102" s="216">
        <f t="shared" si="30"/>
        <v>0</v>
      </c>
      <c r="N102" s="297">
        <f t="shared" si="30"/>
        <v>0</v>
      </c>
      <c r="O102" s="240">
        <f t="shared" si="30"/>
        <v>126425.29</v>
      </c>
      <c r="P102" s="124">
        <f t="shared" si="30"/>
        <v>0</v>
      </c>
      <c r="Q102" s="84">
        <f t="shared" si="30"/>
        <v>104019.56999999999</v>
      </c>
    </row>
    <row r="103" spans="1:17" ht="12.75">
      <c r="A103" s="9" t="s">
        <v>27</v>
      </c>
      <c r="B103" s="59"/>
      <c r="C103" s="100"/>
      <c r="D103" s="78"/>
      <c r="E103" s="169"/>
      <c r="F103" s="199"/>
      <c r="G103" s="213"/>
      <c r="H103" s="237"/>
      <c r="I103" s="183"/>
      <c r="J103" s="183"/>
      <c r="K103" s="278"/>
      <c r="L103" s="183"/>
      <c r="M103" s="213"/>
      <c r="N103" s="294"/>
      <c r="O103" s="237"/>
      <c r="P103" s="112"/>
      <c r="Q103" s="46"/>
    </row>
    <row r="104" spans="1:17" ht="12.75">
      <c r="A104" s="10" t="s">
        <v>74</v>
      </c>
      <c r="B104" s="59"/>
      <c r="C104" s="106"/>
      <c r="D104" s="75">
        <f>15437.75+10000</f>
        <v>25437.75</v>
      </c>
      <c r="E104" s="168"/>
      <c r="F104" s="198">
        <f aca="true" t="shared" si="31" ref="F104:F111">C104+D104+E104</f>
        <v>25437.75</v>
      </c>
      <c r="G104" s="211">
        <f>805.17+10000</f>
        <v>10805.17</v>
      </c>
      <c r="H104" s="235"/>
      <c r="I104" s="181">
        <f>F104+G104+H104</f>
        <v>36242.92</v>
      </c>
      <c r="J104" s="181"/>
      <c r="K104" s="276"/>
      <c r="L104" s="181">
        <f>I104+J104+K104</f>
        <v>36242.92</v>
      </c>
      <c r="M104" s="211"/>
      <c r="N104" s="292"/>
      <c r="O104" s="235">
        <f>L104+M104+N104</f>
        <v>36242.92</v>
      </c>
      <c r="P104" s="112"/>
      <c r="Q104" s="46">
        <f t="shared" si="22"/>
        <v>36242.92</v>
      </c>
    </row>
    <row r="105" spans="1:17" ht="12.75">
      <c r="A105" s="15" t="s">
        <v>277</v>
      </c>
      <c r="B105" s="59"/>
      <c r="C105" s="106"/>
      <c r="D105" s="75">
        <f>20000</f>
        <v>20000</v>
      </c>
      <c r="E105" s="168"/>
      <c r="F105" s="198">
        <f t="shared" si="31"/>
        <v>20000</v>
      </c>
      <c r="G105" s="211"/>
      <c r="H105" s="235"/>
      <c r="I105" s="181">
        <f aca="true" t="shared" si="32" ref="I105:I110">F105+G105+H105</f>
        <v>20000</v>
      </c>
      <c r="J105" s="181"/>
      <c r="K105" s="276"/>
      <c r="L105" s="181">
        <f aca="true" t="shared" si="33" ref="L105:L110">I105+J105+K105</f>
        <v>20000</v>
      </c>
      <c r="M105" s="211"/>
      <c r="N105" s="292"/>
      <c r="O105" s="235">
        <f aca="true" t="shared" si="34" ref="O105:O110">L105+M105+N105</f>
        <v>20000</v>
      </c>
      <c r="P105" s="112"/>
      <c r="Q105" s="46"/>
    </row>
    <row r="106" spans="1:17" ht="12.75" hidden="1">
      <c r="A106" s="10" t="s">
        <v>60</v>
      </c>
      <c r="B106" s="59"/>
      <c r="C106" s="106"/>
      <c r="D106" s="75"/>
      <c r="E106" s="168"/>
      <c r="F106" s="198">
        <f t="shared" si="31"/>
        <v>0</v>
      </c>
      <c r="G106" s="211"/>
      <c r="H106" s="235"/>
      <c r="I106" s="181">
        <f t="shared" si="32"/>
        <v>0</v>
      </c>
      <c r="J106" s="181"/>
      <c r="K106" s="276"/>
      <c r="L106" s="181">
        <f t="shared" si="33"/>
        <v>0</v>
      </c>
      <c r="M106" s="211"/>
      <c r="N106" s="292"/>
      <c r="O106" s="235">
        <f t="shared" si="34"/>
        <v>0</v>
      </c>
      <c r="P106" s="112"/>
      <c r="Q106" s="46"/>
    </row>
    <row r="107" spans="1:17" ht="12.75" hidden="1">
      <c r="A107" s="11" t="s">
        <v>227</v>
      </c>
      <c r="B107" s="59"/>
      <c r="C107" s="106"/>
      <c r="D107" s="75"/>
      <c r="E107" s="168"/>
      <c r="F107" s="198">
        <f t="shared" si="31"/>
        <v>0</v>
      </c>
      <c r="G107" s="211"/>
      <c r="H107" s="235"/>
      <c r="I107" s="181">
        <f t="shared" si="32"/>
        <v>0</v>
      </c>
      <c r="J107" s="181"/>
      <c r="K107" s="276"/>
      <c r="L107" s="181">
        <f t="shared" si="33"/>
        <v>0</v>
      </c>
      <c r="M107" s="211"/>
      <c r="N107" s="292"/>
      <c r="O107" s="235">
        <f t="shared" si="34"/>
        <v>0</v>
      </c>
      <c r="P107" s="112"/>
      <c r="Q107" s="46"/>
    </row>
    <row r="108" spans="1:17" ht="12.75" hidden="1">
      <c r="A108" s="11" t="s">
        <v>85</v>
      </c>
      <c r="B108" s="59"/>
      <c r="C108" s="106"/>
      <c r="D108" s="75"/>
      <c r="E108" s="168"/>
      <c r="F108" s="198">
        <f t="shared" si="31"/>
        <v>0</v>
      </c>
      <c r="G108" s="211"/>
      <c r="H108" s="235"/>
      <c r="I108" s="181">
        <f t="shared" si="32"/>
        <v>0</v>
      </c>
      <c r="J108" s="181"/>
      <c r="K108" s="276"/>
      <c r="L108" s="181">
        <f t="shared" si="33"/>
        <v>0</v>
      </c>
      <c r="M108" s="211"/>
      <c r="N108" s="292"/>
      <c r="O108" s="235">
        <f t="shared" si="34"/>
        <v>0</v>
      </c>
      <c r="P108" s="112"/>
      <c r="Q108" s="46">
        <f t="shared" si="22"/>
        <v>0</v>
      </c>
    </row>
    <row r="109" spans="1:17" ht="12.75">
      <c r="A109" s="11" t="s">
        <v>284</v>
      </c>
      <c r="B109" s="59">
        <v>1011</v>
      </c>
      <c r="C109" s="106">
        <v>2000</v>
      </c>
      <c r="D109" s="75"/>
      <c r="E109" s="168"/>
      <c r="F109" s="198">
        <f t="shared" si="31"/>
        <v>2000</v>
      </c>
      <c r="G109" s="211"/>
      <c r="H109" s="235">
        <v>405.72</v>
      </c>
      <c r="I109" s="181">
        <f t="shared" si="32"/>
        <v>2405.7200000000003</v>
      </c>
      <c r="J109" s="181"/>
      <c r="K109" s="276"/>
      <c r="L109" s="181">
        <f t="shared" si="33"/>
        <v>2405.7200000000003</v>
      </c>
      <c r="M109" s="211"/>
      <c r="N109" s="292"/>
      <c r="O109" s="235">
        <f t="shared" si="34"/>
        <v>2405.7200000000003</v>
      </c>
      <c r="P109" s="112"/>
      <c r="Q109" s="46"/>
    </row>
    <row r="110" spans="1:17" ht="12.75">
      <c r="A110" s="10" t="s">
        <v>72</v>
      </c>
      <c r="B110" s="59"/>
      <c r="C110" s="106">
        <v>30000</v>
      </c>
      <c r="D110" s="75">
        <f>19388.73+315.2</f>
        <v>19703.93</v>
      </c>
      <c r="E110" s="168"/>
      <c r="F110" s="198">
        <f t="shared" si="31"/>
        <v>49703.93</v>
      </c>
      <c r="G110" s="211"/>
      <c r="H110" s="235">
        <f>18072.72</f>
        <v>18072.72</v>
      </c>
      <c r="I110" s="181">
        <f t="shared" si="32"/>
        <v>67776.65</v>
      </c>
      <c r="J110" s="181"/>
      <c r="K110" s="276"/>
      <c r="L110" s="181">
        <f t="shared" si="33"/>
        <v>67776.65</v>
      </c>
      <c r="M110" s="211"/>
      <c r="N110" s="292"/>
      <c r="O110" s="235">
        <f t="shared" si="34"/>
        <v>67776.65</v>
      </c>
      <c r="P110" s="112"/>
      <c r="Q110" s="46">
        <f t="shared" si="22"/>
        <v>67776.65</v>
      </c>
    </row>
    <row r="111" spans="1:17" ht="12.75">
      <c r="A111" s="19" t="s">
        <v>75</v>
      </c>
      <c r="B111" s="62"/>
      <c r="C111" s="132"/>
      <c r="D111" s="83">
        <f>19388.73+315.2</f>
        <v>19703.93</v>
      </c>
      <c r="E111" s="192"/>
      <c r="F111" s="203">
        <f t="shared" si="31"/>
        <v>19703.93</v>
      </c>
      <c r="G111" s="217">
        <f>12547.5</f>
        <v>12547.5</v>
      </c>
      <c r="H111" s="233">
        <f>3629</f>
        <v>3629</v>
      </c>
      <c r="I111" s="187">
        <f>F111+G111+H111</f>
        <v>35880.43</v>
      </c>
      <c r="J111" s="187"/>
      <c r="K111" s="282"/>
      <c r="L111" s="187">
        <f>I111+J111+K111</f>
        <v>35880.43</v>
      </c>
      <c r="M111" s="217"/>
      <c r="N111" s="298"/>
      <c r="O111" s="233">
        <f>L111+M111+N111</f>
        <v>35880.43</v>
      </c>
      <c r="P111" s="270"/>
      <c r="Q111" s="48">
        <f t="shared" si="22"/>
        <v>35880.43</v>
      </c>
    </row>
    <row r="112" spans="1:17" ht="12.75">
      <c r="A112" s="12" t="s">
        <v>76</v>
      </c>
      <c r="B112" s="63"/>
      <c r="C112" s="100">
        <f>C113+C119</f>
        <v>10484</v>
      </c>
      <c r="D112" s="78">
        <f aca="true" t="shared" si="35" ref="D112:Q112">D113+D119</f>
        <v>2843.67</v>
      </c>
      <c r="E112" s="169">
        <f t="shared" si="35"/>
        <v>0</v>
      </c>
      <c r="F112" s="199">
        <f t="shared" si="35"/>
        <v>13327.67</v>
      </c>
      <c r="G112" s="213">
        <f t="shared" si="35"/>
        <v>520</v>
      </c>
      <c r="H112" s="237">
        <f t="shared" si="35"/>
        <v>0</v>
      </c>
      <c r="I112" s="183">
        <f t="shared" si="35"/>
        <v>13847.67</v>
      </c>
      <c r="J112" s="183">
        <f t="shared" si="35"/>
        <v>0</v>
      </c>
      <c r="K112" s="278">
        <f t="shared" si="35"/>
        <v>0</v>
      </c>
      <c r="L112" s="183">
        <f t="shared" si="35"/>
        <v>13847.67</v>
      </c>
      <c r="M112" s="213">
        <f t="shared" si="35"/>
        <v>-103</v>
      </c>
      <c r="N112" s="294">
        <f t="shared" si="35"/>
        <v>0</v>
      </c>
      <c r="O112" s="237">
        <f t="shared" si="35"/>
        <v>13744.67</v>
      </c>
      <c r="P112" s="121">
        <f t="shared" si="35"/>
        <v>0</v>
      </c>
      <c r="Q112" s="77">
        <f t="shared" si="35"/>
        <v>13744.67</v>
      </c>
    </row>
    <row r="113" spans="1:17" ht="12.75">
      <c r="A113" s="17" t="s">
        <v>54</v>
      </c>
      <c r="B113" s="63"/>
      <c r="C113" s="131">
        <f>SUM(C115:C118)</f>
        <v>10484</v>
      </c>
      <c r="D113" s="82">
        <f aca="true" t="shared" si="36" ref="D113:Q113">SUM(D115:D118)</f>
        <v>2843.67</v>
      </c>
      <c r="E113" s="171">
        <f t="shared" si="36"/>
        <v>0</v>
      </c>
      <c r="F113" s="201">
        <f t="shared" si="36"/>
        <v>13327.67</v>
      </c>
      <c r="G113" s="215">
        <f t="shared" si="36"/>
        <v>520</v>
      </c>
      <c r="H113" s="239">
        <f t="shared" si="36"/>
        <v>0</v>
      </c>
      <c r="I113" s="185">
        <f t="shared" si="36"/>
        <v>13847.67</v>
      </c>
      <c r="J113" s="185">
        <f t="shared" si="36"/>
        <v>0</v>
      </c>
      <c r="K113" s="280">
        <f t="shared" si="36"/>
        <v>0</v>
      </c>
      <c r="L113" s="185">
        <f t="shared" si="36"/>
        <v>13847.67</v>
      </c>
      <c r="M113" s="215">
        <f t="shared" si="36"/>
        <v>-103</v>
      </c>
      <c r="N113" s="296">
        <f t="shared" si="36"/>
        <v>0</v>
      </c>
      <c r="O113" s="239">
        <f t="shared" si="36"/>
        <v>13744.67</v>
      </c>
      <c r="P113" s="123">
        <f t="shared" si="36"/>
        <v>0</v>
      </c>
      <c r="Q113" s="81">
        <f t="shared" si="36"/>
        <v>13744.67</v>
      </c>
    </row>
    <row r="114" spans="1:17" ht="12.75">
      <c r="A114" s="13" t="s">
        <v>27</v>
      </c>
      <c r="B114" s="59"/>
      <c r="C114" s="106"/>
      <c r="D114" s="75"/>
      <c r="E114" s="168"/>
      <c r="F114" s="179"/>
      <c r="G114" s="211"/>
      <c r="H114" s="235"/>
      <c r="I114" s="182"/>
      <c r="J114" s="181"/>
      <c r="K114" s="276"/>
      <c r="L114" s="182"/>
      <c r="M114" s="211"/>
      <c r="N114" s="292"/>
      <c r="O114" s="234"/>
      <c r="P114" s="112"/>
      <c r="Q114" s="46"/>
    </row>
    <row r="115" spans="1:17" ht="12.75">
      <c r="A115" s="11" t="s">
        <v>56</v>
      </c>
      <c r="B115" s="59"/>
      <c r="C115" s="106">
        <v>10484</v>
      </c>
      <c r="D115" s="75">
        <f>1285.67+185</f>
        <v>1470.67</v>
      </c>
      <c r="E115" s="168"/>
      <c r="F115" s="198">
        <f>C115+D115+E115</f>
        <v>11954.67</v>
      </c>
      <c r="G115" s="211"/>
      <c r="H115" s="235"/>
      <c r="I115" s="181">
        <f>SUM(F115:H115)</f>
        <v>11954.67</v>
      </c>
      <c r="J115" s="181"/>
      <c r="K115" s="276"/>
      <c r="L115" s="181">
        <f>I115+J115+K115</f>
        <v>11954.67</v>
      </c>
      <c r="M115" s="211">
        <f>-50</f>
        <v>-50</v>
      </c>
      <c r="N115" s="292"/>
      <c r="O115" s="235">
        <f>L115+M115+N115</f>
        <v>11904.67</v>
      </c>
      <c r="P115" s="112"/>
      <c r="Q115" s="46">
        <f t="shared" si="22"/>
        <v>11904.67</v>
      </c>
    </row>
    <row r="116" spans="1:17" ht="12.75" hidden="1">
      <c r="A116" s="24" t="s">
        <v>322</v>
      </c>
      <c r="B116" s="59"/>
      <c r="C116" s="106"/>
      <c r="D116" s="75"/>
      <c r="E116" s="168"/>
      <c r="F116" s="198">
        <f>C116+D116+E116</f>
        <v>0</v>
      </c>
      <c r="G116" s="211"/>
      <c r="H116" s="235"/>
      <c r="I116" s="181">
        <f>SUM(F116:H116)</f>
        <v>0</v>
      </c>
      <c r="J116" s="181"/>
      <c r="K116" s="276"/>
      <c r="L116" s="181">
        <f>I116+J116+K116</f>
        <v>0</v>
      </c>
      <c r="M116" s="211"/>
      <c r="N116" s="292"/>
      <c r="O116" s="235"/>
      <c r="P116" s="112"/>
      <c r="Q116" s="46"/>
    </row>
    <row r="117" spans="1:17" ht="12.75">
      <c r="A117" s="22" t="s">
        <v>77</v>
      </c>
      <c r="B117" s="62">
        <v>33166</v>
      </c>
      <c r="C117" s="132"/>
      <c r="D117" s="83">
        <f>1373</f>
        <v>1373</v>
      </c>
      <c r="E117" s="192"/>
      <c r="F117" s="203">
        <f>C117+D117+E117</f>
        <v>1373</v>
      </c>
      <c r="G117" s="217">
        <f>520</f>
        <v>520</v>
      </c>
      <c r="H117" s="233"/>
      <c r="I117" s="187">
        <f>SUM(F117:H117)</f>
        <v>1893</v>
      </c>
      <c r="J117" s="187"/>
      <c r="K117" s="282"/>
      <c r="L117" s="187">
        <f>I117+J117+K117</f>
        <v>1893</v>
      </c>
      <c r="M117" s="217">
        <f>-53</f>
        <v>-53</v>
      </c>
      <c r="N117" s="298"/>
      <c r="O117" s="233">
        <f>L117+M117+N117</f>
        <v>1840</v>
      </c>
      <c r="P117" s="112"/>
      <c r="Q117" s="46">
        <f t="shared" si="22"/>
        <v>1840</v>
      </c>
    </row>
    <row r="118" spans="1:17" ht="12.75" hidden="1">
      <c r="A118" s="15" t="s">
        <v>70</v>
      </c>
      <c r="B118" s="59"/>
      <c r="C118" s="106"/>
      <c r="D118" s="75"/>
      <c r="E118" s="168"/>
      <c r="F118" s="198">
        <f>C118+D118+E118</f>
        <v>0</v>
      </c>
      <c r="G118" s="211"/>
      <c r="H118" s="235"/>
      <c r="I118" s="181">
        <f>SUM(F118:H118)</f>
        <v>0</v>
      </c>
      <c r="J118" s="181"/>
      <c r="K118" s="276"/>
      <c r="L118" s="181">
        <f>I118+J118+K118</f>
        <v>0</v>
      </c>
      <c r="M118" s="211"/>
      <c r="N118" s="292"/>
      <c r="O118" s="235">
        <f>L118+M118+N118</f>
        <v>0</v>
      </c>
      <c r="P118" s="112"/>
      <c r="Q118" s="46">
        <f t="shared" si="22"/>
        <v>0</v>
      </c>
    </row>
    <row r="119" spans="1:17" ht="12.75" hidden="1">
      <c r="A119" s="17" t="s">
        <v>59</v>
      </c>
      <c r="B119" s="63"/>
      <c r="C119" s="131">
        <f>C121</f>
        <v>0</v>
      </c>
      <c r="D119" s="82">
        <f aca="true" t="shared" si="37" ref="D119:Q119">D121</f>
        <v>0</v>
      </c>
      <c r="E119" s="171">
        <f t="shared" si="37"/>
        <v>0</v>
      </c>
      <c r="F119" s="201">
        <f t="shared" si="37"/>
        <v>0</v>
      </c>
      <c r="G119" s="215">
        <f t="shared" si="37"/>
        <v>0</v>
      </c>
      <c r="H119" s="239">
        <f t="shared" si="37"/>
        <v>0</v>
      </c>
      <c r="I119" s="185">
        <f t="shared" si="37"/>
        <v>0</v>
      </c>
      <c r="J119" s="185">
        <f t="shared" si="37"/>
        <v>0</v>
      </c>
      <c r="K119" s="280">
        <f t="shared" si="37"/>
        <v>0</v>
      </c>
      <c r="L119" s="185">
        <f t="shared" si="37"/>
        <v>0</v>
      </c>
      <c r="M119" s="215">
        <f t="shared" si="37"/>
        <v>0</v>
      </c>
      <c r="N119" s="296">
        <f t="shared" si="37"/>
        <v>0</v>
      </c>
      <c r="O119" s="239">
        <f t="shared" si="37"/>
        <v>0</v>
      </c>
      <c r="P119" s="123">
        <f t="shared" si="37"/>
        <v>0</v>
      </c>
      <c r="Q119" s="81">
        <f t="shared" si="37"/>
        <v>0</v>
      </c>
    </row>
    <row r="120" spans="1:17" ht="12.75" hidden="1">
      <c r="A120" s="13" t="s">
        <v>27</v>
      </c>
      <c r="B120" s="59"/>
      <c r="C120" s="106"/>
      <c r="D120" s="75"/>
      <c r="E120" s="168"/>
      <c r="F120" s="179"/>
      <c r="G120" s="211"/>
      <c r="H120" s="235"/>
      <c r="I120" s="182"/>
      <c r="J120" s="181"/>
      <c r="K120" s="276"/>
      <c r="L120" s="182"/>
      <c r="M120" s="211"/>
      <c r="N120" s="292"/>
      <c r="O120" s="234"/>
      <c r="P120" s="112"/>
      <c r="Q120" s="46"/>
    </row>
    <row r="121" spans="1:17" ht="12.75" hidden="1">
      <c r="A121" s="14" t="s">
        <v>178</v>
      </c>
      <c r="B121" s="62"/>
      <c r="C121" s="132"/>
      <c r="D121" s="83"/>
      <c r="E121" s="192"/>
      <c r="F121" s="203">
        <f>C121+D121+E121</f>
        <v>0</v>
      </c>
      <c r="G121" s="217"/>
      <c r="H121" s="233"/>
      <c r="I121" s="188"/>
      <c r="J121" s="187"/>
      <c r="K121" s="282"/>
      <c r="L121" s="187">
        <f>I121+J121+K121</f>
        <v>0</v>
      </c>
      <c r="M121" s="217"/>
      <c r="N121" s="298"/>
      <c r="O121" s="233">
        <f>L121+M121+N121</f>
        <v>0</v>
      </c>
      <c r="P121" s="270"/>
      <c r="Q121" s="48">
        <f t="shared" si="22"/>
        <v>0</v>
      </c>
    </row>
    <row r="122" spans="1:17" ht="12.75">
      <c r="A122" s="8" t="s">
        <v>78</v>
      </c>
      <c r="B122" s="63"/>
      <c r="C122" s="113">
        <f>C123+C135</f>
        <v>1227223.9</v>
      </c>
      <c r="D122" s="74">
        <f aca="true" t="shared" si="38" ref="D122:Q122">D123+D135</f>
        <v>294323.48000000004</v>
      </c>
      <c r="E122" s="167">
        <f t="shared" si="38"/>
        <v>0</v>
      </c>
      <c r="F122" s="179">
        <f t="shared" si="38"/>
        <v>1521547.3800000001</v>
      </c>
      <c r="G122" s="210">
        <f t="shared" si="38"/>
        <v>68171.44</v>
      </c>
      <c r="H122" s="234">
        <f t="shared" si="38"/>
        <v>0</v>
      </c>
      <c r="I122" s="182">
        <f t="shared" si="38"/>
        <v>1589718.82</v>
      </c>
      <c r="J122" s="182">
        <f t="shared" si="38"/>
        <v>7219.68</v>
      </c>
      <c r="K122" s="275">
        <f t="shared" si="38"/>
        <v>0</v>
      </c>
      <c r="L122" s="182">
        <f t="shared" si="38"/>
        <v>1596938.5</v>
      </c>
      <c r="M122" s="210">
        <f t="shared" si="38"/>
        <v>16166.119999999999</v>
      </c>
      <c r="N122" s="291">
        <f t="shared" si="38"/>
        <v>0</v>
      </c>
      <c r="O122" s="234">
        <f t="shared" si="38"/>
        <v>1613104.62</v>
      </c>
      <c r="P122" s="98">
        <f t="shared" si="38"/>
        <v>0</v>
      </c>
      <c r="Q122" s="73">
        <f t="shared" si="38"/>
        <v>1613104.62</v>
      </c>
    </row>
    <row r="123" spans="1:17" ht="12.75">
      <c r="A123" s="17" t="s">
        <v>54</v>
      </c>
      <c r="B123" s="63"/>
      <c r="C123" s="131">
        <f>SUM(C126:C134)</f>
        <v>1211223.9</v>
      </c>
      <c r="D123" s="82">
        <f aca="true" t="shared" si="39" ref="D123:Q123">SUM(D126:D134)</f>
        <v>290520.62000000005</v>
      </c>
      <c r="E123" s="171">
        <f t="shared" si="39"/>
        <v>0</v>
      </c>
      <c r="F123" s="201">
        <f t="shared" si="39"/>
        <v>1501744.52</v>
      </c>
      <c r="G123" s="215">
        <f t="shared" si="39"/>
        <v>76774.44</v>
      </c>
      <c r="H123" s="239">
        <f t="shared" si="39"/>
        <v>0</v>
      </c>
      <c r="I123" s="185">
        <f t="shared" si="39"/>
        <v>1578518.96</v>
      </c>
      <c r="J123" s="185">
        <f t="shared" si="39"/>
        <v>10511.18</v>
      </c>
      <c r="K123" s="280">
        <f t="shared" si="39"/>
        <v>0</v>
      </c>
      <c r="L123" s="185">
        <f t="shared" si="39"/>
        <v>1589030.14</v>
      </c>
      <c r="M123" s="215">
        <f t="shared" si="39"/>
        <v>15362.9</v>
      </c>
      <c r="N123" s="296">
        <f t="shared" si="39"/>
        <v>0</v>
      </c>
      <c r="O123" s="239">
        <f t="shared" si="39"/>
        <v>1604393.04</v>
      </c>
      <c r="P123" s="123">
        <f t="shared" si="39"/>
        <v>0</v>
      </c>
      <c r="Q123" s="81">
        <f t="shared" si="39"/>
        <v>1604393.04</v>
      </c>
    </row>
    <row r="124" spans="1:17" ht="12.75">
      <c r="A124" s="13" t="s">
        <v>27</v>
      </c>
      <c r="B124" s="59"/>
      <c r="C124" s="106"/>
      <c r="D124" s="75"/>
      <c r="E124" s="168"/>
      <c r="F124" s="179"/>
      <c r="G124" s="211"/>
      <c r="H124" s="235"/>
      <c r="I124" s="182"/>
      <c r="J124" s="181"/>
      <c r="K124" s="276"/>
      <c r="L124" s="182"/>
      <c r="M124" s="211"/>
      <c r="N124" s="292"/>
      <c r="O124" s="234"/>
      <c r="P124" s="112"/>
      <c r="Q124" s="46"/>
    </row>
    <row r="125" spans="1:17" ht="12.75">
      <c r="A125" s="15" t="s">
        <v>79</v>
      </c>
      <c r="B125" s="59"/>
      <c r="C125" s="106">
        <f>C126+C127</f>
        <v>734071</v>
      </c>
      <c r="D125" s="75">
        <f>D126+D127</f>
        <v>20111.829999999998</v>
      </c>
      <c r="E125" s="168">
        <f>E126+E127</f>
        <v>-595.71</v>
      </c>
      <c r="F125" s="198">
        <f>F126+F127</f>
        <v>753587.12</v>
      </c>
      <c r="G125" s="211"/>
      <c r="H125" s="235"/>
      <c r="I125" s="181">
        <f>I126+I127</f>
        <v>755901.01</v>
      </c>
      <c r="J125" s="181"/>
      <c r="K125" s="276"/>
      <c r="L125" s="181">
        <f>L126+L127</f>
        <v>756251.01</v>
      </c>
      <c r="M125" s="211"/>
      <c r="N125" s="292"/>
      <c r="O125" s="235">
        <f>O126+O127</f>
        <v>756251.01</v>
      </c>
      <c r="P125" s="112"/>
      <c r="Q125" s="46">
        <f t="shared" si="22"/>
        <v>756251.01</v>
      </c>
    </row>
    <row r="126" spans="1:17" ht="12.75">
      <c r="A126" s="15" t="s">
        <v>80</v>
      </c>
      <c r="B126" s="59"/>
      <c r="C126" s="106">
        <v>354000</v>
      </c>
      <c r="D126" s="75">
        <f>18957.44+39.86+1108+6.53</f>
        <v>20111.829999999998</v>
      </c>
      <c r="E126" s="168">
        <v>-595.71</v>
      </c>
      <c r="F126" s="198">
        <f aca="true" t="shared" si="40" ref="F126:F134">C126+D126+E126</f>
        <v>373516.12</v>
      </c>
      <c r="G126" s="211">
        <f>1685.75+628.14</f>
        <v>2313.89</v>
      </c>
      <c r="H126" s="241"/>
      <c r="I126" s="181">
        <f aca="true" t="shared" si="41" ref="I126:I134">F126+G126+H126</f>
        <v>375830.01</v>
      </c>
      <c r="J126" s="181">
        <f>141.2+208.8</f>
        <v>350</v>
      </c>
      <c r="K126" s="276"/>
      <c r="L126" s="181">
        <f aca="true" t="shared" si="42" ref="L126:L134">I126+J126+K126</f>
        <v>376180.01</v>
      </c>
      <c r="M126" s="211">
        <f>1003.77</f>
        <v>1003.77</v>
      </c>
      <c r="N126" s="292"/>
      <c r="O126" s="235">
        <f aca="true" t="shared" si="43" ref="O126:O134">L126+M126+N126</f>
        <v>377183.78</v>
      </c>
      <c r="P126" s="112"/>
      <c r="Q126" s="46">
        <f t="shared" si="22"/>
        <v>377183.78</v>
      </c>
    </row>
    <row r="127" spans="1:17" ht="12.75">
      <c r="A127" s="11" t="s">
        <v>81</v>
      </c>
      <c r="B127" s="59"/>
      <c r="C127" s="106">
        <v>380071</v>
      </c>
      <c r="D127" s="75"/>
      <c r="E127" s="168"/>
      <c r="F127" s="198">
        <f t="shared" si="40"/>
        <v>380071</v>
      </c>
      <c r="G127" s="218"/>
      <c r="H127" s="241"/>
      <c r="I127" s="181">
        <f t="shared" si="41"/>
        <v>380071</v>
      </c>
      <c r="J127" s="181"/>
      <c r="K127" s="276"/>
      <c r="L127" s="181">
        <f t="shared" si="42"/>
        <v>380071</v>
      </c>
      <c r="M127" s="211">
        <f>-1003.77</f>
        <v>-1003.77</v>
      </c>
      <c r="N127" s="292"/>
      <c r="O127" s="235">
        <f t="shared" si="43"/>
        <v>379067.23</v>
      </c>
      <c r="P127" s="112"/>
      <c r="Q127" s="46">
        <f t="shared" si="22"/>
        <v>379067.23</v>
      </c>
    </row>
    <row r="128" spans="1:17" ht="12.75">
      <c r="A128" s="15" t="s">
        <v>82</v>
      </c>
      <c r="B128" s="59"/>
      <c r="C128" s="106">
        <v>21152.9</v>
      </c>
      <c r="D128" s="75"/>
      <c r="E128" s="168"/>
      <c r="F128" s="198">
        <f t="shared" si="40"/>
        <v>21152.9</v>
      </c>
      <c r="G128" s="211">
        <f>4147.1</f>
        <v>4147.1</v>
      </c>
      <c r="H128" s="235"/>
      <c r="I128" s="181">
        <f t="shared" si="41"/>
        <v>25300</v>
      </c>
      <c r="J128" s="181"/>
      <c r="K128" s="276"/>
      <c r="L128" s="181">
        <f t="shared" si="42"/>
        <v>25300</v>
      </c>
      <c r="M128" s="211">
        <f>-3800</f>
        <v>-3800</v>
      </c>
      <c r="N128" s="292"/>
      <c r="O128" s="235">
        <f t="shared" si="43"/>
        <v>21500</v>
      </c>
      <c r="P128" s="112"/>
      <c r="Q128" s="46">
        <f t="shared" si="22"/>
        <v>21500</v>
      </c>
    </row>
    <row r="129" spans="1:17" ht="12.75">
      <c r="A129" s="11" t="s">
        <v>83</v>
      </c>
      <c r="B129" s="59"/>
      <c r="C129" s="106"/>
      <c r="D129" s="75"/>
      <c r="E129" s="168">
        <v>250</v>
      </c>
      <c r="F129" s="198">
        <f t="shared" si="40"/>
        <v>250</v>
      </c>
      <c r="G129" s="211"/>
      <c r="H129" s="235"/>
      <c r="I129" s="181">
        <f t="shared" si="41"/>
        <v>250</v>
      </c>
      <c r="J129" s="181"/>
      <c r="K129" s="276"/>
      <c r="L129" s="181">
        <f t="shared" si="42"/>
        <v>250</v>
      </c>
      <c r="M129" s="211"/>
      <c r="N129" s="292"/>
      <c r="O129" s="235">
        <f t="shared" si="43"/>
        <v>250</v>
      </c>
      <c r="P129" s="112"/>
      <c r="Q129" s="46">
        <f t="shared" si="22"/>
        <v>250</v>
      </c>
    </row>
    <row r="130" spans="1:17" ht="12.75">
      <c r="A130" s="11" t="s">
        <v>70</v>
      </c>
      <c r="B130" s="59"/>
      <c r="C130" s="106"/>
      <c r="D130" s="75"/>
      <c r="E130" s="168">
        <v>345.71</v>
      </c>
      <c r="F130" s="198">
        <f t="shared" si="40"/>
        <v>345.71</v>
      </c>
      <c r="G130" s="211"/>
      <c r="H130" s="235"/>
      <c r="I130" s="181">
        <f t="shared" si="41"/>
        <v>345.71</v>
      </c>
      <c r="J130" s="181"/>
      <c r="K130" s="276"/>
      <c r="L130" s="181">
        <f t="shared" si="42"/>
        <v>345.71</v>
      </c>
      <c r="M130" s="211"/>
      <c r="N130" s="292"/>
      <c r="O130" s="235">
        <f t="shared" si="43"/>
        <v>345.71</v>
      </c>
      <c r="P130" s="112"/>
      <c r="Q130" s="46">
        <f t="shared" si="22"/>
        <v>345.71</v>
      </c>
    </row>
    <row r="131" spans="1:17" ht="12.75">
      <c r="A131" s="11" t="s">
        <v>84</v>
      </c>
      <c r="B131" s="59">
        <v>91252</v>
      </c>
      <c r="C131" s="106"/>
      <c r="D131" s="75"/>
      <c r="E131" s="168"/>
      <c r="F131" s="198">
        <f t="shared" si="40"/>
        <v>0</v>
      </c>
      <c r="G131" s="211">
        <f>69355</f>
        <v>69355</v>
      </c>
      <c r="H131" s="235"/>
      <c r="I131" s="181">
        <f t="shared" si="41"/>
        <v>69355</v>
      </c>
      <c r="J131" s="181"/>
      <c r="K131" s="276"/>
      <c r="L131" s="181">
        <f t="shared" si="42"/>
        <v>69355</v>
      </c>
      <c r="M131" s="211">
        <f>14645</f>
        <v>14645</v>
      </c>
      <c r="N131" s="292"/>
      <c r="O131" s="235">
        <f t="shared" si="43"/>
        <v>84000</v>
      </c>
      <c r="P131" s="112"/>
      <c r="Q131" s="46">
        <f t="shared" si="22"/>
        <v>84000</v>
      </c>
    </row>
    <row r="132" spans="1:17" ht="12.75">
      <c r="A132" s="11" t="s">
        <v>153</v>
      </c>
      <c r="B132" s="59">
        <v>27355</v>
      </c>
      <c r="C132" s="106"/>
      <c r="D132" s="75">
        <f>270393.45</f>
        <v>270393.45</v>
      </c>
      <c r="E132" s="168"/>
      <c r="F132" s="198">
        <f t="shared" si="40"/>
        <v>270393.45</v>
      </c>
      <c r="G132" s="211"/>
      <c r="H132" s="235"/>
      <c r="I132" s="181">
        <f t="shared" si="41"/>
        <v>270393.45</v>
      </c>
      <c r="J132" s="181"/>
      <c r="K132" s="276"/>
      <c r="L132" s="181">
        <f t="shared" si="42"/>
        <v>270393.45</v>
      </c>
      <c r="M132" s="211"/>
      <c r="N132" s="292"/>
      <c r="O132" s="235">
        <f t="shared" si="43"/>
        <v>270393.45</v>
      </c>
      <c r="P132" s="112"/>
      <c r="Q132" s="46">
        <f t="shared" si="22"/>
        <v>270393.45</v>
      </c>
    </row>
    <row r="133" spans="1:17" ht="12.75">
      <c r="A133" s="11" t="s">
        <v>56</v>
      </c>
      <c r="B133" s="59"/>
      <c r="C133" s="106">
        <v>456000</v>
      </c>
      <c r="D133" s="75">
        <f>15.34</f>
        <v>15.34</v>
      </c>
      <c r="E133" s="168"/>
      <c r="F133" s="198">
        <f t="shared" si="40"/>
        <v>456015.34</v>
      </c>
      <c r="G133" s="211">
        <f>958.45</f>
        <v>958.45</v>
      </c>
      <c r="H133" s="235"/>
      <c r="I133" s="181">
        <f t="shared" si="41"/>
        <v>456973.79000000004</v>
      </c>
      <c r="J133" s="181">
        <f>371.03+1608.75+3291.5-110.1+5000</f>
        <v>10161.18</v>
      </c>
      <c r="K133" s="276"/>
      <c r="L133" s="181">
        <f t="shared" si="42"/>
        <v>467134.97000000003</v>
      </c>
      <c r="M133" s="211">
        <f>68.4+649.5+3800</f>
        <v>4517.9</v>
      </c>
      <c r="N133" s="292"/>
      <c r="O133" s="235">
        <f t="shared" si="43"/>
        <v>471652.87000000005</v>
      </c>
      <c r="P133" s="112"/>
      <c r="Q133" s="46">
        <f t="shared" si="22"/>
        <v>471652.87000000005</v>
      </c>
    </row>
    <row r="134" spans="1:17" ht="12" customHeight="1" hidden="1">
      <c r="A134" s="11" t="s">
        <v>85</v>
      </c>
      <c r="B134" s="59"/>
      <c r="C134" s="106"/>
      <c r="D134" s="75"/>
      <c r="E134" s="168"/>
      <c r="F134" s="198">
        <f t="shared" si="40"/>
        <v>0</v>
      </c>
      <c r="G134" s="211"/>
      <c r="H134" s="235"/>
      <c r="I134" s="181">
        <f t="shared" si="41"/>
        <v>0</v>
      </c>
      <c r="J134" s="181"/>
      <c r="K134" s="276"/>
      <c r="L134" s="181">
        <f t="shared" si="42"/>
        <v>0</v>
      </c>
      <c r="M134" s="211"/>
      <c r="N134" s="292"/>
      <c r="O134" s="235">
        <f t="shared" si="43"/>
        <v>0</v>
      </c>
      <c r="P134" s="112"/>
      <c r="Q134" s="46">
        <f t="shared" si="22"/>
        <v>0</v>
      </c>
    </row>
    <row r="135" spans="1:17" ht="12.75">
      <c r="A135" s="18" t="s">
        <v>59</v>
      </c>
      <c r="B135" s="63"/>
      <c r="C135" s="133">
        <f>SUM(C137:C139)</f>
        <v>16000</v>
      </c>
      <c r="D135" s="85">
        <f aca="true" t="shared" si="44" ref="D135:Q135">SUM(D137:D139)</f>
        <v>3802.86</v>
      </c>
      <c r="E135" s="172">
        <f t="shared" si="44"/>
        <v>0</v>
      </c>
      <c r="F135" s="202">
        <f t="shared" si="44"/>
        <v>19802.86</v>
      </c>
      <c r="G135" s="216">
        <f t="shared" si="44"/>
        <v>-8603</v>
      </c>
      <c r="H135" s="240">
        <f t="shared" si="44"/>
        <v>0</v>
      </c>
      <c r="I135" s="186">
        <f t="shared" si="44"/>
        <v>11199.86</v>
      </c>
      <c r="J135" s="186">
        <f t="shared" si="44"/>
        <v>-3291.5</v>
      </c>
      <c r="K135" s="281">
        <f t="shared" si="44"/>
        <v>0</v>
      </c>
      <c r="L135" s="186">
        <f t="shared" si="44"/>
        <v>7908.360000000001</v>
      </c>
      <c r="M135" s="216">
        <f t="shared" si="44"/>
        <v>803.22</v>
      </c>
      <c r="N135" s="297">
        <f t="shared" si="44"/>
        <v>0</v>
      </c>
      <c r="O135" s="240">
        <f t="shared" si="44"/>
        <v>8711.58</v>
      </c>
      <c r="P135" s="124">
        <f t="shared" si="44"/>
        <v>0</v>
      </c>
      <c r="Q135" s="84">
        <f t="shared" si="44"/>
        <v>8711.58</v>
      </c>
    </row>
    <row r="136" spans="1:17" ht="12.75">
      <c r="A136" s="9" t="s">
        <v>27</v>
      </c>
      <c r="B136" s="59"/>
      <c r="C136" s="100"/>
      <c r="D136" s="78"/>
      <c r="E136" s="169"/>
      <c r="F136" s="199"/>
      <c r="G136" s="213"/>
      <c r="H136" s="237"/>
      <c r="I136" s="183"/>
      <c r="J136" s="183"/>
      <c r="K136" s="278"/>
      <c r="L136" s="183"/>
      <c r="M136" s="213"/>
      <c r="N136" s="294"/>
      <c r="O136" s="237"/>
      <c r="P136" s="112"/>
      <c r="Q136" s="46"/>
    </row>
    <row r="137" spans="1:17" ht="12.75">
      <c r="A137" s="10" t="s">
        <v>60</v>
      </c>
      <c r="B137" s="59"/>
      <c r="C137" s="106">
        <v>10000</v>
      </c>
      <c r="D137" s="75">
        <f>3802.86</f>
        <v>3802.86</v>
      </c>
      <c r="E137" s="168"/>
      <c r="F137" s="198">
        <f>C137+D137+E137</f>
        <v>13802.86</v>
      </c>
      <c r="G137" s="211">
        <f>-2603</f>
        <v>-2603</v>
      </c>
      <c r="H137" s="235"/>
      <c r="I137" s="181">
        <f>F137+G137+H137</f>
        <v>11199.86</v>
      </c>
      <c r="J137" s="181">
        <f>-3291.5</f>
        <v>-3291.5</v>
      </c>
      <c r="K137" s="276"/>
      <c r="L137" s="181">
        <f>I137+J137+K137</f>
        <v>7908.360000000001</v>
      </c>
      <c r="M137" s="211">
        <f>-649.5+1452.72</f>
        <v>803.22</v>
      </c>
      <c r="N137" s="292"/>
      <c r="O137" s="235">
        <f>L137+M137+N137</f>
        <v>8711.58</v>
      </c>
      <c r="P137" s="112"/>
      <c r="Q137" s="46">
        <f t="shared" si="22"/>
        <v>8711.58</v>
      </c>
    </row>
    <row r="138" spans="1:17" ht="12.75">
      <c r="A138" s="14" t="s">
        <v>97</v>
      </c>
      <c r="B138" s="62"/>
      <c r="C138" s="132">
        <v>6000</v>
      </c>
      <c r="D138" s="83"/>
      <c r="E138" s="192"/>
      <c r="F138" s="203">
        <f>C138+D138+E138</f>
        <v>6000</v>
      </c>
      <c r="G138" s="217">
        <f>-6000</f>
        <v>-6000</v>
      </c>
      <c r="H138" s="233"/>
      <c r="I138" s="187">
        <f>F138+G138+H138</f>
        <v>0</v>
      </c>
      <c r="J138" s="187"/>
      <c r="K138" s="282"/>
      <c r="L138" s="187">
        <f>I138+J138+K138</f>
        <v>0</v>
      </c>
      <c r="M138" s="217"/>
      <c r="N138" s="298"/>
      <c r="O138" s="233">
        <f>L138+M138+N138</f>
        <v>0</v>
      </c>
      <c r="P138" s="112"/>
      <c r="Q138" s="46">
        <f t="shared" si="22"/>
        <v>0</v>
      </c>
    </row>
    <row r="139" spans="1:17" ht="12.75" hidden="1">
      <c r="A139" s="14" t="s">
        <v>86</v>
      </c>
      <c r="B139" s="62"/>
      <c r="C139" s="132"/>
      <c r="D139" s="83"/>
      <c r="E139" s="192"/>
      <c r="F139" s="203">
        <f>C139+D139+E139</f>
        <v>0</v>
      </c>
      <c r="G139" s="217"/>
      <c r="H139" s="233"/>
      <c r="I139" s="187">
        <f>F139+G139+H139</f>
        <v>0</v>
      </c>
      <c r="J139" s="187"/>
      <c r="K139" s="282"/>
      <c r="L139" s="187">
        <f>I139+J139+K139</f>
        <v>0</v>
      </c>
      <c r="M139" s="217"/>
      <c r="N139" s="298"/>
      <c r="O139" s="233">
        <f>L139+M139+N139</f>
        <v>0</v>
      </c>
      <c r="P139" s="270"/>
      <c r="Q139" s="48">
        <f t="shared" si="22"/>
        <v>0</v>
      </c>
    </row>
    <row r="140" spans="1:17" ht="12.75">
      <c r="A140" s="12" t="s">
        <v>87</v>
      </c>
      <c r="B140" s="63"/>
      <c r="C140" s="100">
        <f>C141+C146</f>
        <v>34232.8</v>
      </c>
      <c r="D140" s="78">
        <f aca="true" t="shared" si="45" ref="D140:Q140">D141+D146</f>
        <v>2800</v>
      </c>
      <c r="E140" s="169">
        <f t="shared" si="45"/>
        <v>0</v>
      </c>
      <c r="F140" s="199">
        <f t="shared" si="45"/>
        <v>37032.8</v>
      </c>
      <c r="G140" s="213">
        <f t="shared" si="45"/>
        <v>0</v>
      </c>
      <c r="H140" s="237">
        <f t="shared" si="45"/>
        <v>0</v>
      </c>
      <c r="I140" s="183">
        <f t="shared" si="45"/>
        <v>37032.8</v>
      </c>
      <c r="J140" s="183">
        <f t="shared" si="45"/>
        <v>36743.6</v>
      </c>
      <c r="K140" s="278">
        <f t="shared" si="45"/>
        <v>6656.48</v>
      </c>
      <c r="L140" s="183">
        <f t="shared" si="45"/>
        <v>80432.88</v>
      </c>
      <c r="M140" s="213">
        <f t="shared" si="45"/>
        <v>4738.689999999995</v>
      </c>
      <c r="N140" s="294">
        <f t="shared" si="45"/>
        <v>0</v>
      </c>
      <c r="O140" s="237">
        <f t="shared" si="45"/>
        <v>85171.57</v>
      </c>
      <c r="P140" s="121">
        <f t="shared" si="45"/>
        <v>0</v>
      </c>
      <c r="Q140" s="77">
        <f t="shared" si="45"/>
        <v>85171.57</v>
      </c>
    </row>
    <row r="141" spans="1:17" ht="12.75">
      <c r="A141" s="17" t="s">
        <v>54</v>
      </c>
      <c r="B141" s="63"/>
      <c r="C141" s="131">
        <f>SUM(C143:C145)</f>
        <v>32232.8</v>
      </c>
      <c r="D141" s="82">
        <f aca="true" t="shared" si="46" ref="D141:Q141">SUM(D143:D145)</f>
        <v>1800</v>
      </c>
      <c r="E141" s="171">
        <f t="shared" si="46"/>
        <v>0</v>
      </c>
      <c r="F141" s="201">
        <f t="shared" si="46"/>
        <v>34032.8</v>
      </c>
      <c r="G141" s="215">
        <f t="shared" si="46"/>
        <v>0</v>
      </c>
      <c r="H141" s="239">
        <f t="shared" si="46"/>
        <v>0</v>
      </c>
      <c r="I141" s="185">
        <f t="shared" si="46"/>
        <v>34032.8</v>
      </c>
      <c r="J141" s="185">
        <f t="shared" si="46"/>
        <v>3746.06</v>
      </c>
      <c r="K141" s="280">
        <f t="shared" si="46"/>
        <v>0</v>
      </c>
      <c r="L141" s="185">
        <f t="shared" si="46"/>
        <v>37778.86</v>
      </c>
      <c r="M141" s="215">
        <f t="shared" si="46"/>
        <v>39763.009999999995</v>
      </c>
      <c r="N141" s="296">
        <f t="shared" si="46"/>
        <v>0</v>
      </c>
      <c r="O141" s="239">
        <f t="shared" si="46"/>
        <v>77541.87</v>
      </c>
      <c r="P141" s="123">
        <f t="shared" si="46"/>
        <v>0</v>
      </c>
      <c r="Q141" s="81">
        <f t="shared" si="46"/>
        <v>77541.87</v>
      </c>
    </row>
    <row r="142" spans="1:17" ht="12.75">
      <c r="A142" s="13" t="s">
        <v>27</v>
      </c>
      <c r="B142" s="59"/>
      <c r="C142" s="106"/>
      <c r="D142" s="75"/>
      <c r="E142" s="168"/>
      <c r="F142" s="179"/>
      <c r="G142" s="211"/>
      <c r="H142" s="235"/>
      <c r="I142" s="182"/>
      <c r="J142" s="181"/>
      <c r="K142" s="276"/>
      <c r="L142" s="182"/>
      <c r="M142" s="211"/>
      <c r="N142" s="292"/>
      <c r="O142" s="234"/>
      <c r="P142" s="112"/>
      <c r="Q142" s="46"/>
    </row>
    <row r="143" spans="1:17" ht="12.75">
      <c r="A143" s="11" t="s">
        <v>56</v>
      </c>
      <c r="B143" s="59"/>
      <c r="C143" s="106">
        <v>8232.8</v>
      </c>
      <c r="D143" s="75">
        <f>500+1300</f>
        <v>1800</v>
      </c>
      <c r="E143" s="168"/>
      <c r="F143" s="198">
        <f>C143+D143+E143</f>
        <v>10032.8</v>
      </c>
      <c r="G143" s="211"/>
      <c r="H143" s="235"/>
      <c r="I143" s="181">
        <f>F143+G143+H143</f>
        <v>10032.8</v>
      </c>
      <c r="J143" s="181">
        <f>1295.79+2000</f>
        <v>3295.79</v>
      </c>
      <c r="K143" s="276"/>
      <c r="L143" s="181">
        <f>I143+J143+K143</f>
        <v>13328.59</v>
      </c>
      <c r="M143" s="211">
        <f>38354.02</f>
        <v>38354.02</v>
      </c>
      <c r="N143" s="292"/>
      <c r="O143" s="235">
        <f>L143+M143+N143</f>
        <v>51682.61</v>
      </c>
      <c r="P143" s="112"/>
      <c r="Q143" s="46">
        <f t="shared" si="22"/>
        <v>51682.61</v>
      </c>
    </row>
    <row r="144" spans="1:17" ht="12.75" hidden="1">
      <c r="A144" s="11" t="s">
        <v>86</v>
      </c>
      <c r="B144" s="59"/>
      <c r="C144" s="106"/>
      <c r="D144" s="75"/>
      <c r="E144" s="168"/>
      <c r="F144" s="198">
        <f>C144+D144+E144</f>
        <v>0</v>
      </c>
      <c r="G144" s="211"/>
      <c r="H144" s="235"/>
      <c r="I144" s="181"/>
      <c r="J144" s="181"/>
      <c r="K144" s="276"/>
      <c r="L144" s="181">
        <f>I144+J144+K144</f>
        <v>0</v>
      </c>
      <c r="M144" s="211"/>
      <c r="N144" s="292"/>
      <c r="O144" s="235">
        <f>L144+M144+N144</f>
        <v>0</v>
      </c>
      <c r="P144" s="112"/>
      <c r="Q144" s="46">
        <f t="shared" si="22"/>
        <v>0</v>
      </c>
    </row>
    <row r="145" spans="1:17" ht="12.75">
      <c r="A145" s="11" t="s">
        <v>88</v>
      </c>
      <c r="B145" s="59"/>
      <c r="C145" s="106">
        <v>24000</v>
      </c>
      <c r="D145" s="75"/>
      <c r="E145" s="168"/>
      <c r="F145" s="198">
        <f>C145+D145+E145</f>
        <v>24000</v>
      </c>
      <c r="G145" s="211"/>
      <c r="H145" s="235"/>
      <c r="I145" s="181">
        <f>F145+G145+H145</f>
        <v>24000</v>
      </c>
      <c r="J145" s="181">
        <f>750.27-300</f>
        <v>450.27</v>
      </c>
      <c r="K145" s="276"/>
      <c r="L145" s="181">
        <f>I145+J145+K145</f>
        <v>24450.27</v>
      </c>
      <c r="M145" s="211">
        <f>1408.99</f>
        <v>1408.99</v>
      </c>
      <c r="N145" s="292"/>
      <c r="O145" s="235">
        <f>L145+M145+N145</f>
        <v>25859.260000000002</v>
      </c>
      <c r="P145" s="112"/>
      <c r="Q145" s="46">
        <f>O145+P145</f>
        <v>25859.260000000002</v>
      </c>
    </row>
    <row r="146" spans="1:17" ht="12.75">
      <c r="A146" s="18" t="s">
        <v>59</v>
      </c>
      <c r="B146" s="63"/>
      <c r="C146" s="133">
        <f>SUM(C148:C151)</f>
        <v>2000</v>
      </c>
      <c r="D146" s="85">
        <f aca="true" t="shared" si="47" ref="D146:Q146">SUM(D148:D151)</f>
        <v>1000</v>
      </c>
      <c r="E146" s="172">
        <f t="shared" si="47"/>
        <v>0</v>
      </c>
      <c r="F146" s="202">
        <f t="shared" si="47"/>
        <v>3000</v>
      </c>
      <c r="G146" s="216">
        <f t="shared" si="47"/>
        <v>0</v>
      </c>
      <c r="H146" s="240">
        <f t="shared" si="47"/>
        <v>0</v>
      </c>
      <c r="I146" s="186">
        <f t="shared" si="47"/>
        <v>3000</v>
      </c>
      <c r="J146" s="186">
        <f t="shared" si="47"/>
        <v>32997.54</v>
      </c>
      <c r="K146" s="281">
        <f t="shared" si="47"/>
        <v>6656.48</v>
      </c>
      <c r="L146" s="186">
        <f t="shared" si="47"/>
        <v>42654.020000000004</v>
      </c>
      <c r="M146" s="216">
        <f t="shared" si="47"/>
        <v>-35024.32</v>
      </c>
      <c r="N146" s="297">
        <f t="shared" si="47"/>
        <v>0</v>
      </c>
      <c r="O146" s="240">
        <f t="shared" si="47"/>
        <v>7629.700000000007</v>
      </c>
      <c r="P146" s="124">
        <f t="shared" si="47"/>
        <v>0</v>
      </c>
      <c r="Q146" s="84">
        <f t="shared" si="47"/>
        <v>7629.700000000007</v>
      </c>
    </row>
    <row r="147" spans="1:17" ht="12.75">
      <c r="A147" s="9" t="s">
        <v>27</v>
      </c>
      <c r="B147" s="59"/>
      <c r="C147" s="100"/>
      <c r="D147" s="78"/>
      <c r="E147" s="169"/>
      <c r="F147" s="199"/>
      <c r="G147" s="213"/>
      <c r="H147" s="237"/>
      <c r="I147" s="183"/>
      <c r="J147" s="183"/>
      <c r="K147" s="278"/>
      <c r="L147" s="183"/>
      <c r="M147" s="213"/>
      <c r="N147" s="294"/>
      <c r="O147" s="237"/>
      <c r="P147" s="112"/>
      <c r="Q147" s="46"/>
    </row>
    <row r="148" spans="1:17" ht="12.75">
      <c r="A148" s="11" t="s">
        <v>174</v>
      </c>
      <c r="B148" s="59">
        <v>98861</v>
      </c>
      <c r="C148" s="106"/>
      <c r="D148" s="75"/>
      <c r="E148" s="168"/>
      <c r="F148" s="198">
        <f>C148+D148+E148</f>
        <v>0</v>
      </c>
      <c r="G148" s="213"/>
      <c r="H148" s="237"/>
      <c r="I148" s="181"/>
      <c r="J148" s="183"/>
      <c r="K148" s="278"/>
      <c r="L148" s="181">
        <f>I148+J148+K148</f>
        <v>0</v>
      </c>
      <c r="M148" s="211">
        <f>3329.7</f>
        <v>3329.7</v>
      </c>
      <c r="N148" s="294"/>
      <c r="O148" s="235">
        <f>L148+M148+N148</f>
        <v>3329.7</v>
      </c>
      <c r="P148" s="112"/>
      <c r="Q148" s="46">
        <f>O148+P148</f>
        <v>3329.7</v>
      </c>
    </row>
    <row r="149" spans="1:17" ht="12.75" hidden="1">
      <c r="A149" s="11" t="s">
        <v>242</v>
      </c>
      <c r="B149" s="59">
        <v>7938</v>
      </c>
      <c r="C149" s="106"/>
      <c r="D149" s="75"/>
      <c r="E149" s="168"/>
      <c r="F149" s="198">
        <f>C149+D149+E149</f>
        <v>0</v>
      </c>
      <c r="G149" s="213"/>
      <c r="H149" s="237"/>
      <c r="I149" s="181"/>
      <c r="J149" s="183"/>
      <c r="K149" s="278"/>
      <c r="L149" s="181">
        <f>I149+J149+K149</f>
        <v>0</v>
      </c>
      <c r="M149" s="213"/>
      <c r="N149" s="294"/>
      <c r="O149" s="235"/>
      <c r="P149" s="112"/>
      <c r="Q149" s="46"/>
    </row>
    <row r="150" spans="1:17" ht="12.75" hidden="1">
      <c r="A150" s="11" t="s">
        <v>279</v>
      </c>
      <c r="B150" s="59"/>
      <c r="C150" s="106"/>
      <c r="D150" s="75"/>
      <c r="E150" s="168"/>
      <c r="F150" s="198">
        <f>C150+D150+E150</f>
        <v>0</v>
      </c>
      <c r="G150" s="213"/>
      <c r="H150" s="237"/>
      <c r="I150" s="181"/>
      <c r="J150" s="183"/>
      <c r="K150" s="278"/>
      <c r="L150" s="181">
        <f>I150+J150+K150</f>
        <v>0</v>
      </c>
      <c r="M150" s="213"/>
      <c r="N150" s="294"/>
      <c r="O150" s="235"/>
      <c r="P150" s="112"/>
      <c r="Q150" s="46"/>
    </row>
    <row r="151" spans="1:17" ht="12.75">
      <c r="A151" s="22" t="s">
        <v>60</v>
      </c>
      <c r="B151" s="62"/>
      <c r="C151" s="132">
        <v>2000</v>
      </c>
      <c r="D151" s="83">
        <f>1000</f>
        <v>1000</v>
      </c>
      <c r="E151" s="192"/>
      <c r="F151" s="203">
        <f>C151+D151+E151</f>
        <v>3000</v>
      </c>
      <c r="G151" s="217"/>
      <c r="H151" s="233"/>
      <c r="I151" s="187">
        <f>F151+G151+H151</f>
        <v>3000</v>
      </c>
      <c r="J151" s="261">
        <f>300+31697.54+1000</f>
        <v>32997.54</v>
      </c>
      <c r="K151" s="282">
        <f>6656.48</f>
        <v>6656.48</v>
      </c>
      <c r="L151" s="187">
        <f>I151+J151+K151</f>
        <v>42654.020000000004</v>
      </c>
      <c r="M151" s="217">
        <f>-38354.02</f>
        <v>-38354.02</v>
      </c>
      <c r="N151" s="298"/>
      <c r="O151" s="233">
        <f>L151+M151+N151</f>
        <v>4300.000000000007</v>
      </c>
      <c r="P151" s="270"/>
      <c r="Q151" s="48">
        <f>O151+P151</f>
        <v>4300.000000000007</v>
      </c>
    </row>
    <row r="152" spans="1:17" ht="12.75">
      <c r="A152" s="8" t="s">
        <v>313</v>
      </c>
      <c r="B152" s="63"/>
      <c r="C152" s="113">
        <f aca="true" t="shared" si="48" ref="C152:Q152">C153+C172</f>
        <v>3930.7</v>
      </c>
      <c r="D152" s="74">
        <f t="shared" si="48"/>
        <v>241589.71000000002</v>
      </c>
      <c r="E152" s="167">
        <f t="shared" si="48"/>
        <v>0</v>
      </c>
      <c r="F152" s="179">
        <f t="shared" si="48"/>
        <v>245520.41</v>
      </c>
      <c r="G152" s="210">
        <f t="shared" si="48"/>
        <v>14000.34</v>
      </c>
      <c r="H152" s="234">
        <f t="shared" si="48"/>
        <v>1020</v>
      </c>
      <c r="I152" s="182">
        <f t="shared" si="48"/>
        <v>260540.75</v>
      </c>
      <c r="J152" s="182">
        <f t="shared" si="48"/>
        <v>11653.869999999999</v>
      </c>
      <c r="K152" s="275">
        <f t="shared" si="48"/>
        <v>0</v>
      </c>
      <c r="L152" s="182">
        <f t="shared" si="48"/>
        <v>272194.62</v>
      </c>
      <c r="M152" s="210">
        <f t="shared" si="48"/>
        <v>9470.7</v>
      </c>
      <c r="N152" s="291">
        <f t="shared" si="48"/>
        <v>0</v>
      </c>
      <c r="O152" s="234">
        <f t="shared" si="48"/>
        <v>281665.32</v>
      </c>
      <c r="P152" s="98">
        <f t="shared" si="48"/>
        <v>0</v>
      </c>
      <c r="Q152" s="73">
        <f t="shared" si="48"/>
        <v>35638.97</v>
      </c>
    </row>
    <row r="153" spans="1:17" ht="12.75">
      <c r="A153" s="17" t="s">
        <v>54</v>
      </c>
      <c r="B153" s="63"/>
      <c r="C153" s="131">
        <f aca="true" t="shared" si="49" ref="C153:Q153">SUM(C155:C171)</f>
        <v>3930.7</v>
      </c>
      <c r="D153" s="82">
        <f t="shared" si="49"/>
        <v>19637.949999999997</v>
      </c>
      <c r="E153" s="171">
        <f t="shared" si="49"/>
        <v>0</v>
      </c>
      <c r="F153" s="201">
        <f t="shared" si="49"/>
        <v>23568.65</v>
      </c>
      <c r="G153" s="215">
        <f t="shared" si="49"/>
        <v>13097.460000000001</v>
      </c>
      <c r="H153" s="239">
        <f t="shared" si="49"/>
        <v>0</v>
      </c>
      <c r="I153" s="185">
        <f t="shared" si="49"/>
        <v>36666.11</v>
      </c>
      <c r="J153" s="185">
        <f t="shared" si="49"/>
        <v>11533.869999999999</v>
      </c>
      <c r="K153" s="280">
        <f t="shared" si="49"/>
        <v>0</v>
      </c>
      <c r="L153" s="185">
        <f t="shared" si="49"/>
        <v>48199.979999999996</v>
      </c>
      <c r="M153" s="215">
        <f t="shared" si="49"/>
        <v>9347.67</v>
      </c>
      <c r="N153" s="296">
        <f t="shared" si="49"/>
        <v>0</v>
      </c>
      <c r="O153" s="239">
        <f t="shared" si="49"/>
        <v>57547.65000000001</v>
      </c>
      <c r="P153" s="123">
        <f t="shared" si="49"/>
        <v>0</v>
      </c>
      <c r="Q153" s="81">
        <f t="shared" si="49"/>
        <v>4822.28</v>
      </c>
    </row>
    <row r="154" spans="1:17" ht="12.75">
      <c r="A154" s="9" t="s">
        <v>27</v>
      </c>
      <c r="B154" s="59"/>
      <c r="C154" s="100"/>
      <c r="D154" s="78"/>
      <c r="E154" s="169"/>
      <c r="F154" s="199"/>
      <c r="G154" s="213"/>
      <c r="H154" s="237"/>
      <c r="I154" s="183"/>
      <c r="J154" s="183"/>
      <c r="K154" s="278"/>
      <c r="L154" s="183"/>
      <c r="M154" s="213"/>
      <c r="N154" s="294"/>
      <c r="O154" s="237"/>
      <c r="P154" s="112"/>
      <c r="Q154" s="46"/>
    </row>
    <row r="155" spans="1:17" ht="12.75">
      <c r="A155" s="11" t="s">
        <v>56</v>
      </c>
      <c r="B155" s="59"/>
      <c r="C155" s="106">
        <v>2330.7</v>
      </c>
      <c r="D155" s="75">
        <f>600</f>
        <v>600</v>
      </c>
      <c r="E155" s="168"/>
      <c r="F155" s="198">
        <f aca="true" t="shared" si="50" ref="F155:F171">C155+D155+E155</f>
        <v>2930.7</v>
      </c>
      <c r="G155" s="211"/>
      <c r="H155" s="235"/>
      <c r="I155" s="181">
        <f>F155+G155+H155</f>
        <v>2930.7</v>
      </c>
      <c r="J155" s="189"/>
      <c r="K155" s="276"/>
      <c r="L155" s="181">
        <f>I155+J155+K155</f>
        <v>2930.7</v>
      </c>
      <c r="M155" s="219"/>
      <c r="N155" s="292"/>
      <c r="O155" s="235">
        <f>L155+M155+N155</f>
        <v>2930.7</v>
      </c>
      <c r="P155" s="112"/>
      <c r="Q155" s="46">
        <f>O155+P155</f>
        <v>2930.7</v>
      </c>
    </row>
    <row r="156" spans="1:17" ht="12.75">
      <c r="A156" s="60" t="s">
        <v>304</v>
      </c>
      <c r="B156" s="59">
        <v>2042</v>
      </c>
      <c r="C156" s="106"/>
      <c r="D156" s="75">
        <f>1888.73</f>
        <v>1888.73</v>
      </c>
      <c r="E156" s="168"/>
      <c r="F156" s="198">
        <f t="shared" si="50"/>
        <v>1888.73</v>
      </c>
      <c r="G156" s="211">
        <f>2.85</f>
        <v>2.85</v>
      </c>
      <c r="H156" s="235"/>
      <c r="I156" s="181">
        <f>F156+G156+H156</f>
        <v>1891.58</v>
      </c>
      <c r="J156" s="181"/>
      <c r="K156" s="276"/>
      <c r="L156" s="181">
        <f>I156+J156+K156</f>
        <v>1891.58</v>
      </c>
      <c r="M156" s="211"/>
      <c r="N156" s="292"/>
      <c r="O156" s="235">
        <f>L156+M156+N156</f>
        <v>1891.58</v>
      </c>
      <c r="P156" s="112"/>
      <c r="Q156" s="46">
        <f>O156+P156</f>
        <v>1891.58</v>
      </c>
    </row>
    <row r="157" spans="1:17" ht="12.75">
      <c r="A157" s="60" t="s">
        <v>334</v>
      </c>
      <c r="B157" s="59">
        <v>2042</v>
      </c>
      <c r="C157" s="106"/>
      <c r="D157" s="75"/>
      <c r="E157" s="168"/>
      <c r="F157" s="198">
        <f t="shared" si="50"/>
        <v>0</v>
      </c>
      <c r="G157" s="211">
        <f>4287.51</f>
        <v>4287.51</v>
      </c>
      <c r="H157" s="235"/>
      <c r="I157" s="181">
        <f>F157+G157+H157</f>
        <v>4287.51</v>
      </c>
      <c r="J157" s="181"/>
      <c r="K157" s="276"/>
      <c r="L157" s="181">
        <f aca="true" t="shared" si="51" ref="L157:L171">I157+J157+K157</f>
        <v>4287.51</v>
      </c>
      <c r="M157" s="211"/>
      <c r="N157" s="292"/>
      <c r="O157" s="235">
        <f aca="true" t="shared" si="52" ref="O157:O171">L157+M157+N157</f>
        <v>4287.51</v>
      </c>
      <c r="P157" s="112"/>
      <c r="Q157" s="46"/>
    </row>
    <row r="158" spans="1:17" ht="12.75">
      <c r="A158" s="60" t="s">
        <v>305</v>
      </c>
      <c r="B158" s="59">
        <v>2045</v>
      </c>
      <c r="C158" s="106"/>
      <c r="D158" s="75">
        <f>1273.39</f>
        <v>1273.39</v>
      </c>
      <c r="E158" s="168"/>
      <c r="F158" s="198">
        <f t="shared" si="50"/>
        <v>1273.39</v>
      </c>
      <c r="G158" s="211"/>
      <c r="H158" s="235"/>
      <c r="I158" s="181">
        <f aca="true" t="shared" si="53" ref="I158:I171">F158+G158+H158</f>
        <v>1273.39</v>
      </c>
      <c r="J158" s="181"/>
      <c r="K158" s="276"/>
      <c r="L158" s="181">
        <f t="shared" si="51"/>
        <v>1273.39</v>
      </c>
      <c r="M158" s="211"/>
      <c r="N158" s="292"/>
      <c r="O158" s="235">
        <f t="shared" si="52"/>
        <v>1273.39</v>
      </c>
      <c r="P158" s="112"/>
      <c r="Q158" s="46"/>
    </row>
    <row r="159" spans="1:17" ht="12.75">
      <c r="A159" s="60" t="s">
        <v>327</v>
      </c>
      <c r="B159" s="59">
        <v>2045</v>
      </c>
      <c r="C159" s="106"/>
      <c r="D159" s="75"/>
      <c r="E159" s="168"/>
      <c r="F159" s="198">
        <f t="shared" si="50"/>
        <v>0</v>
      </c>
      <c r="G159" s="211">
        <f>3280.86</f>
        <v>3280.86</v>
      </c>
      <c r="H159" s="235"/>
      <c r="I159" s="181">
        <f t="shared" si="53"/>
        <v>3280.86</v>
      </c>
      <c r="J159" s="181"/>
      <c r="K159" s="276"/>
      <c r="L159" s="181">
        <f t="shared" si="51"/>
        <v>3280.86</v>
      </c>
      <c r="M159" s="211">
        <f>2281.98</f>
        <v>2281.98</v>
      </c>
      <c r="N159" s="292"/>
      <c r="O159" s="235">
        <f t="shared" si="52"/>
        <v>5562.84</v>
      </c>
      <c r="P159" s="112"/>
      <c r="Q159" s="46"/>
    </row>
    <row r="160" spans="1:17" ht="12.75">
      <c r="A160" s="60" t="s">
        <v>306</v>
      </c>
      <c r="B160" s="59">
        <v>2016</v>
      </c>
      <c r="C160" s="106"/>
      <c r="D160" s="75">
        <f>1520.99</f>
        <v>1520.99</v>
      </c>
      <c r="E160" s="168"/>
      <c r="F160" s="198">
        <f t="shared" si="50"/>
        <v>1520.99</v>
      </c>
      <c r="G160" s="211"/>
      <c r="H160" s="235"/>
      <c r="I160" s="181">
        <f t="shared" si="53"/>
        <v>1520.99</v>
      </c>
      <c r="J160" s="181"/>
      <c r="K160" s="276"/>
      <c r="L160" s="181">
        <f t="shared" si="51"/>
        <v>1520.99</v>
      </c>
      <c r="M160" s="211"/>
      <c r="N160" s="292"/>
      <c r="O160" s="235">
        <f t="shared" si="52"/>
        <v>1520.99</v>
      </c>
      <c r="P160" s="112"/>
      <c r="Q160" s="46"/>
    </row>
    <row r="161" spans="1:17" ht="12.75">
      <c r="A161" s="60" t="s">
        <v>324</v>
      </c>
      <c r="B161" s="59">
        <v>2016</v>
      </c>
      <c r="C161" s="106"/>
      <c r="D161" s="75"/>
      <c r="E161" s="168"/>
      <c r="F161" s="198">
        <f t="shared" si="50"/>
        <v>0</v>
      </c>
      <c r="G161" s="211">
        <f>643.52</f>
        <v>643.52</v>
      </c>
      <c r="H161" s="235"/>
      <c r="I161" s="181">
        <f t="shared" si="53"/>
        <v>643.52</v>
      </c>
      <c r="J161" s="181">
        <f>504.28</f>
        <v>504.28</v>
      </c>
      <c r="K161" s="276"/>
      <c r="L161" s="181">
        <f t="shared" si="51"/>
        <v>1147.8</v>
      </c>
      <c r="M161" s="211"/>
      <c r="N161" s="292"/>
      <c r="O161" s="235">
        <f t="shared" si="52"/>
        <v>1147.8</v>
      </c>
      <c r="P161" s="112"/>
      <c r="Q161" s="46"/>
    </row>
    <row r="162" spans="1:17" ht="12.75">
      <c r="A162" s="20" t="s">
        <v>325</v>
      </c>
      <c r="B162" s="59">
        <v>2067</v>
      </c>
      <c r="C162" s="106"/>
      <c r="D162" s="75"/>
      <c r="E162" s="168"/>
      <c r="F162" s="198">
        <f t="shared" si="50"/>
        <v>0</v>
      </c>
      <c r="G162" s="211">
        <f>2510.76</f>
        <v>2510.76</v>
      </c>
      <c r="H162" s="235"/>
      <c r="I162" s="181">
        <f t="shared" si="53"/>
        <v>2510.76</v>
      </c>
      <c r="J162" s="181"/>
      <c r="K162" s="276"/>
      <c r="L162" s="181">
        <f>I162+J162+K162</f>
        <v>2510.76</v>
      </c>
      <c r="M162" s="211">
        <f>1043.73</f>
        <v>1043.73</v>
      </c>
      <c r="N162" s="292"/>
      <c r="O162" s="235">
        <f t="shared" si="52"/>
        <v>3554.4900000000002</v>
      </c>
      <c r="P162" s="112"/>
      <c r="Q162" s="46"/>
    </row>
    <row r="163" spans="1:17" ht="12.75">
      <c r="A163" s="20" t="s">
        <v>362</v>
      </c>
      <c r="B163" s="59">
        <v>2074</v>
      </c>
      <c r="C163" s="106"/>
      <c r="D163" s="75"/>
      <c r="E163" s="168"/>
      <c r="F163" s="198"/>
      <c r="G163" s="211"/>
      <c r="H163" s="235"/>
      <c r="I163" s="181"/>
      <c r="J163" s="181"/>
      <c r="K163" s="276"/>
      <c r="L163" s="181">
        <f>I163+J163+K163</f>
        <v>0</v>
      </c>
      <c r="M163" s="211">
        <f>3675.83</f>
        <v>3675.83</v>
      </c>
      <c r="N163" s="292"/>
      <c r="O163" s="235">
        <f t="shared" si="52"/>
        <v>3675.83</v>
      </c>
      <c r="P163" s="112"/>
      <c r="Q163" s="46"/>
    </row>
    <row r="164" spans="1:17" ht="12.75">
      <c r="A164" s="20" t="s">
        <v>339</v>
      </c>
      <c r="B164" s="59">
        <v>2057</v>
      </c>
      <c r="C164" s="106"/>
      <c r="D164" s="75">
        <f>1063.44</f>
        <v>1063.44</v>
      </c>
      <c r="E164" s="168"/>
      <c r="F164" s="198">
        <f t="shared" si="50"/>
        <v>1063.44</v>
      </c>
      <c r="G164" s="211"/>
      <c r="H164" s="235"/>
      <c r="I164" s="181">
        <f t="shared" si="53"/>
        <v>1063.44</v>
      </c>
      <c r="J164" s="181"/>
      <c r="K164" s="276"/>
      <c r="L164" s="181">
        <f t="shared" si="51"/>
        <v>1063.44</v>
      </c>
      <c r="M164" s="211"/>
      <c r="N164" s="292"/>
      <c r="O164" s="235">
        <f t="shared" si="52"/>
        <v>1063.44</v>
      </c>
      <c r="P164" s="112"/>
      <c r="Q164" s="46"/>
    </row>
    <row r="165" spans="1:17" ht="12.75">
      <c r="A165" s="20" t="s">
        <v>340</v>
      </c>
      <c r="B165" s="59">
        <v>2064</v>
      </c>
      <c r="C165" s="106"/>
      <c r="D165" s="75">
        <f>3008.56</f>
        <v>3008.56</v>
      </c>
      <c r="E165" s="168"/>
      <c r="F165" s="198">
        <f t="shared" si="50"/>
        <v>3008.56</v>
      </c>
      <c r="G165" s="211"/>
      <c r="H165" s="235"/>
      <c r="I165" s="181">
        <f t="shared" si="53"/>
        <v>3008.56</v>
      </c>
      <c r="J165" s="181"/>
      <c r="K165" s="276"/>
      <c r="L165" s="181">
        <f t="shared" si="51"/>
        <v>3008.56</v>
      </c>
      <c r="M165" s="211"/>
      <c r="N165" s="292"/>
      <c r="O165" s="235">
        <f t="shared" si="52"/>
        <v>3008.56</v>
      </c>
      <c r="P165" s="112"/>
      <c r="Q165" s="46"/>
    </row>
    <row r="166" spans="1:17" ht="12.75">
      <c r="A166" s="20" t="s">
        <v>318</v>
      </c>
      <c r="B166" s="59">
        <v>2064</v>
      </c>
      <c r="C166" s="106"/>
      <c r="D166" s="75">
        <f>3399.51</f>
        <v>3399.51</v>
      </c>
      <c r="E166" s="168"/>
      <c r="F166" s="198">
        <f t="shared" si="50"/>
        <v>3399.51</v>
      </c>
      <c r="G166" s="211"/>
      <c r="H166" s="235"/>
      <c r="I166" s="181">
        <f t="shared" si="53"/>
        <v>3399.51</v>
      </c>
      <c r="J166" s="181"/>
      <c r="K166" s="276"/>
      <c r="L166" s="181">
        <f t="shared" si="51"/>
        <v>3399.51</v>
      </c>
      <c r="M166" s="211"/>
      <c r="N166" s="292"/>
      <c r="O166" s="235">
        <f t="shared" si="52"/>
        <v>3399.51</v>
      </c>
      <c r="P166" s="112"/>
      <c r="Q166" s="46"/>
    </row>
    <row r="167" spans="1:17" ht="12.75">
      <c r="A167" s="20" t="s">
        <v>323</v>
      </c>
      <c r="B167" s="59">
        <v>2065</v>
      </c>
      <c r="C167" s="106"/>
      <c r="D167" s="75">
        <f>81.93</f>
        <v>81.93</v>
      </c>
      <c r="E167" s="168"/>
      <c r="F167" s="198">
        <f t="shared" si="50"/>
        <v>81.93</v>
      </c>
      <c r="G167" s="211"/>
      <c r="H167" s="235"/>
      <c r="I167" s="181">
        <f t="shared" si="53"/>
        <v>81.93</v>
      </c>
      <c r="J167" s="181">
        <f>506.6</f>
        <v>506.6</v>
      </c>
      <c r="K167" s="276"/>
      <c r="L167" s="181">
        <f t="shared" si="51"/>
        <v>588.53</v>
      </c>
      <c r="M167" s="211">
        <f>1674.7</f>
        <v>1674.7</v>
      </c>
      <c r="N167" s="292"/>
      <c r="O167" s="235">
        <f t="shared" si="52"/>
        <v>2263.23</v>
      </c>
      <c r="P167" s="112"/>
      <c r="Q167" s="46"/>
    </row>
    <row r="168" spans="1:17" ht="12.75">
      <c r="A168" s="20" t="s">
        <v>335</v>
      </c>
      <c r="B168" s="59">
        <v>2065</v>
      </c>
      <c r="C168" s="106"/>
      <c r="D168" s="75"/>
      <c r="E168" s="168"/>
      <c r="F168" s="198">
        <f t="shared" si="50"/>
        <v>0</v>
      </c>
      <c r="G168" s="211">
        <f>1249.89</f>
        <v>1249.89</v>
      </c>
      <c r="H168" s="235"/>
      <c r="I168" s="181">
        <f t="shared" si="53"/>
        <v>1249.89</v>
      </c>
      <c r="J168" s="181"/>
      <c r="K168" s="276"/>
      <c r="L168" s="181">
        <f t="shared" si="51"/>
        <v>1249.89</v>
      </c>
      <c r="M168" s="211"/>
      <c r="N168" s="292"/>
      <c r="O168" s="235">
        <f t="shared" si="52"/>
        <v>1249.89</v>
      </c>
      <c r="P168" s="112"/>
      <c r="Q168" s="46"/>
    </row>
    <row r="169" spans="1:17" ht="13.5" thickBot="1">
      <c r="A169" s="322" t="s">
        <v>353</v>
      </c>
      <c r="B169" s="103">
        <v>2068</v>
      </c>
      <c r="C169" s="134"/>
      <c r="D169" s="104"/>
      <c r="E169" s="193"/>
      <c r="F169" s="204"/>
      <c r="G169" s="317"/>
      <c r="H169" s="318"/>
      <c r="I169" s="319"/>
      <c r="J169" s="319">
        <v>6322.99</v>
      </c>
      <c r="K169" s="320"/>
      <c r="L169" s="319">
        <f t="shared" si="51"/>
        <v>6322.99</v>
      </c>
      <c r="M169" s="317"/>
      <c r="N169" s="321"/>
      <c r="O169" s="318">
        <f t="shared" si="52"/>
        <v>6322.99</v>
      </c>
      <c r="P169" s="112"/>
      <c r="Q169" s="46"/>
    </row>
    <row r="170" spans="1:17" ht="12.75">
      <c r="A170" s="60" t="s">
        <v>307</v>
      </c>
      <c r="B170" s="59">
        <v>2058</v>
      </c>
      <c r="C170" s="106"/>
      <c r="D170" s="75">
        <f>537.4</f>
        <v>537.4</v>
      </c>
      <c r="E170" s="168"/>
      <c r="F170" s="198">
        <f t="shared" si="50"/>
        <v>537.4</v>
      </c>
      <c r="G170" s="211"/>
      <c r="H170" s="235"/>
      <c r="I170" s="181">
        <f t="shared" si="53"/>
        <v>537.4</v>
      </c>
      <c r="J170" s="181"/>
      <c r="K170" s="276"/>
      <c r="L170" s="181">
        <f t="shared" si="51"/>
        <v>537.4</v>
      </c>
      <c r="M170" s="211"/>
      <c r="N170" s="292"/>
      <c r="O170" s="235">
        <f t="shared" si="52"/>
        <v>537.4</v>
      </c>
      <c r="P170" s="112"/>
      <c r="Q170" s="46"/>
    </row>
    <row r="171" spans="1:17" ht="12.75">
      <c r="A171" s="11" t="s">
        <v>86</v>
      </c>
      <c r="B171" s="59"/>
      <c r="C171" s="106">
        <v>1600</v>
      </c>
      <c r="D171" s="75">
        <f>206+300+802+2236+120+1330+620+650</f>
        <v>6264</v>
      </c>
      <c r="E171" s="168"/>
      <c r="F171" s="198">
        <f t="shared" si="50"/>
        <v>7864</v>
      </c>
      <c r="G171" s="211">
        <f>0.15+120+764.85+13.17+223.9</f>
        <v>1122.07</v>
      </c>
      <c r="H171" s="235"/>
      <c r="I171" s="181">
        <f t="shared" si="53"/>
        <v>8986.07</v>
      </c>
      <c r="J171" s="181">
        <f>1300+2900</f>
        <v>4200</v>
      </c>
      <c r="K171" s="276"/>
      <c r="L171" s="181">
        <f t="shared" si="51"/>
        <v>13186.07</v>
      </c>
      <c r="M171" s="211">
        <f>15.78+268.26+2.08+35.31+300+50</f>
        <v>671.43</v>
      </c>
      <c r="N171" s="292"/>
      <c r="O171" s="235">
        <f t="shared" si="52"/>
        <v>13857.5</v>
      </c>
      <c r="P171" s="112"/>
      <c r="Q171" s="46"/>
    </row>
    <row r="172" spans="1:17" ht="12.75">
      <c r="A172" s="18" t="s">
        <v>59</v>
      </c>
      <c r="B172" s="63"/>
      <c r="C172" s="133">
        <f>SUM(C174:C179)</f>
        <v>0</v>
      </c>
      <c r="D172" s="85">
        <f aca="true" t="shared" si="54" ref="D172:Q172">SUM(D174:D179)</f>
        <v>221951.76</v>
      </c>
      <c r="E172" s="172">
        <f t="shared" si="54"/>
        <v>0</v>
      </c>
      <c r="F172" s="202">
        <f t="shared" si="54"/>
        <v>221951.76</v>
      </c>
      <c r="G172" s="216">
        <f t="shared" si="54"/>
        <v>902.88</v>
      </c>
      <c r="H172" s="240">
        <f t="shared" si="54"/>
        <v>1020</v>
      </c>
      <c r="I172" s="186">
        <f t="shared" si="54"/>
        <v>223874.64</v>
      </c>
      <c r="J172" s="186">
        <f t="shared" si="54"/>
        <v>120</v>
      </c>
      <c r="K172" s="281">
        <f t="shared" si="54"/>
        <v>0</v>
      </c>
      <c r="L172" s="186">
        <f t="shared" si="54"/>
        <v>223994.64</v>
      </c>
      <c r="M172" s="216">
        <f t="shared" si="54"/>
        <v>123.03</v>
      </c>
      <c r="N172" s="297">
        <f t="shared" si="54"/>
        <v>0</v>
      </c>
      <c r="O172" s="240">
        <f t="shared" si="54"/>
        <v>224117.67</v>
      </c>
      <c r="P172" s="124">
        <f t="shared" si="54"/>
        <v>0</v>
      </c>
      <c r="Q172" s="84">
        <f t="shared" si="54"/>
        <v>30816.690000000002</v>
      </c>
    </row>
    <row r="173" spans="1:17" ht="12.75">
      <c r="A173" s="20" t="s">
        <v>27</v>
      </c>
      <c r="B173" s="59"/>
      <c r="C173" s="106"/>
      <c r="D173" s="75"/>
      <c r="E173" s="168"/>
      <c r="F173" s="198"/>
      <c r="G173" s="211"/>
      <c r="H173" s="235"/>
      <c r="I173" s="181"/>
      <c r="J173" s="181"/>
      <c r="K173" s="276"/>
      <c r="L173" s="181"/>
      <c r="M173" s="211"/>
      <c r="N173" s="292"/>
      <c r="O173" s="235"/>
      <c r="P173" s="112"/>
      <c r="Q173" s="46"/>
    </row>
    <row r="174" spans="1:17" ht="12.75">
      <c r="A174" s="20" t="s">
        <v>341</v>
      </c>
      <c r="B174" s="59">
        <v>2057</v>
      </c>
      <c r="C174" s="106"/>
      <c r="D174" s="75">
        <f>28487.47+43.31+120</f>
        <v>28650.780000000002</v>
      </c>
      <c r="E174" s="168"/>
      <c r="F174" s="198">
        <f aca="true" t="shared" si="55" ref="F174:F179">C174+D174+E174</f>
        <v>28650.780000000002</v>
      </c>
      <c r="G174" s="211">
        <f>95.88</f>
        <v>95.88</v>
      </c>
      <c r="H174" s="235"/>
      <c r="I174" s="181">
        <f aca="true" t="shared" si="56" ref="I174:I179">F174+G174+H174</f>
        <v>28746.660000000003</v>
      </c>
      <c r="J174" s="181">
        <f>120</f>
        <v>120</v>
      </c>
      <c r="K174" s="276"/>
      <c r="L174" s="181">
        <f aca="true" t="shared" si="57" ref="L174:L179">I174+J174+K174</f>
        <v>28866.660000000003</v>
      </c>
      <c r="M174" s="211">
        <f>123.03</f>
        <v>123.03</v>
      </c>
      <c r="N174" s="292"/>
      <c r="O174" s="235">
        <f aca="true" t="shared" si="58" ref="O174:O179">L174+M174+N174</f>
        <v>28989.690000000002</v>
      </c>
      <c r="P174" s="112"/>
      <c r="Q174" s="46">
        <f aca="true" t="shared" si="59" ref="Q174:Q229">O174+P174</f>
        <v>28989.690000000002</v>
      </c>
    </row>
    <row r="175" spans="1:17" ht="12.75">
      <c r="A175" s="20" t="s">
        <v>340</v>
      </c>
      <c r="B175" s="59">
        <v>2064</v>
      </c>
      <c r="C175" s="106"/>
      <c r="D175" s="75">
        <f>96650.49</f>
        <v>96650.49</v>
      </c>
      <c r="E175" s="168"/>
      <c r="F175" s="198">
        <f t="shared" si="55"/>
        <v>96650.49</v>
      </c>
      <c r="G175" s="211"/>
      <c r="H175" s="235"/>
      <c r="I175" s="181">
        <f t="shared" si="56"/>
        <v>96650.49</v>
      </c>
      <c r="J175" s="181"/>
      <c r="K175" s="276"/>
      <c r="L175" s="181">
        <f t="shared" si="57"/>
        <v>96650.49</v>
      </c>
      <c r="M175" s="211"/>
      <c r="N175" s="292"/>
      <c r="O175" s="235">
        <f t="shared" si="58"/>
        <v>96650.49</v>
      </c>
      <c r="P175" s="112"/>
      <c r="Q175" s="46"/>
    </row>
    <row r="176" spans="1:17" ht="12.75">
      <c r="A176" s="20" t="s">
        <v>318</v>
      </c>
      <c r="B176" s="59">
        <v>2064</v>
      </c>
      <c r="C176" s="106"/>
      <c r="D176" s="75">
        <f>96650.49</f>
        <v>96650.49</v>
      </c>
      <c r="E176" s="168"/>
      <c r="F176" s="198">
        <f t="shared" si="55"/>
        <v>96650.49</v>
      </c>
      <c r="G176" s="211"/>
      <c r="H176" s="235"/>
      <c r="I176" s="181">
        <f t="shared" si="56"/>
        <v>96650.49</v>
      </c>
      <c r="J176" s="181"/>
      <c r="K176" s="276"/>
      <c r="L176" s="181">
        <f t="shared" si="57"/>
        <v>96650.49</v>
      </c>
      <c r="M176" s="211"/>
      <c r="N176" s="292"/>
      <c r="O176" s="235">
        <f t="shared" si="58"/>
        <v>96650.49</v>
      </c>
      <c r="P176" s="112"/>
      <c r="Q176" s="46"/>
    </row>
    <row r="177" spans="1:17" ht="12.75" hidden="1">
      <c r="A177" s="11" t="s">
        <v>74</v>
      </c>
      <c r="B177" s="59"/>
      <c r="C177" s="106"/>
      <c r="D177" s="75"/>
      <c r="E177" s="168"/>
      <c r="F177" s="198">
        <f t="shared" si="55"/>
        <v>0</v>
      </c>
      <c r="G177" s="211"/>
      <c r="H177" s="235"/>
      <c r="I177" s="181">
        <f t="shared" si="56"/>
        <v>0</v>
      </c>
      <c r="J177" s="181"/>
      <c r="K177" s="276"/>
      <c r="L177" s="181">
        <f t="shared" si="57"/>
        <v>0</v>
      </c>
      <c r="M177" s="211"/>
      <c r="N177" s="292"/>
      <c r="O177" s="235">
        <f t="shared" si="58"/>
        <v>0</v>
      </c>
      <c r="P177" s="112"/>
      <c r="Q177" s="46">
        <f t="shared" si="59"/>
        <v>0</v>
      </c>
    </row>
    <row r="178" spans="1:17" ht="12.75">
      <c r="A178" s="14" t="s">
        <v>60</v>
      </c>
      <c r="B178" s="62"/>
      <c r="C178" s="132"/>
      <c r="D178" s="83"/>
      <c r="E178" s="192"/>
      <c r="F178" s="203">
        <f t="shared" si="55"/>
        <v>0</v>
      </c>
      <c r="G178" s="217">
        <f>500+307</f>
        <v>807</v>
      </c>
      <c r="H178" s="233">
        <f>1020</f>
        <v>1020</v>
      </c>
      <c r="I178" s="187">
        <f t="shared" si="56"/>
        <v>1827</v>
      </c>
      <c r="J178" s="187"/>
      <c r="K178" s="282"/>
      <c r="L178" s="187">
        <f t="shared" si="57"/>
        <v>1827</v>
      </c>
      <c r="M178" s="217"/>
      <c r="N178" s="298"/>
      <c r="O178" s="233">
        <f t="shared" si="58"/>
        <v>1827</v>
      </c>
      <c r="P178" s="112"/>
      <c r="Q178" s="46">
        <f t="shared" si="59"/>
        <v>1827</v>
      </c>
    </row>
    <row r="179" spans="1:17" ht="12.75" hidden="1">
      <c r="A179" s="14" t="s">
        <v>86</v>
      </c>
      <c r="B179" s="62"/>
      <c r="C179" s="132"/>
      <c r="D179" s="83"/>
      <c r="E179" s="192"/>
      <c r="F179" s="203">
        <f t="shared" si="55"/>
        <v>0</v>
      </c>
      <c r="G179" s="217"/>
      <c r="H179" s="233"/>
      <c r="I179" s="187">
        <f t="shared" si="56"/>
        <v>0</v>
      </c>
      <c r="J179" s="187"/>
      <c r="K179" s="282"/>
      <c r="L179" s="187">
        <f t="shared" si="57"/>
        <v>0</v>
      </c>
      <c r="M179" s="217"/>
      <c r="N179" s="298"/>
      <c r="O179" s="233">
        <f t="shared" si="58"/>
        <v>0</v>
      </c>
      <c r="P179" s="270"/>
      <c r="Q179" s="48">
        <f t="shared" si="59"/>
        <v>0</v>
      </c>
    </row>
    <row r="180" spans="1:17" ht="12.75">
      <c r="A180" s="8" t="s">
        <v>91</v>
      </c>
      <c r="B180" s="63"/>
      <c r="C180" s="113">
        <f aca="true" t="shared" si="60" ref="C180:Q180">C181+C221</f>
        <v>363327.89999999997</v>
      </c>
      <c r="D180" s="74">
        <f t="shared" si="60"/>
        <v>5961285.180000001</v>
      </c>
      <c r="E180" s="167">
        <f t="shared" si="60"/>
        <v>0</v>
      </c>
      <c r="F180" s="179">
        <f t="shared" si="60"/>
        <v>6324613.080000001</v>
      </c>
      <c r="G180" s="210">
        <f t="shared" si="60"/>
        <v>104415.62</v>
      </c>
      <c r="H180" s="234">
        <f t="shared" si="60"/>
        <v>0</v>
      </c>
      <c r="I180" s="182">
        <f t="shared" si="60"/>
        <v>6429028.700000001</v>
      </c>
      <c r="J180" s="182">
        <f t="shared" si="60"/>
        <v>169789.10999999996</v>
      </c>
      <c r="K180" s="275">
        <f t="shared" si="60"/>
        <v>0</v>
      </c>
      <c r="L180" s="182">
        <f t="shared" si="60"/>
        <v>6598817.8100000005</v>
      </c>
      <c r="M180" s="210">
        <f t="shared" si="60"/>
        <v>124635.11999999998</v>
      </c>
      <c r="N180" s="291">
        <f t="shared" si="60"/>
        <v>0</v>
      </c>
      <c r="O180" s="234">
        <f t="shared" si="60"/>
        <v>6723452.93</v>
      </c>
      <c r="P180" s="98">
        <f t="shared" si="60"/>
        <v>0</v>
      </c>
      <c r="Q180" s="73">
        <f t="shared" si="60"/>
        <v>6620943.380000001</v>
      </c>
    </row>
    <row r="181" spans="1:17" ht="12.75">
      <c r="A181" s="17" t="s">
        <v>54</v>
      </c>
      <c r="B181" s="63"/>
      <c r="C181" s="131">
        <f aca="true" t="shared" si="61" ref="C181:Q181">SUM(C183:C220)</f>
        <v>363327.89999999997</v>
      </c>
      <c r="D181" s="82">
        <f t="shared" si="61"/>
        <v>5946864.95</v>
      </c>
      <c r="E181" s="171">
        <f t="shared" si="61"/>
        <v>0</v>
      </c>
      <c r="F181" s="201">
        <f t="shared" si="61"/>
        <v>6310192.850000001</v>
      </c>
      <c r="G181" s="215">
        <f t="shared" si="61"/>
        <v>99148.62</v>
      </c>
      <c r="H181" s="239">
        <f t="shared" si="61"/>
        <v>0</v>
      </c>
      <c r="I181" s="185">
        <f t="shared" si="61"/>
        <v>6409341.470000001</v>
      </c>
      <c r="J181" s="185">
        <f t="shared" si="61"/>
        <v>169553.52999999997</v>
      </c>
      <c r="K181" s="280">
        <f t="shared" si="61"/>
        <v>0</v>
      </c>
      <c r="L181" s="185">
        <f t="shared" si="61"/>
        <v>6578895.000000001</v>
      </c>
      <c r="M181" s="215">
        <f t="shared" si="61"/>
        <v>122958.11999999998</v>
      </c>
      <c r="N181" s="296">
        <f t="shared" si="61"/>
        <v>0</v>
      </c>
      <c r="O181" s="239">
        <f t="shared" si="61"/>
        <v>6701853.12</v>
      </c>
      <c r="P181" s="123">
        <f t="shared" si="61"/>
        <v>0</v>
      </c>
      <c r="Q181" s="81">
        <f t="shared" si="61"/>
        <v>6609160.140000001</v>
      </c>
    </row>
    <row r="182" spans="1:17" ht="12.75">
      <c r="A182" s="9" t="s">
        <v>27</v>
      </c>
      <c r="B182" s="59"/>
      <c r="C182" s="106"/>
      <c r="D182" s="75"/>
      <c r="E182" s="168"/>
      <c r="F182" s="198"/>
      <c r="G182" s="211"/>
      <c r="H182" s="235"/>
      <c r="I182" s="181"/>
      <c r="J182" s="181"/>
      <c r="K182" s="276"/>
      <c r="L182" s="181"/>
      <c r="M182" s="211"/>
      <c r="N182" s="292"/>
      <c r="O182" s="235"/>
      <c r="P182" s="112"/>
      <c r="Q182" s="46"/>
    </row>
    <row r="183" spans="1:17" ht="12.75">
      <c r="A183" s="15" t="s">
        <v>82</v>
      </c>
      <c r="B183" s="59"/>
      <c r="C183" s="106">
        <v>334848.8</v>
      </c>
      <c r="D183" s="75">
        <f>537.8+1348.51+183.4+5587.9+2483.8+6000</f>
        <v>16141.41</v>
      </c>
      <c r="E183" s="168"/>
      <c r="F183" s="198">
        <f aca="true" t="shared" si="62" ref="F183:F220">C183+D183+E183</f>
        <v>350990.20999999996</v>
      </c>
      <c r="G183" s="211">
        <f>5136.29+6893.7</f>
        <v>12029.99</v>
      </c>
      <c r="H183" s="235"/>
      <c r="I183" s="181">
        <f>F183+G183+H183</f>
        <v>363020.19999999995</v>
      </c>
      <c r="J183" s="181">
        <v>6800.77</v>
      </c>
      <c r="K183" s="276"/>
      <c r="L183" s="181">
        <f>I183+J183+K183</f>
        <v>369820.97</v>
      </c>
      <c r="M183" s="211">
        <f>8671.39-718.83-288</f>
        <v>7664.5599999999995</v>
      </c>
      <c r="N183" s="292"/>
      <c r="O183" s="235">
        <f>L183+M183+N183</f>
        <v>377485.52999999997</v>
      </c>
      <c r="P183" s="112"/>
      <c r="Q183" s="46">
        <f t="shared" si="59"/>
        <v>377485.52999999997</v>
      </c>
    </row>
    <row r="184" spans="1:17" ht="12.75">
      <c r="A184" s="15" t="s">
        <v>256</v>
      </c>
      <c r="B184" s="59"/>
      <c r="C184" s="106"/>
      <c r="D184" s="75"/>
      <c r="E184" s="168"/>
      <c r="F184" s="198"/>
      <c r="G184" s="211"/>
      <c r="H184" s="235"/>
      <c r="I184" s="181"/>
      <c r="J184" s="181"/>
      <c r="K184" s="276"/>
      <c r="L184" s="181"/>
      <c r="M184" s="211"/>
      <c r="N184" s="292"/>
      <c r="O184" s="235"/>
      <c r="P184" s="112"/>
      <c r="Q184" s="46"/>
    </row>
    <row r="185" spans="1:17" ht="12.75">
      <c r="A185" s="15" t="s">
        <v>92</v>
      </c>
      <c r="B185" s="59">
        <v>33353</v>
      </c>
      <c r="C185" s="106"/>
      <c r="D185" s="86">
        <f>1790480.88+450.59</f>
        <v>1790931.47</v>
      </c>
      <c r="E185" s="168"/>
      <c r="F185" s="198">
        <f t="shared" si="62"/>
        <v>1790931.47</v>
      </c>
      <c r="G185" s="211">
        <f>93.39-2.72+49</f>
        <v>139.67000000000002</v>
      </c>
      <c r="H185" s="235"/>
      <c r="I185" s="181">
        <f aca="true" t="shared" si="63" ref="I185:I220">F185+G185+H185</f>
        <v>1791071.14</v>
      </c>
      <c r="J185" s="189">
        <f>-41.22+18390.77-428.23</f>
        <v>17921.32</v>
      </c>
      <c r="K185" s="276"/>
      <c r="L185" s="181">
        <f aca="true" t="shared" si="64" ref="L185:L220">I185+J185+K185</f>
        <v>1808992.46</v>
      </c>
      <c r="M185" s="75">
        <f>5042.83+2500.76</f>
        <v>7543.59</v>
      </c>
      <c r="N185" s="292"/>
      <c r="O185" s="235">
        <f aca="true" t="shared" si="65" ref="O185:O220">L185+M185+N185</f>
        <v>1816536.05</v>
      </c>
      <c r="P185" s="112"/>
      <c r="Q185" s="46">
        <f t="shared" si="59"/>
        <v>1816536.05</v>
      </c>
    </row>
    <row r="186" spans="1:17" ht="12.75">
      <c r="A186" s="15" t="s">
        <v>94</v>
      </c>
      <c r="B186" s="59">
        <v>33353</v>
      </c>
      <c r="C186" s="106"/>
      <c r="D186" s="75">
        <f>4015715.59+8677.98</f>
        <v>4024393.57</v>
      </c>
      <c r="E186" s="168"/>
      <c r="F186" s="198">
        <f t="shared" si="62"/>
        <v>4024393.57</v>
      </c>
      <c r="G186" s="219">
        <f>5131.21+5662.67+2806.25</f>
        <v>13600.130000000001</v>
      </c>
      <c r="H186" s="235"/>
      <c r="I186" s="181">
        <f t="shared" si="63"/>
        <v>4037993.6999999997</v>
      </c>
      <c r="J186" s="181">
        <f>1336.61+31673.88-390.54</f>
        <v>32619.949999999997</v>
      </c>
      <c r="K186" s="276"/>
      <c r="L186" s="181">
        <f t="shared" si="64"/>
        <v>4070613.65</v>
      </c>
      <c r="M186" s="86">
        <f>12469.44+5664.65</f>
        <v>18134.09</v>
      </c>
      <c r="N186" s="292"/>
      <c r="O186" s="235">
        <f t="shared" si="65"/>
        <v>4088747.7399999998</v>
      </c>
      <c r="P186" s="112"/>
      <c r="Q186" s="46">
        <f t="shared" si="59"/>
        <v>4088747.7399999998</v>
      </c>
    </row>
    <row r="187" spans="1:17" ht="12.75">
      <c r="A187" s="15" t="s">
        <v>93</v>
      </c>
      <c r="B187" s="59">
        <v>33155</v>
      </c>
      <c r="C187" s="106"/>
      <c r="D187" s="86">
        <f>71282.48</f>
        <v>71282.48</v>
      </c>
      <c r="E187" s="168"/>
      <c r="F187" s="198">
        <f t="shared" si="62"/>
        <v>71282.48</v>
      </c>
      <c r="G187" s="211">
        <f>72228.5</f>
        <v>72228.5</v>
      </c>
      <c r="H187" s="235"/>
      <c r="I187" s="181">
        <f t="shared" si="63"/>
        <v>143510.97999999998</v>
      </c>
      <c r="J187" s="181">
        <f>73021.45</f>
        <v>73021.45</v>
      </c>
      <c r="K187" s="276"/>
      <c r="L187" s="181">
        <f t="shared" si="64"/>
        <v>216532.43</v>
      </c>
      <c r="M187" s="211">
        <f>75315.24</f>
        <v>75315.24</v>
      </c>
      <c r="N187" s="292"/>
      <c r="O187" s="235">
        <f t="shared" si="65"/>
        <v>291847.67</v>
      </c>
      <c r="P187" s="112"/>
      <c r="Q187" s="46">
        <f t="shared" si="59"/>
        <v>291847.67</v>
      </c>
    </row>
    <row r="188" spans="1:17" ht="12.75" hidden="1">
      <c r="A188" s="15" t="s">
        <v>95</v>
      </c>
      <c r="B188" s="59" t="s">
        <v>239</v>
      </c>
      <c r="C188" s="106"/>
      <c r="D188" s="75"/>
      <c r="E188" s="168"/>
      <c r="F188" s="198">
        <f t="shared" si="62"/>
        <v>0</v>
      </c>
      <c r="G188" s="211"/>
      <c r="H188" s="235"/>
      <c r="I188" s="181">
        <f t="shared" si="63"/>
        <v>0</v>
      </c>
      <c r="J188" s="181"/>
      <c r="K188" s="276"/>
      <c r="L188" s="181">
        <f t="shared" si="64"/>
        <v>0</v>
      </c>
      <c r="M188" s="211"/>
      <c r="N188" s="292"/>
      <c r="O188" s="235">
        <f t="shared" si="65"/>
        <v>0</v>
      </c>
      <c r="P188" s="112"/>
      <c r="Q188" s="46">
        <f t="shared" si="59"/>
        <v>0</v>
      </c>
    </row>
    <row r="189" spans="1:17" ht="12.75" hidden="1">
      <c r="A189" s="15" t="s">
        <v>150</v>
      </c>
      <c r="B189" s="59"/>
      <c r="C189" s="106"/>
      <c r="D189" s="75"/>
      <c r="E189" s="168"/>
      <c r="F189" s="198">
        <f t="shared" si="62"/>
        <v>0</v>
      </c>
      <c r="G189" s="211"/>
      <c r="H189" s="235"/>
      <c r="I189" s="181">
        <f t="shared" si="63"/>
        <v>0</v>
      </c>
      <c r="J189" s="181"/>
      <c r="K189" s="276"/>
      <c r="L189" s="181">
        <f t="shared" si="64"/>
        <v>0</v>
      </c>
      <c r="M189" s="211"/>
      <c r="N189" s="292"/>
      <c r="O189" s="235">
        <f t="shared" si="65"/>
        <v>0</v>
      </c>
      <c r="P189" s="112"/>
      <c r="Q189" s="46">
        <f t="shared" si="59"/>
        <v>0</v>
      </c>
    </row>
    <row r="190" spans="1:17" ht="12.75">
      <c r="A190" s="15" t="s">
        <v>235</v>
      </c>
      <c r="B190" s="59">
        <v>33215</v>
      </c>
      <c r="C190" s="106"/>
      <c r="D190" s="75">
        <f>482.38</f>
        <v>482.38</v>
      </c>
      <c r="E190" s="168"/>
      <c r="F190" s="198">
        <f t="shared" si="62"/>
        <v>482.38</v>
      </c>
      <c r="G190" s="211"/>
      <c r="H190" s="235"/>
      <c r="I190" s="181">
        <f t="shared" si="63"/>
        <v>482.38</v>
      </c>
      <c r="J190" s="181"/>
      <c r="K190" s="276"/>
      <c r="L190" s="181">
        <f t="shared" si="64"/>
        <v>482.38</v>
      </c>
      <c r="M190" s="211"/>
      <c r="N190" s="292"/>
      <c r="O190" s="235">
        <f t="shared" si="65"/>
        <v>482.38</v>
      </c>
      <c r="P190" s="112"/>
      <c r="Q190" s="46">
        <f t="shared" si="59"/>
        <v>482.38</v>
      </c>
    </row>
    <row r="191" spans="1:17" ht="12.75">
      <c r="A191" s="15" t="s">
        <v>236</v>
      </c>
      <c r="B191" s="59">
        <v>33457</v>
      </c>
      <c r="C191" s="106"/>
      <c r="D191" s="75">
        <f>3261.32</f>
        <v>3261.32</v>
      </c>
      <c r="E191" s="168"/>
      <c r="F191" s="198">
        <f t="shared" si="62"/>
        <v>3261.32</v>
      </c>
      <c r="G191" s="211"/>
      <c r="H191" s="235"/>
      <c r="I191" s="181">
        <f t="shared" si="63"/>
        <v>3261.32</v>
      </c>
      <c r="J191" s="181"/>
      <c r="K191" s="276"/>
      <c r="L191" s="181">
        <f t="shared" si="64"/>
        <v>3261.32</v>
      </c>
      <c r="M191" s="211">
        <f>-159.71</f>
        <v>-159.71</v>
      </c>
      <c r="N191" s="292"/>
      <c r="O191" s="235">
        <f t="shared" si="65"/>
        <v>3101.61</v>
      </c>
      <c r="P191" s="112"/>
      <c r="Q191" s="46">
        <f t="shared" si="59"/>
        <v>3101.61</v>
      </c>
    </row>
    <row r="192" spans="1:17" ht="12.75">
      <c r="A192" s="15" t="s">
        <v>361</v>
      </c>
      <c r="B192" s="59">
        <v>33034</v>
      </c>
      <c r="C192" s="106"/>
      <c r="D192" s="75"/>
      <c r="E192" s="168"/>
      <c r="F192" s="198"/>
      <c r="G192" s="211"/>
      <c r="H192" s="235"/>
      <c r="I192" s="181"/>
      <c r="J192" s="181"/>
      <c r="K192" s="276"/>
      <c r="L192" s="181">
        <f t="shared" si="64"/>
        <v>0</v>
      </c>
      <c r="M192" s="211">
        <f>550.85</f>
        <v>550.85</v>
      </c>
      <c r="N192" s="292"/>
      <c r="O192" s="235">
        <f t="shared" si="65"/>
        <v>550.85</v>
      </c>
      <c r="P192" s="112"/>
      <c r="Q192" s="46"/>
    </row>
    <row r="193" spans="1:17" ht="12.75" hidden="1">
      <c r="A193" s="15" t="s">
        <v>217</v>
      </c>
      <c r="B193" s="59">
        <v>33052</v>
      </c>
      <c r="C193" s="106"/>
      <c r="D193" s="75"/>
      <c r="E193" s="168"/>
      <c r="F193" s="198">
        <f t="shared" si="62"/>
        <v>0</v>
      </c>
      <c r="G193" s="211"/>
      <c r="H193" s="235"/>
      <c r="I193" s="181">
        <f t="shared" si="63"/>
        <v>0</v>
      </c>
      <c r="J193" s="181"/>
      <c r="K193" s="276"/>
      <c r="L193" s="181">
        <f t="shared" si="64"/>
        <v>0</v>
      </c>
      <c r="M193" s="211"/>
      <c r="N193" s="292"/>
      <c r="O193" s="235">
        <f t="shared" si="65"/>
        <v>0</v>
      </c>
      <c r="P193" s="112"/>
      <c r="Q193" s="46">
        <f t="shared" si="59"/>
        <v>0</v>
      </c>
    </row>
    <row r="194" spans="1:17" ht="12.75">
      <c r="A194" s="15" t="s">
        <v>257</v>
      </c>
      <c r="B194" s="59">
        <v>33069</v>
      </c>
      <c r="C194" s="106"/>
      <c r="D194" s="75">
        <f>10259.23</f>
        <v>10259.23</v>
      </c>
      <c r="E194" s="168"/>
      <c r="F194" s="198">
        <f t="shared" si="62"/>
        <v>10259.23</v>
      </c>
      <c r="G194" s="211"/>
      <c r="H194" s="235"/>
      <c r="I194" s="181">
        <f t="shared" si="63"/>
        <v>10259.23</v>
      </c>
      <c r="J194" s="181"/>
      <c r="K194" s="276"/>
      <c r="L194" s="181">
        <f t="shared" si="64"/>
        <v>10259.23</v>
      </c>
      <c r="M194" s="211"/>
      <c r="N194" s="292"/>
      <c r="O194" s="235">
        <f t="shared" si="65"/>
        <v>10259.23</v>
      </c>
      <c r="P194" s="112"/>
      <c r="Q194" s="46"/>
    </row>
    <row r="195" spans="1:17" ht="12.75">
      <c r="A195" s="15" t="s">
        <v>312</v>
      </c>
      <c r="B195" s="59">
        <v>33070</v>
      </c>
      <c r="C195" s="106"/>
      <c r="D195" s="75">
        <f>2043.37</f>
        <v>2043.37</v>
      </c>
      <c r="E195" s="168"/>
      <c r="F195" s="198">
        <f t="shared" si="62"/>
        <v>2043.37</v>
      </c>
      <c r="G195" s="211"/>
      <c r="H195" s="235"/>
      <c r="I195" s="181">
        <f t="shared" si="63"/>
        <v>2043.37</v>
      </c>
      <c r="J195" s="181">
        <f>-249.07-14.37-20.49</f>
        <v>-283.93</v>
      </c>
      <c r="K195" s="276"/>
      <c r="L195" s="181">
        <f t="shared" si="64"/>
        <v>1759.4399999999998</v>
      </c>
      <c r="M195" s="211">
        <f>1685.81</f>
        <v>1685.81</v>
      </c>
      <c r="N195" s="292"/>
      <c r="O195" s="235">
        <f t="shared" si="65"/>
        <v>3445.25</v>
      </c>
      <c r="P195" s="112"/>
      <c r="Q195" s="46"/>
    </row>
    <row r="196" spans="1:17" ht="12.75">
      <c r="A196" s="15" t="s">
        <v>296</v>
      </c>
      <c r="B196" s="59">
        <v>33071</v>
      </c>
      <c r="C196" s="106"/>
      <c r="D196" s="75">
        <f>612.5</f>
        <v>612.5</v>
      </c>
      <c r="E196" s="168"/>
      <c r="F196" s="198">
        <f t="shared" si="62"/>
        <v>612.5</v>
      </c>
      <c r="G196" s="211"/>
      <c r="H196" s="235"/>
      <c r="I196" s="181">
        <f t="shared" si="63"/>
        <v>612.5</v>
      </c>
      <c r="J196" s="181">
        <f>612.5-90.71</f>
        <v>521.79</v>
      </c>
      <c r="K196" s="276"/>
      <c r="L196" s="181">
        <f t="shared" si="64"/>
        <v>1134.29</v>
      </c>
      <c r="M196" s="211"/>
      <c r="N196" s="292"/>
      <c r="O196" s="235">
        <f t="shared" si="65"/>
        <v>1134.29</v>
      </c>
      <c r="P196" s="112"/>
      <c r="Q196" s="46">
        <f t="shared" si="59"/>
        <v>1134.29</v>
      </c>
    </row>
    <row r="197" spans="1:17" ht="12.75" hidden="1">
      <c r="A197" s="15" t="s">
        <v>218</v>
      </c>
      <c r="B197" s="59">
        <v>33050</v>
      </c>
      <c r="C197" s="106"/>
      <c r="D197" s="75"/>
      <c r="E197" s="168"/>
      <c r="F197" s="198">
        <f t="shared" si="62"/>
        <v>0</v>
      </c>
      <c r="G197" s="211"/>
      <c r="H197" s="235"/>
      <c r="I197" s="181">
        <f t="shared" si="63"/>
        <v>0</v>
      </c>
      <c r="J197" s="181"/>
      <c r="K197" s="276"/>
      <c r="L197" s="181">
        <f t="shared" si="64"/>
        <v>0</v>
      </c>
      <c r="M197" s="211"/>
      <c r="N197" s="292"/>
      <c r="O197" s="235">
        <f t="shared" si="65"/>
        <v>0</v>
      </c>
      <c r="P197" s="112"/>
      <c r="Q197" s="46">
        <f t="shared" si="59"/>
        <v>0</v>
      </c>
    </row>
    <row r="198" spans="1:17" ht="12.75">
      <c r="A198" s="15" t="s">
        <v>329</v>
      </c>
      <c r="B198" s="59">
        <v>33435</v>
      </c>
      <c r="C198" s="106"/>
      <c r="D198" s="75"/>
      <c r="E198" s="168"/>
      <c r="F198" s="198">
        <f t="shared" si="62"/>
        <v>0</v>
      </c>
      <c r="G198" s="211">
        <f>720.53+160.14-54.14</f>
        <v>826.53</v>
      </c>
      <c r="H198" s="235"/>
      <c r="I198" s="181">
        <f t="shared" si="63"/>
        <v>826.53</v>
      </c>
      <c r="J198" s="181"/>
      <c r="K198" s="276"/>
      <c r="L198" s="181">
        <f t="shared" si="64"/>
        <v>826.53</v>
      </c>
      <c r="M198" s="211"/>
      <c r="N198" s="292"/>
      <c r="O198" s="235">
        <f t="shared" si="65"/>
        <v>826.53</v>
      </c>
      <c r="P198" s="112"/>
      <c r="Q198" s="46">
        <f t="shared" si="59"/>
        <v>826.53</v>
      </c>
    </row>
    <row r="199" spans="1:17" ht="12.75">
      <c r="A199" s="15" t="s">
        <v>243</v>
      </c>
      <c r="B199" s="59">
        <v>33049</v>
      </c>
      <c r="C199" s="106"/>
      <c r="D199" s="75">
        <f>5938</f>
        <v>5938</v>
      </c>
      <c r="E199" s="168"/>
      <c r="F199" s="198">
        <f t="shared" si="62"/>
        <v>5938</v>
      </c>
      <c r="G199" s="211"/>
      <c r="H199" s="235"/>
      <c r="I199" s="181">
        <f t="shared" si="63"/>
        <v>5938</v>
      </c>
      <c r="J199" s="181"/>
      <c r="K199" s="276"/>
      <c r="L199" s="181">
        <f t="shared" si="64"/>
        <v>5938</v>
      </c>
      <c r="M199" s="211">
        <f>2969</f>
        <v>2969</v>
      </c>
      <c r="N199" s="292"/>
      <c r="O199" s="235">
        <f t="shared" si="65"/>
        <v>8907</v>
      </c>
      <c r="P199" s="112"/>
      <c r="Q199" s="46"/>
    </row>
    <row r="200" spans="1:17" ht="12.75" hidden="1">
      <c r="A200" s="15" t="s">
        <v>219</v>
      </c>
      <c r="B200" s="59">
        <v>33044</v>
      </c>
      <c r="C200" s="106"/>
      <c r="D200" s="75"/>
      <c r="E200" s="168"/>
      <c r="F200" s="198">
        <f t="shared" si="62"/>
        <v>0</v>
      </c>
      <c r="G200" s="211"/>
      <c r="H200" s="235"/>
      <c r="I200" s="181">
        <f t="shared" si="63"/>
        <v>0</v>
      </c>
      <c r="J200" s="181"/>
      <c r="K200" s="276"/>
      <c r="L200" s="181">
        <f t="shared" si="64"/>
        <v>0</v>
      </c>
      <c r="M200" s="211"/>
      <c r="N200" s="292"/>
      <c r="O200" s="235">
        <f t="shared" si="65"/>
        <v>0</v>
      </c>
      <c r="P200" s="112"/>
      <c r="Q200" s="46">
        <f t="shared" si="59"/>
        <v>0</v>
      </c>
    </row>
    <row r="201" spans="1:17" ht="12.75">
      <c r="A201" s="15" t="s">
        <v>328</v>
      </c>
      <c r="B201" s="59">
        <v>33024</v>
      </c>
      <c r="C201" s="106"/>
      <c r="D201" s="75"/>
      <c r="E201" s="168"/>
      <c r="F201" s="198">
        <f t="shared" si="62"/>
        <v>0</v>
      </c>
      <c r="G201" s="211">
        <f>546.71-60.39</f>
        <v>486.32000000000005</v>
      </c>
      <c r="H201" s="235"/>
      <c r="I201" s="181">
        <f t="shared" si="63"/>
        <v>486.32000000000005</v>
      </c>
      <c r="J201" s="181"/>
      <c r="K201" s="276"/>
      <c r="L201" s="181">
        <f t="shared" si="64"/>
        <v>486.32000000000005</v>
      </c>
      <c r="M201" s="211"/>
      <c r="N201" s="292"/>
      <c r="O201" s="235">
        <f t="shared" si="65"/>
        <v>486.32000000000005</v>
      </c>
      <c r="P201" s="112"/>
      <c r="Q201" s="46"/>
    </row>
    <row r="202" spans="1:17" ht="12.75" hidden="1">
      <c r="A202" s="33" t="s">
        <v>168</v>
      </c>
      <c r="B202" s="59">
        <v>33018</v>
      </c>
      <c r="C202" s="106"/>
      <c r="D202" s="75"/>
      <c r="E202" s="168"/>
      <c r="F202" s="198">
        <f t="shared" si="62"/>
        <v>0</v>
      </c>
      <c r="G202" s="211"/>
      <c r="H202" s="235"/>
      <c r="I202" s="181">
        <f t="shared" si="63"/>
        <v>0</v>
      </c>
      <c r="J202" s="181"/>
      <c r="K202" s="276"/>
      <c r="L202" s="181">
        <f t="shared" si="64"/>
        <v>0</v>
      </c>
      <c r="M202" s="211"/>
      <c r="N202" s="292"/>
      <c r="O202" s="235">
        <f t="shared" si="65"/>
        <v>0</v>
      </c>
      <c r="P202" s="112"/>
      <c r="Q202" s="46">
        <f t="shared" si="59"/>
        <v>0</v>
      </c>
    </row>
    <row r="203" spans="1:17" ht="12.75" hidden="1">
      <c r="A203" s="13" t="s">
        <v>169</v>
      </c>
      <c r="B203" s="59"/>
      <c r="C203" s="106"/>
      <c r="D203" s="75"/>
      <c r="E203" s="168"/>
      <c r="F203" s="198">
        <f t="shared" si="62"/>
        <v>0</v>
      </c>
      <c r="G203" s="211"/>
      <c r="H203" s="235"/>
      <c r="I203" s="181">
        <f t="shared" si="63"/>
        <v>0</v>
      </c>
      <c r="J203" s="181"/>
      <c r="K203" s="276"/>
      <c r="L203" s="181">
        <f t="shared" si="64"/>
        <v>0</v>
      </c>
      <c r="M203" s="211"/>
      <c r="N203" s="292"/>
      <c r="O203" s="235">
        <f t="shared" si="65"/>
        <v>0</v>
      </c>
      <c r="P203" s="112"/>
      <c r="Q203" s="46">
        <f t="shared" si="59"/>
        <v>0</v>
      </c>
    </row>
    <row r="204" spans="1:17" ht="12.75">
      <c r="A204" s="33" t="s">
        <v>196</v>
      </c>
      <c r="B204" s="59">
        <v>33160</v>
      </c>
      <c r="C204" s="106"/>
      <c r="D204" s="75"/>
      <c r="E204" s="168"/>
      <c r="F204" s="198">
        <f t="shared" si="62"/>
        <v>0</v>
      </c>
      <c r="G204" s="211">
        <f>271.7</f>
        <v>271.7</v>
      </c>
      <c r="H204" s="235"/>
      <c r="I204" s="181">
        <f t="shared" si="63"/>
        <v>271.7</v>
      </c>
      <c r="J204" s="181">
        <f>-90.33</f>
        <v>-90.33</v>
      </c>
      <c r="K204" s="276"/>
      <c r="L204" s="181">
        <f t="shared" si="64"/>
        <v>181.37</v>
      </c>
      <c r="M204" s="211">
        <f>190.9</f>
        <v>190.9</v>
      </c>
      <c r="N204" s="292"/>
      <c r="O204" s="235">
        <f t="shared" si="65"/>
        <v>372.27</v>
      </c>
      <c r="P204" s="112"/>
      <c r="Q204" s="46">
        <f t="shared" si="59"/>
        <v>372.27</v>
      </c>
    </row>
    <row r="205" spans="1:17" ht="12.75" hidden="1">
      <c r="A205" s="15" t="s">
        <v>156</v>
      </c>
      <c r="B205" s="59"/>
      <c r="C205" s="106"/>
      <c r="D205" s="75"/>
      <c r="E205" s="168"/>
      <c r="F205" s="198">
        <f t="shared" si="62"/>
        <v>0</v>
      </c>
      <c r="G205" s="211"/>
      <c r="H205" s="235"/>
      <c r="I205" s="181">
        <f t="shared" si="63"/>
        <v>0</v>
      </c>
      <c r="J205" s="181"/>
      <c r="K205" s="276"/>
      <c r="L205" s="181">
        <f t="shared" si="64"/>
        <v>0</v>
      </c>
      <c r="M205" s="211"/>
      <c r="N205" s="292"/>
      <c r="O205" s="235">
        <f t="shared" si="65"/>
        <v>0</v>
      </c>
      <c r="P205" s="112"/>
      <c r="Q205" s="46">
        <f t="shared" si="59"/>
        <v>0</v>
      </c>
    </row>
    <row r="206" spans="1:17" ht="12.75" hidden="1">
      <c r="A206" s="33" t="s">
        <v>145</v>
      </c>
      <c r="B206" s="59"/>
      <c r="C206" s="106"/>
      <c r="D206" s="75"/>
      <c r="E206" s="168"/>
      <c r="F206" s="198">
        <f t="shared" si="62"/>
        <v>0</v>
      </c>
      <c r="G206" s="211"/>
      <c r="H206" s="235"/>
      <c r="I206" s="181">
        <f t="shared" si="63"/>
        <v>0</v>
      </c>
      <c r="J206" s="181"/>
      <c r="K206" s="276"/>
      <c r="L206" s="181">
        <f t="shared" si="64"/>
        <v>0</v>
      </c>
      <c r="M206" s="211"/>
      <c r="N206" s="292"/>
      <c r="O206" s="235">
        <f t="shared" si="65"/>
        <v>0</v>
      </c>
      <c r="P206" s="112"/>
      <c r="Q206" s="46">
        <f t="shared" si="59"/>
        <v>0</v>
      </c>
    </row>
    <row r="207" spans="1:17" ht="12.75" hidden="1">
      <c r="A207" s="33" t="s">
        <v>155</v>
      </c>
      <c r="B207" s="59"/>
      <c r="C207" s="106"/>
      <c r="D207" s="75"/>
      <c r="E207" s="168"/>
      <c r="F207" s="198">
        <f t="shared" si="62"/>
        <v>0</v>
      </c>
      <c r="G207" s="211"/>
      <c r="H207" s="235"/>
      <c r="I207" s="181">
        <f t="shared" si="63"/>
        <v>0</v>
      </c>
      <c r="J207" s="181"/>
      <c r="K207" s="276"/>
      <c r="L207" s="181">
        <f t="shared" si="64"/>
        <v>0</v>
      </c>
      <c r="M207" s="211"/>
      <c r="N207" s="292"/>
      <c r="O207" s="235">
        <f t="shared" si="65"/>
        <v>0</v>
      </c>
      <c r="P207" s="112"/>
      <c r="Q207" s="46">
        <f t="shared" si="59"/>
        <v>0</v>
      </c>
    </row>
    <row r="208" spans="1:17" ht="12.75">
      <c r="A208" s="15" t="s">
        <v>344</v>
      </c>
      <c r="B208" s="59">
        <v>33025</v>
      </c>
      <c r="C208" s="106"/>
      <c r="D208" s="75"/>
      <c r="E208" s="168"/>
      <c r="F208" s="198">
        <f t="shared" si="62"/>
        <v>0</v>
      </c>
      <c r="G208" s="211"/>
      <c r="H208" s="235"/>
      <c r="I208" s="181">
        <f t="shared" si="63"/>
        <v>0</v>
      </c>
      <c r="J208" s="181">
        <f>491.9</f>
        <v>491.9</v>
      </c>
      <c r="K208" s="276"/>
      <c r="L208" s="181">
        <f t="shared" si="64"/>
        <v>491.9</v>
      </c>
      <c r="M208" s="211"/>
      <c r="N208" s="292"/>
      <c r="O208" s="235">
        <f t="shared" si="65"/>
        <v>491.9</v>
      </c>
      <c r="P208" s="112"/>
      <c r="Q208" s="46">
        <f t="shared" si="59"/>
        <v>491.9</v>
      </c>
    </row>
    <row r="209" spans="1:17" ht="12.75">
      <c r="A209" s="15" t="s">
        <v>179</v>
      </c>
      <c r="B209" s="59">
        <v>33038</v>
      </c>
      <c r="C209" s="106"/>
      <c r="D209" s="75"/>
      <c r="E209" s="168"/>
      <c r="F209" s="198">
        <f t="shared" si="62"/>
        <v>0</v>
      </c>
      <c r="G209" s="211">
        <f>1396.04</f>
        <v>1396.04</v>
      </c>
      <c r="H209" s="235"/>
      <c r="I209" s="181">
        <f t="shared" si="63"/>
        <v>1396.04</v>
      </c>
      <c r="J209" s="181"/>
      <c r="K209" s="276"/>
      <c r="L209" s="181">
        <f t="shared" si="64"/>
        <v>1396.04</v>
      </c>
      <c r="M209" s="211"/>
      <c r="N209" s="292"/>
      <c r="O209" s="235">
        <f t="shared" si="65"/>
        <v>1396.04</v>
      </c>
      <c r="P209" s="112"/>
      <c r="Q209" s="46">
        <f t="shared" si="59"/>
        <v>1396.04</v>
      </c>
    </row>
    <row r="210" spans="1:17" ht="12.75">
      <c r="A210" s="15" t="s">
        <v>360</v>
      </c>
      <c r="B210" s="59">
        <v>33063</v>
      </c>
      <c r="C210" s="106"/>
      <c r="D210" s="75">
        <f>5782.93+206.42</f>
        <v>5989.35</v>
      </c>
      <c r="E210" s="168"/>
      <c r="F210" s="198">
        <f t="shared" si="62"/>
        <v>5989.35</v>
      </c>
      <c r="G210" s="211">
        <f>135.06+1476.68+211.52+422.23+680.95+765.24</f>
        <v>3691.6799999999994</v>
      </c>
      <c r="H210" s="235"/>
      <c r="I210" s="181">
        <f t="shared" si="63"/>
        <v>9681.029999999999</v>
      </c>
      <c r="J210" s="181">
        <f>905.31+147.83+417.95+445.35+323.5+221.5+1416.56+1292.23+102.63</f>
        <v>5272.86</v>
      </c>
      <c r="K210" s="276"/>
      <c r="L210" s="181">
        <f>14953.89+1500+7162.07</f>
        <v>23615.96</v>
      </c>
      <c r="M210" s="211">
        <f>1292.85+606.37+107.55+190.28+87.36+8576.43+1883+1181.16+1099.47+820.25</f>
        <v>15844.72</v>
      </c>
      <c r="N210" s="292"/>
      <c r="O210" s="235">
        <f t="shared" si="65"/>
        <v>39460.68</v>
      </c>
      <c r="P210" s="112"/>
      <c r="Q210" s="46"/>
    </row>
    <row r="211" spans="1:19" ht="12.75" hidden="1">
      <c r="A211" s="15" t="s">
        <v>337</v>
      </c>
      <c r="B211" s="59">
        <v>33063</v>
      </c>
      <c r="C211" s="106"/>
      <c r="D211" s="75"/>
      <c r="E211" s="168"/>
      <c r="F211" s="198">
        <f t="shared" si="62"/>
        <v>0</v>
      </c>
      <c r="G211" s="211">
        <f>1500</f>
        <v>1500</v>
      </c>
      <c r="H211" s="235"/>
      <c r="I211" s="181">
        <f t="shared" si="63"/>
        <v>1500</v>
      </c>
      <c r="J211" s="181"/>
      <c r="K211" s="276"/>
      <c r="L211" s="181"/>
      <c r="M211" s="211"/>
      <c r="N211" s="292"/>
      <c r="O211" s="235"/>
      <c r="P211" s="112"/>
      <c r="Q211" s="46"/>
      <c r="S211" s="315"/>
    </row>
    <row r="212" spans="1:17" ht="12.75" hidden="1">
      <c r="A212" s="15" t="s">
        <v>274</v>
      </c>
      <c r="B212" s="59">
        <v>33063</v>
      </c>
      <c r="C212" s="106"/>
      <c r="D212" s="75"/>
      <c r="E212" s="168"/>
      <c r="F212" s="198">
        <f t="shared" si="62"/>
        <v>0</v>
      </c>
      <c r="G212" s="211"/>
      <c r="H212" s="235"/>
      <c r="I212" s="181">
        <f t="shared" si="63"/>
        <v>0</v>
      </c>
      <c r="J212" s="181">
        <f>7169.15-7.08</f>
        <v>7162.07</v>
      </c>
      <c r="K212" s="276"/>
      <c r="L212" s="181"/>
      <c r="M212" s="211"/>
      <c r="N212" s="292"/>
      <c r="O212" s="235"/>
      <c r="P212" s="112"/>
      <c r="Q212" s="46">
        <f t="shared" si="59"/>
        <v>0</v>
      </c>
    </row>
    <row r="213" spans="1:17" ht="12.75">
      <c r="A213" s="15" t="s">
        <v>319</v>
      </c>
      <c r="B213" s="59" t="s">
        <v>320</v>
      </c>
      <c r="C213" s="106"/>
      <c r="D213" s="75">
        <f>55.91+1609.06</f>
        <v>1664.97</v>
      </c>
      <c r="E213" s="168"/>
      <c r="F213" s="198">
        <f t="shared" si="62"/>
        <v>1664.97</v>
      </c>
      <c r="G213" s="211"/>
      <c r="H213" s="235"/>
      <c r="I213" s="181">
        <f t="shared" si="63"/>
        <v>1664.97</v>
      </c>
      <c r="J213" s="181">
        <f>48.1+1433.02</f>
        <v>1481.12</v>
      </c>
      <c r="K213" s="276"/>
      <c r="L213" s="181">
        <f t="shared" si="64"/>
        <v>3146.09</v>
      </c>
      <c r="M213" s="211">
        <f>39.39+1121.04</f>
        <v>1160.43</v>
      </c>
      <c r="N213" s="292"/>
      <c r="O213" s="235">
        <f t="shared" si="65"/>
        <v>4306.52</v>
      </c>
      <c r="P213" s="112"/>
      <c r="Q213" s="46"/>
    </row>
    <row r="214" spans="1:17" ht="12.75">
      <c r="A214" s="15" t="s">
        <v>295</v>
      </c>
      <c r="B214" s="59">
        <v>2054</v>
      </c>
      <c r="C214" s="106"/>
      <c r="D214" s="75">
        <f>700+272.97</f>
        <v>972.97</v>
      </c>
      <c r="E214" s="168"/>
      <c r="F214" s="198">
        <f t="shared" si="62"/>
        <v>972.97</v>
      </c>
      <c r="G214" s="211"/>
      <c r="H214" s="235"/>
      <c r="I214" s="181">
        <f t="shared" si="63"/>
        <v>972.97</v>
      </c>
      <c r="J214" s="181"/>
      <c r="K214" s="276"/>
      <c r="L214" s="181">
        <f t="shared" si="64"/>
        <v>972.97</v>
      </c>
      <c r="M214" s="211"/>
      <c r="N214" s="292"/>
      <c r="O214" s="235">
        <f t="shared" si="65"/>
        <v>972.97</v>
      </c>
      <c r="P214" s="112"/>
      <c r="Q214" s="46"/>
    </row>
    <row r="215" spans="1:17" ht="12.75">
      <c r="A215" s="15" t="s">
        <v>342</v>
      </c>
      <c r="B215" s="59"/>
      <c r="C215" s="106"/>
      <c r="D215" s="75"/>
      <c r="E215" s="168"/>
      <c r="F215" s="198">
        <f t="shared" si="62"/>
        <v>0</v>
      </c>
      <c r="G215" s="211">
        <f>1659.16</f>
        <v>1659.16</v>
      </c>
      <c r="H215" s="235"/>
      <c r="I215" s="181">
        <f t="shared" si="63"/>
        <v>1659.16</v>
      </c>
      <c r="J215" s="181">
        <f>1639.93</f>
        <v>1639.93</v>
      </c>
      <c r="K215" s="276"/>
      <c r="L215" s="181">
        <f t="shared" si="64"/>
        <v>3299.09</v>
      </c>
      <c r="M215" s="211"/>
      <c r="N215" s="292"/>
      <c r="O215" s="235">
        <f t="shared" si="65"/>
        <v>3299.09</v>
      </c>
      <c r="P215" s="112"/>
      <c r="Q215" s="46"/>
    </row>
    <row r="216" spans="1:17" ht="12.75">
      <c r="A216" s="15" t="s">
        <v>343</v>
      </c>
      <c r="B216" s="59"/>
      <c r="C216" s="106"/>
      <c r="D216" s="75"/>
      <c r="E216" s="168"/>
      <c r="F216" s="198"/>
      <c r="G216" s="211"/>
      <c r="H216" s="235"/>
      <c r="I216" s="181">
        <f t="shared" si="63"/>
        <v>0</v>
      </c>
      <c r="J216" s="181">
        <f>17100</f>
        <v>17100</v>
      </c>
      <c r="K216" s="276"/>
      <c r="L216" s="181">
        <f t="shared" si="64"/>
        <v>17100</v>
      </c>
      <c r="M216" s="211"/>
      <c r="N216" s="292"/>
      <c r="O216" s="235">
        <f t="shared" si="65"/>
        <v>17100</v>
      </c>
      <c r="P216" s="112"/>
      <c r="Q216" s="46"/>
    </row>
    <row r="217" spans="1:17" ht="12.75">
      <c r="A217" s="15" t="s">
        <v>326</v>
      </c>
      <c r="B217" s="59">
        <v>13305</v>
      </c>
      <c r="C217" s="106"/>
      <c r="D217" s="75"/>
      <c r="E217" s="168"/>
      <c r="F217" s="198">
        <f t="shared" si="62"/>
        <v>0</v>
      </c>
      <c r="G217" s="211">
        <f>2343.04</f>
        <v>2343.04</v>
      </c>
      <c r="H217" s="235"/>
      <c r="I217" s="181">
        <f t="shared" si="63"/>
        <v>2343.04</v>
      </c>
      <c r="J217" s="181">
        <f>1562.03</f>
        <v>1562.03</v>
      </c>
      <c r="K217" s="276"/>
      <c r="L217" s="181">
        <f t="shared" si="64"/>
        <v>3905.0699999999997</v>
      </c>
      <c r="M217" s="211"/>
      <c r="N217" s="292"/>
      <c r="O217" s="235">
        <f t="shared" si="65"/>
        <v>3905.0699999999997</v>
      </c>
      <c r="P217" s="112"/>
      <c r="Q217" s="46"/>
    </row>
    <row r="218" spans="1:17" ht="12.75" hidden="1">
      <c r="A218" s="15" t="s">
        <v>96</v>
      </c>
      <c r="B218" s="59"/>
      <c r="C218" s="106"/>
      <c r="D218" s="75"/>
      <c r="E218" s="168"/>
      <c r="F218" s="198">
        <f t="shared" si="62"/>
        <v>0</v>
      </c>
      <c r="G218" s="211"/>
      <c r="H218" s="235"/>
      <c r="I218" s="181">
        <f t="shared" si="63"/>
        <v>0</v>
      </c>
      <c r="J218" s="181"/>
      <c r="K218" s="276"/>
      <c r="L218" s="181">
        <f t="shared" si="64"/>
        <v>0</v>
      </c>
      <c r="M218" s="211"/>
      <c r="N218" s="292"/>
      <c r="O218" s="235">
        <f t="shared" si="65"/>
        <v>0</v>
      </c>
      <c r="P218" s="112"/>
      <c r="Q218" s="46">
        <f t="shared" si="59"/>
        <v>0</v>
      </c>
    </row>
    <row r="219" spans="1:17" ht="12.75">
      <c r="A219" s="15" t="s">
        <v>85</v>
      </c>
      <c r="B219" s="150" t="s">
        <v>315</v>
      </c>
      <c r="C219" s="106">
        <v>200</v>
      </c>
      <c r="D219" s="75">
        <f>500+3340+8000+4202+140.9</f>
        <v>16182.9</v>
      </c>
      <c r="E219" s="168"/>
      <c r="F219" s="198">
        <f t="shared" si="62"/>
        <v>16382.9</v>
      </c>
      <c r="G219" s="211">
        <f>1075.48-4462</f>
        <v>-3386.52</v>
      </c>
      <c r="H219" s="235"/>
      <c r="I219" s="181">
        <f t="shared" si="63"/>
        <v>12996.38</v>
      </c>
      <c r="J219" s="181">
        <f>832.28+10223.06</f>
        <v>11055.34</v>
      </c>
      <c r="K219" s="276"/>
      <c r="L219" s="181">
        <f t="shared" si="64"/>
        <v>24051.72</v>
      </c>
      <c r="M219" s="219">
        <f>1000</f>
        <v>1000</v>
      </c>
      <c r="N219" s="292"/>
      <c r="O219" s="235">
        <f t="shared" si="65"/>
        <v>25051.72</v>
      </c>
      <c r="P219" s="112"/>
      <c r="Q219" s="46">
        <f t="shared" si="59"/>
        <v>25051.72</v>
      </c>
    </row>
    <row r="220" spans="1:17" ht="12.75">
      <c r="A220" s="15" t="s">
        <v>56</v>
      </c>
      <c r="B220" s="59"/>
      <c r="C220" s="106">
        <v>28279.1</v>
      </c>
      <c r="D220" s="75">
        <f>32.5+309.93+1009-14642.4+10000</f>
        <v>-3290.9699999999993</v>
      </c>
      <c r="E220" s="168"/>
      <c r="F220" s="198">
        <f t="shared" si="62"/>
        <v>24988.129999999997</v>
      </c>
      <c r="G220" s="211">
        <f>-805-4938.92-1893.7</f>
        <v>-7637.62</v>
      </c>
      <c r="H220" s="235"/>
      <c r="I220" s="181">
        <f t="shared" si="63"/>
        <v>17350.51</v>
      </c>
      <c r="J220" s="181">
        <f>-6722.74</f>
        <v>-6722.74</v>
      </c>
      <c r="K220" s="276"/>
      <c r="L220" s="181">
        <f t="shared" si="64"/>
        <v>10627.769999999999</v>
      </c>
      <c r="M220" s="219">
        <f>-8275.99-665.37</f>
        <v>-8941.36</v>
      </c>
      <c r="N220" s="292"/>
      <c r="O220" s="235">
        <f t="shared" si="65"/>
        <v>1686.409999999998</v>
      </c>
      <c r="P220" s="112"/>
      <c r="Q220" s="46">
        <f t="shared" si="59"/>
        <v>1686.409999999998</v>
      </c>
    </row>
    <row r="221" spans="1:17" ht="12.75">
      <c r="A221" s="18" t="s">
        <v>59</v>
      </c>
      <c r="B221" s="63"/>
      <c r="C221" s="133">
        <f>SUM(C223:C229)</f>
        <v>0</v>
      </c>
      <c r="D221" s="85">
        <f aca="true" t="shared" si="66" ref="D221:Q221">SUM(D223:D229)</f>
        <v>14420.23</v>
      </c>
      <c r="E221" s="172">
        <f t="shared" si="66"/>
        <v>0</v>
      </c>
      <c r="F221" s="202">
        <f t="shared" si="66"/>
        <v>14420.23</v>
      </c>
      <c r="G221" s="216">
        <f t="shared" si="66"/>
        <v>5267</v>
      </c>
      <c r="H221" s="240">
        <f t="shared" si="66"/>
        <v>0</v>
      </c>
      <c r="I221" s="186">
        <f t="shared" si="66"/>
        <v>19687.23</v>
      </c>
      <c r="J221" s="186">
        <f t="shared" si="66"/>
        <v>235.57999999999993</v>
      </c>
      <c r="K221" s="281">
        <f t="shared" si="66"/>
        <v>0</v>
      </c>
      <c r="L221" s="186">
        <f t="shared" si="66"/>
        <v>19922.809999999998</v>
      </c>
      <c r="M221" s="216">
        <f t="shared" si="66"/>
        <v>1677</v>
      </c>
      <c r="N221" s="297">
        <f t="shared" si="66"/>
        <v>0</v>
      </c>
      <c r="O221" s="240">
        <f t="shared" si="66"/>
        <v>21599.809999999998</v>
      </c>
      <c r="P221" s="124">
        <f t="shared" si="66"/>
        <v>0</v>
      </c>
      <c r="Q221" s="84">
        <f t="shared" si="66"/>
        <v>11783.240000000002</v>
      </c>
    </row>
    <row r="222" spans="1:17" ht="12.75">
      <c r="A222" s="13" t="s">
        <v>27</v>
      </c>
      <c r="B222" s="59"/>
      <c r="C222" s="106"/>
      <c r="D222" s="75"/>
      <c r="E222" s="168"/>
      <c r="F222" s="198"/>
      <c r="G222" s="211"/>
      <c r="H222" s="235"/>
      <c r="I222" s="182"/>
      <c r="J222" s="181"/>
      <c r="K222" s="276"/>
      <c r="L222" s="182"/>
      <c r="M222" s="211"/>
      <c r="N222" s="292"/>
      <c r="O222" s="234"/>
      <c r="P222" s="112"/>
      <c r="Q222" s="46"/>
    </row>
    <row r="223" spans="1:17" ht="12.75">
      <c r="A223" s="15" t="s">
        <v>97</v>
      </c>
      <c r="B223" s="59"/>
      <c r="C223" s="106"/>
      <c r="D223" s="75">
        <f>300+387.3</f>
        <v>687.3</v>
      </c>
      <c r="E223" s="168"/>
      <c r="F223" s="198">
        <f aca="true" t="shared" si="67" ref="F223:F229">C223+D223+E223</f>
        <v>687.3</v>
      </c>
      <c r="G223" s="211">
        <f>805</f>
        <v>805</v>
      </c>
      <c r="H223" s="235"/>
      <c r="I223" s="181">
        <f aca="true" t="shared" si="68" ref="I223:I229">F223+G223+H223</f>
        <v>1492.3</v>
      </c>
      <c r="J223" s="181">
        <v>715</v>
      </c>
      <c r="K223" s="276"/>
      <c r="L223" s="181">
        <f aca="true" t="shared" si="69" ref="L223:L229">I223+J223+K223</f>
        <v>2207.3</v>
      </c>
      <c r="M223" s="211">
        <f>59+1330+288</f>
        <v>1677</v>
      </c>
      <c r="N223" s="292"/>
      <c r="O223" s="235">
        <f aca="true" t="shared" si="70" ref="O223:O229">L223+M223+N223</f>
        <v>3884.3</v>
      </c>
      <c r="P223" s="112"/>
      <c r="Q223" s="46">
        <f t="shared" si="59"/>
        <v>3884.3</v>
      </c>
    </row>
    <row r="224" spans="1:17" ht="12.75">
      <c r="A224" s="15" t="s">
        <v>319</v>
      </c>
      <c r="B224" s="59" t="s">
        <v>321</v>
      </c>
      <c r="C224" s="106"/>
      <c r="D224" s="75">
        <f>4.05+68.88</f>
        <v>72.92999999999999</v>
      </c>
      <c r="E224" s="168"/>
      <c r="F224" s="198">
        <f t="shared" si="67"/>
        <v>72.92999999999999</v>
      </c>
      <c r="G224" s="211"/>
      <c r="H224" s="235"/>
      <c r="I224" s="181">
        <f t="shared" si="68"/>
        <v>72.92999999999999</v>
      </c>
      <c r="J224" s="181"/>
      <c r="K224" s="276"/>
      <c r="L224" s="181">
        <f t="shared" si="69"/>
        <v>72.92999999999999</v>
      </c>
      <c r="M224" s="211"/>
      <c r="N224" s="292"/>
      <c r="O224" s="235">
        <f t="shared" si="70"/>
        <v>72.92999999999999</v>
      </c>
      <c r="P224" s="112"/>
      <c r="Q224" s="46"/>
    </row>
    <row r="225" spans="1:17" ht="12.75">
      <c r="A225" s="15" t="s">
        <v>343</v>
      </c>
      <c r="B225" s="59"/>
      <c r="C225" s="106"/>
      <c r="D225" s="75"/>
      <c r="E225" s="168"/>
      <c r="F225" s="198"/>
      <c r="G225" s="211"/>
      <c r="H225" s="235"/>
      <c r="I225" s="181">
        <f t="shared" si="68"/>
        <v>0</v>
      </c>
      <c r="J225" s="181">
        <f>9743.64</f>
        <v>9743.64</v>
      </c>
      <c r="K225" s="276"/>
      <c r="L225" s="181">
        <f t="shared" si="69"/>
        <v>9743.64</v>
      </c>
      <c r="M225" s="211"/>
      <c r="N225" s="292"/>
      <c r="O225" s="235">
        <f t="shared" si="70"/>
        <v>9743.64</v>
      </c>
      <c r="P225" s="112"/>
      <c r="Q225" s="46"/>
    </row>
    <row r="226" spans="1:17" ht="12.75" hidden="1">
      <c r="A226" s="15" t="s">
        <v>74</v>
      </c>
      <c r="B226" s="59"/>
      <c r="C226" s="106"/>
      <c r="D226" s="75"/>
      <c r="E226" s="168"/>
      <c r="F226" s="198">
        <f t="shared" si="67"/>
        <v>0</v>
      </c>
      <c r="G226" s="211"/>
      <c r="H226" s="235"/>
      <c r="I226" s="181">
        <f t="shared" si="68"/>
        <v>0</v>
      </c>
      <c r="J226" s="181"/>
      <c r="K226" s="276"/>
      <c r="L226" s="181">
        <f t="shared" si="69"/>
        <v>0</v>
      </c>
      <c r="M226" s="211"/>
      <c r="N226" s="292"/>
      <c r="O226" s="235">
        <f t="shared" si="70"/>
        <v>0</v>
      </c>
      <c r="P226" s="112"/>
      <c r="Q226" s="46">
        <f t="shared" si="59"/>
        <v>0</v>
      </c>
    </row>
    <row r="227" spans="1:17" ht="12.75" hidden="1">
      <c r="A227" s="15" t="s">
        <v>98</v>
      </c>
      <c r="B227" s="59"/>
      <c r="C227" s="106"/>
      <c r="D227" s="75"/>
      <c r="E227" s="168"/>
      <c r="F227" s="198">
        <f t="shared" si="67"/>
        <v>0</v>
      </c>
      <c r="G227" s="211"/>
      <c r="H227" s="235"/>
      <c r="I227" s="181">
        <f t="shared" si="68"/>
        <v>0</v>
      </c>
      <c r="J227" s="181"/>
      <c r="K227" s="276"/>
      <c r="L227" s="181">
        <f t="shared" si="69"/>
        <v>0</v>
      </c>
      <c r="M227" s="211"/>
      <c r="N227" s="292"/>
      <c r="O227" s="235">
        <f t="shared" si="70"/>
        <v>0</v>
      </c>
      <c r="P227" s="112"/>
      <c r="Q227" s="46">
        <f t="shared" si="59"/>
        <v>0</v>
      </c>
    </row>
    <row r="228" spans="1:17" ht="12.75" hidden="1">
      <c r="A228" s="15" t="s">
        <v>60</v>
      </c>
      <c r="B228" s="59"/>
      <c r="C228" s="106"/>
      <c r="D228" s="75"/>
      <c r="E228" s="168"/>
      <c r="F228" s="198">
        <f t="shared" si="67"/>
        <v>0</v>
      </c>
      <c r="G228" s="211"/>
      <c r="H228" s="235"/>
      <c r="I228" s="181">
        <f t="shared" si="68"/>
        <v>0</v>
      </c>
      <c r="J228" s="181"/>
      <c r="K228" s="283"/>
      <c r="L228" s="181">
        <f t="shared" si="69"/>
        <v>0</v>
      </c>
      <c r="M228" s="211"/>
      <c r="N228" s="292"/>
      <c r="O228" s="235">
        <f t="shared" si="70"/>
        <v>0</v>
      </c>
      <c r="P228" s="112"/>
      <c r="Q228" s="46">
        <f t="shared" si="59"/>
        <v>0</v>
      </c>
    </row>
    <row r="229" spans="1:17" ht="12.75">
      <c r="A229" s="22" t="s">
        <v>85</v>
      </c>
      <c r="B229" s="62"/>
      <c r="C229" s="132"/>
      <c r="D229" s="83">
        <f>660+13000</f>
        <v>13660</v>
      </c>
      <c r="E229" s="192"/>
      <c r="F229" s="203">
        <f t="shared" si="67"/>
        <v>13660</v>
      </c>
      <c r="G229" s="217">
        <f>4462</f>
        <v>4462</v>
      </c>
      <c r="H229" s="233"/>
      <c r="I229" s="187">
        <f t="shared" si="68"/>
        <v>18122</v>
      </c>
      <c r="J229" s="187">
        <v>-10223.06</v>
      </c>
      <c r="K229" s="284"/>
      <c r="L229" s="187">
        <f t="shared" si="69"/>
        <v>7898.9400000000005</v>
      </c>
      <c r="M229" s="217"/>
      <c r="N229" s="298"/>
      <c r="O229" s="233">
        <f t="shared" si="70"/>
        <v>7898.9400000000005</v>
      </c>
      <c r="P229" s="270"/>
      <c r="Q229" s="48">
        <f t="shared" si="59"/>
        <v>7898.9400000000005</v>
      </c>
    </row>
    <row r="230" spans="1:17" ht="12.75">
      <c r="A230" s="8" t="s">
        <v>99</v>
      </c>
      <c r="B230" s="63"/>
      <c r="C230" s="113">
        <f aca="true" t="shared" si="71" ref="C230:Q230">C231+C242</f>
        <v>416450.8</v>
      </c>
      <c r="D230" s="74">
        <f t="shared" si="71"/>
        <v>70155.5</v>
      </c>
      <c r="E230" s="167">
        <f t="shared" si="71"/>
        <v>0</v>
      </c>
      <c r="F230" s="179">
        <f t="shared" si="71"/>
        <v>486606.3</v>
      </c>
      <c r="G230" s="210">
        <f t="shared" si="71"/>
        <v>67616.26</v>
      </c>
      <c r="H230" s="234">
        <f t="shared" si="71"/>
        <v>0</v>
      </c>
      <c r="I230" s="182">
        <f t="shared" si="71"/>
        <v>554222.5599999999</v>
      </c>
      <c r="J230" s="182">
        <f t="shared" si="71"/>
        <v>1360.89</v>
      </c>
      <c r="K230" s="275">
        <f t="shared" si="71"/>
        <v>0</v>
      </c>
      <c r="L230" s="182">
        <f t="shared" si="71"/>
        <v>555583.45</v>
      </c>
      <c r="M230" s="210">
        <f t="shared" si="71"/>
        <v>32307.949999999997</v>
      </c>
      <c r="N230" s="291">
        <f t="shared" si="71"/>
        <v>0</v>
      </c>
      <c r="O230" s="234">
        <f t="shared" si="71"/>
        <v>587891.3999999999</v>
      </c>
      <c r="P230" s="98">
        <f t="shared" si="71"/>
        <v>0</v>
      </c>
      <c r="Q230" s="73">
        <f t="shared" si="71"/>
        <v>569799.0099999999</v>
      </c>
    </row>
    <row r="231" spans="1:17" ht="12.75">
      <c r="A231" s="17" t="s">
        <v>54</v>
      </c>
      <c r="B231" s="63"/>
      <c r="C231" s="131">
        <f aca="true" t="shared" si="72" ref="C231:Q231">SUM(C233:C241)</f>
        <v>416180.8</v>
      </c>
      <c r="D231" s="82">
        <f t="shared" si="72"/>
        <v>70155.5</v>
      </c>
      <c r="E231" s="171">
        <f t="shared" si="72"/>
        <v>0</v>
      </c>
      <c r="F231" s="201">
        <f t="shared" si="72"/>
        <v>486336.3</v>
      </c>
      <c r="G231" s="215">
        <f t="shared" si="72"/>
        <v>60159.07</v>
      </c>
      <c r="H231" s="239">
        <f t="shared" si="72"/>
        <v>0</v>
      </c>
      <c r="I231" s="185">
        <f t="shared" si="72"/>
        <v>546495.37</v>
      </c>
      <c r="J231" s="185">
        <f t="shared" si="72"/>
        <v>1360.89</v>
      </c>
      <c r="K231" s="280">
        <f t="shared" si="72"/>
        <v>0</v>
      </c>
      <c r="L231" s="185">
        <f t="shared" si="72"/>
        <v>547856.26</v>
      </c>
      <c r="M231" s="215">
        <f t="shared" si="72"/>
        <v>32307.949999999997</v>
      </c>
      <c r="N231" s="296">
        <f t="shared" si="72"/>
        <v>0</v>
      </c>
      <c r="O231" s="239">
        <f t="shared" si="72"/>
        <v>580164.21</v>
      </c>
      <c r="P231" s="123">
        <f t="shared" si="72"/>
        <v>0</v>
      </c>
      <c r="Q231" s="81">
        <f t="shared" si="72"/>
        <v>562341.82</v>
      </c>
    </row>
    <row r="232" spans="1:17" ht="12.75">
      <c r="A232" s="13" t="s">
        <v>27</v>
      </c>
      <c r="B232" s="59"/>
      <c r="C232" s="106"/>
      <c r="D232" s="75"/>
      <c r="E232" s="168"/>
      <c r="F232" s="179"/>
      <c r="G232" s="211"/>
      <c r="H232" s="235"/>
      <c r="I232" s="182"/>
      <c r="J232" s="181"/>
      <c r="K232" s="276"/>
      <c r="L232" s="182"/>
      <c r="M232" s="211"/>
      <c r="N232" s="292"/>
      <c r="O232" s="234"/>
      <c r="P232" s="112"/>
      <c r="Q232" s="46"/>
    </row>
    <row r="233" spans="1:17" ht="12.75">
      <c r="A233" s="10" t="s">
        <v>82</v>
      </c>
      <c r="B233" s="59"/>
      <c r="C233" s="106">
        <v>230584</v>
      </c>
      <c r="D233" s="75">
        <f>2075+135</f>
        <v>2210</v>
      </c>
      <c r="E233" s="168"/>
      <c r="F233" s="198">
        <f aca="true" t="shared" si="73" ref="F233:F241">C233+D233+E233</f>
        <v>232794</v>
      </c>
      <c r="G233" s="211"/>
      <c r="H233" s="235"/>
      <c r="I233" s="181">
        <f aca="true" t="shared" si="74" ref="I233:I241">F233+G233+H233</f>
        <v>232794</v>
      </c>
      <c r="J233" s="181"/>
      <c r="K233" s="276"/>
      <c r="L233" s="181">
        <f aca="true" t="shared" si="75" ref="L233:L241">I233+J233+K233</f>
        <v>232794</v>
      </c>
      <c r="M233" s="211">
        <f>30500</f>
        <v>30500</v>
      </c>
      <c r="N233" s="292"/>
      <c r="O233" s="235">
        <f aca="true" t="shared" si="76" ref="O233:O241">L233+M233+N233</f>
        <v>263294</v>
      </c>
      <c r="P233" s="112"/>
      <c r="Q233" s="46">
        <f>O233+P233</f>
        <v>263294</v>
      </c>
    </row>
    <row r="234" spans="1:17" ht="12.75">
      <c r="A234" s="60" t="s">
        <v>230</v>
      </c>
      <c r="B234" s="59"/>
      <c r="C234" s="106">
        <v>29670</v>
      </c>
      <c r="D234" s="75">
        <f>16015.5+1661-2075-10-300</f>
        <v>15291.5</v>
      </c>
      <c r="E234" s="168"/>
      <c r="F234" s="198">
        <f t="shared" si="73"/>
        <v>44961.5</v>
      </c>
      <c r="G234" s="211"/>
      <c r="H234" s="235"/>
      <c r="I234" s="181">
        <f t="shared" si="74"/>
        <v>44961.5</v>
      </c>
      <c r="J234" s="181"/>
      <c r="K234" s="276"/>
      <c r="L234" s="181">
        <f t="shared" si="75"/>
        <v>44961.5</v>
      </c>
      <c r="M234" s="211">
        <f>-30500</f>
        <v>-30500</v>
      </c>
      <c r="N234" s="292"/>
      <c r="O234" s="235">
        <f t="shared" si="76"/>
        <v>14461.5</v>
      </c>
      <c r="P234" s="112"/>
      <c r="Q234" s="46"/>
    </row>
    <row r="235" spans="1:17" ht="12.75">
      <c r="A235" s="15" t="s">
        <v>69</v>
      </c>
      <c r="B235" s="59"/>
      <c r="C235" s="106">
        <v>90000</v>
      </c>
      <c r="D235" s="75">
        <f>600</f>
        <v>600</v>
      </c>
      <c r="E235" s="168">
        <v>90000</v>
      </c>
      <c r="F235" s="198">
        <f t="shared" si="73"/>
        <v>180600</v>
      </c>
      <c r="G235" s="211">
        <f>56000</f>
        <v>56000</v>
      </c>
      <c r="H235" s="235"/>
      <c r="I235" s="181">
        <f t="shared" si="74"/>
        <v>236600</v>
      </c>
      <c r="J235" s="181"/>
      <c r="K235" s="276"/>
      <c r="L235" s="181">
        <f t="shared" si="75"/>
        <v>236600</v>
      </c>
      <c r="M235" s="211">
        <f>24049.6+8258.35</f>
        <v>32307.949999999997</v>
      </c>
      <c r="N235" s="292"/>
      <c r="O235" s="235">
        <f t="shared" si="76"/>
        <v>268907.95</v>
      </c>
      <c r="P235" s="112"/>
      <c r="Q235" s="46">
        <f>O235+P235</f>
        <v>268907.95</v>
      </c>
    </row>
    <row r="236" spans="1:17" ht="12.75">
      <c r="A236" s="15" t="s">
        <v>189</v>
      </c>
      <c r="B236" s="59"/>
      <c r="C236" s="106">
        <v>40000</v>
      </c>
      <c r="D236" s="86">
        <f>50000</f>
        <v>50000</v>
      </c>
      <c r="E236" s="168">
        <v>-90000</v>
      </c>
      <c r="F236" s="198">
        <f t="shared" si="73"/>
        <v>0</v>
      </c>
      <c r="G236" s="211"/>
      <c r="H236" s="235"/>
      <c r="I236" s="181">
        <f t="shared" si="74"/>
        <v>0</v>
      </c>
      <c r="J236" s="181"/>
      <c r="K236" s="276"/>
      <c r="L236" s="181">
        <f t="shared" si="75"/>
        <v>0</v>
      </c>
      <c r="M236" s="211"/>
      <c r="N236" s="292"/>
      <c r="O236" s="235">
        <f t="shared" si="76"/>
        <v>0</v>
      </c>
      <c r="P236" s="112"/>
      <c r="Q236" s="46"/>
    </row>
    <row r="237" spans="1:17" ht="12.75">
      <c r="A237" s="15" t="s">
        <v>56</v>
      </c>
      <c r="B237" s="59"/>
      <c r="C237" s="108">
        <v>25926.8</v>
      </c>
      <c r="D237" s="75">
        <f>690+300+500+100+289-125+300</f>
        <v>2054</v>
      </c>
      <c r="E237" s="168"/>
      <c r="F237" s="198">
        <f t="shared" si="73"/>
        <v>27980.8</v>
      </c>
      <c r="G237" s="211">
        <f>351+1638.07</f>
        <v>1989.07</v>
      </c>
      <c r="H237" s="235"/>
      <c r="I237" s="181">
        <f t="shared" si="74"/>
        <v>29969.87</v>
      </c>
      <c r="J237" s="181"/>
      <c r="K237" s="276"/>
      <c r="L237" s="181">
        <f t="shared" si="75"/>
        <v>29969.87</v>
      </c>
      <c r="M237" s="211"/>
      <c r="N237" s="292"/>
      <c r="O237" s="235">
        <f t="shared" si="76"/>
        <v>29969.87</v>
      </c>
      <c r="P237" s="112"/>
      <c r="Q237" s="46">
        <f>O237+P237</f>
        <v>29969.87</v>
      </c>
    </row>
    <row r="238" spans="1:17" ht="12.75" hidden="1">
      <c r="A238" s="15" t="s">
        <v>86</v>
      </c>
      <c r="B238" s="59"/>
      <c r="C238" s="108"/>
      <c r="D238" s="75"/>
      <c r="E238" s="168"/>
      <c r="F238" s="198">
        <f t="shared" si="73"/>
        <v>0</v>
      </c>
      <c r="G238" s="211"/>
      <c r="H238" s="235"/>
      <c r="I238" s="181">
        <f t="shared" si="74"/>
        <v>0</v>
      </c>
      <c r="J238" s="181"/>
      <c r="K238" s="276"/>
      <c r="L238" s="181">
        <f t="shared" si="75"/>
        <v>0</v>
      </c>
      <c r="M238" s="211"/>
      <c r="N238" s="292"/>
      <c r="O238" s="235">
        <f t="shared" si="76"/>
        <v>0</v>
      </c>
      <c r="P238" s="112"/>
      <c r="Q238" s="46">
        <f>O238+P238</f>
        <v>0</v>
      </c>
    </row>
    <row r="239" spans="1:17" ht="12.75">
      <c r="A239" s="15" t="s">
        <v>333</v>
      </c>
      <c r="B239" s="59">
        <v>35018</v>
      </c>
      <c r="C239" s="108"/>
      <c r="D239" s="75"/>
      <c r="E239" s="168"/>
      <c r="F239" s="198">
        <f t="shared" si="73"/>
        <v>0</v>
      </c>
      <c r="G239" s="211">
        <f>2000</f>
        <v>2000</v>
      </c>
      <c r="H239" s="235"/>
      <c r="I239" s="181">
        <f t="shared" si="74"/>
        <v>2000</v>
      </c>
      <c r="J239" s="181">
        <f>1360.89</f>
        <v>1360.89</v>
      </c>
      <c r="K239" s="276"/>
      <c r="L239" s="181">
        <f t="shared" si="75"/>
        <v>3360.8900000000003</v>
      </c>
      <c r="M239" s="211"/>
      <c r="N239" s="292"/>
      <c r="O239" s="235">
        <f t="shared" si="76"/>
        <v>3360.8900000000003</v>
      </c>
      <c r="P239" s="112"/>
      <c r="Q239" s="46"/>
    </row>
    <row r="240" spans="1:17" ht="12.75" hidden="1">
      <c r="A240" s="15" t="s">
        <v>151</v>
      </c>
      <c r="B240" s="59"/>
      <c r="C240" s="108"/>
      <c r="D240" s="75"/>
      <c r="E240" s="168"/>
      <c r="F240" s="198">
        <f t="shared" si="73"/>
        <v>0</v>
      </c>
      <c r="G240" s="211"/>
      <c r="H240" s="235"/>
      <c r="I240" s="181">
        <f t="shared" si="74"/>
        <v>0</v>
      </c>
      <c r="J240" s="181"/>
      <c r="K240" s="276"/>
      <c r="L240" s="181">
        <f t="shared" si="75"/>
        <v>0</v>
      </c>
      <c r="M240" s="211"/>
      <c r="N240" s="292"/>
      <c r="O240" s="235">
        <f t="shared" si="76"/>
        <v>0</v>
      </c>
      <c r="P240" s="112"/>
      <c r="Q240" s="46">
        <f>O240+P240</f>
        <v>0</v>
      </c>
    </row>
    <row r="241" spans="1:17" ht="12.75">
      <c r="A241" s="15" t="s">
        <v>100</v>
      </c>
      <c r="B241" s="59">
        <v>35063</v>
      </c>
      <c r="C241" s="106"/>
      <c r="D241" s="75"/>
      <c r="E241" s="168"/>
      <c r="F241" s="198">
        <f t="shared" si="73"/>
        <v>0</v>
      </c>
      <c r="G241" s="211">
        <f>170</f>
        <v>170</v>
      </c>
      <c r="H241" s="235"/>
      <c r="I241" s="181">
        <f t="shared" si="74"/>
        <v>170</v>
      </c>
      <c r="J241" s="181"/>
      <c r="K241" s="276"/>
      <c r="L241" s="181">
        <f t="shared" si="75"/>
        <v>170</v>
      </c>
      <c r="M241" s="211"/>
      <c r="N241" s="292"/>
      <c r="O241" s="235">
        <f t="shared" si="76"/>
        <v>170</v>
      </c>
      <c r="P241" s="112"/>
      <c r="Q241" s="46">
        <f>O241+P241</f>
        <v>170</v>
      </c>
    </row>
    <row r="242" spans="1:17" ht="12.75">
      <c r="A242" s="17" t="s">
        <v>59</v>
      </c>
      <c r="B242" s="63"/>
      <c r="C242" s="131">
        <f>SUM(C244:C248)</f>
        <v>270</v>
      </c>
      <c r="D242" s="82">
        <f aca="true" t="shared" si="77" ref="D242:Q242">SUM(D244:D248)</f>
        <v>0</v>
      </c>
      <c r="E242" s="171">
        <f t="shared" si="77"/>
        <v>0</v>
      </c>
      <c r="F242" s="201">
        <f t="shared" si="77"/>
        <v>270</v>
      </c>
      <c r="G242" s="215">
        <f t="shared" si="77"/>
        <v>7457.19</v>
      </c>
      <c r="H242" s="239">
        <f t="shared" si="77"/>
        <v>0</v>
      </c>
      <c r="I242" s="185">
        <f t="shared" si="77"/>
        <v>7727.19</v>
      </c>
      <c r="J242" s="185">
        <f t="shared" si="77"/>
        <v>0</v>
      </c>
      <c r="K242" s="280">
        <f t="shared" si="77"/>
        <v>0</v>
      </c>
      <c r="L242" s="185">
        <f t="shared" si="77"/>
        <v>7727.19</v>
      </c>
      <c r="M242" s="215">
        <f t="shared" si="77"/>
        <v>0</v>
      </c>
      <c r="N242" s="296">
        <f t="shared" si="77"/>
        <v>0</v>
      </c>
      <c r="O242" s="239">
        <f t="shared" si="77"/>
        <v>7727.19</v>
      </c>
      <c r="P242" s="123">
        <f t="shared" si="77"/>
        <v>0</v>
      </c>
      <c r="Q242" s="81">
        <f t="shared" si="77"/>
        <v>7457.19</v>
      </c>
    </row>
    <row r="243" spans="1:17" ht="12.75">
      <c r="A243" s="13" t="s">
        <v>27</v>
      </c>
      <c r="B243" s="59"/>
      <c r="C243" s="106"/>
      <c r="D243" s="75"/>
      <c r="E243" s="168"/>
      <c r="F243" s="198"/>
      <c r="G243" s="211"/>
      <c r="H243" s="235"/>
      <c r="I243" s="181"/>
      <c r="J243" s="181"/>
      <c r="K243" s="276"/>
      <c r="L243" s="181"/>
      <c r="M243" s="211"/>
      <c r="N243" s="292"/>
      <c r="O243" s="235"/>
      <c r="P243" s="112"/>
      <c r="Q243" s="46"/>
    </row>
    <row r="244" spans="1:17" ht="12.75">
      <c r="A244" s="15" t="s">
        <v>60</v>
      </c>
      <c r="B244" s="59"/>
      <c r="C244" s="106">
        <v>270</v>
      </c>
      <c r="D244" s="75"/>
      <c r="E244" s="168"/>
      <c r="F244" s="198">
        <f>C244+D244+E244</f>
        <v>270</v>
      </c>
      <c r="G244" s="211"/>
      <c r="H244" s="235"/>
      <c r="I244" s="181">
        <f>F244+G244+H244</f>
        <v>270</v>
      </c>
      <c r="J244" s="181"/>
      <c r="K244" s="276"/>
      <c r="L244" s="181">
        <f>I244+J244+K244</f>
        <v>270</v>
      </c>
      <c r="M244" s="211"/>
      <c r="N244" s="292"/>
      <c r="O244" s="235">
        <f>L244+M244+N244</f>
        <v>270</v>
      </c>
      <c r="P244" s="112"/>
      <c r="Q244" s="46"/>
    </row>
    <row r="245" spans="1:17" ht="12.75" hidden="1">
      <c r="A245" s="15" t="s">
        <v>276</v>
      </c>
      <c r="B245" s="59"/>
      <c r="C245" s="106"/>
      <c r="D245" s="75"/>
      <c r="E245" s="168"/>
      <c r="F245" s="198">
        <f>C245+D245+E245</f>
        <v>0</v>
      </c>
      <c r="G245" s="211"/>
      <c r="H245" s="235"/>
      <c r="I245" s="181">
        <f>F245+G245+H245</f>
        <v>0</v>
      </c>
      <c r="J245" s="181"/>
      <c r="K245" s="276"/>
      <c r="L245" s="181">
        <f>I245+J245+K245</f>
        <v>0</v>
      </c>
      <c r="M245" s="211"/>
      <c r="N245" s="292"/>
      <c r="O245" s="235"/>
      <c r="P245" s="112"/>
      <c r="Q245" s="46"/>
    </row>
    <row r="246" spans="1:17" ht="12.75" hidden="1">
      <c r="A246" s="15" t="s">
        <v>74</v>
      </c>
      <c r="B246" s="59"/>
      <c r="C246" s="106"/>
      <c r="D246" s="75"/>
      <c r="E246" s="168"/>
      <c r="F246" s="198">
        <f>C246+D246+E246</f>
        <v>0</v>
      </c>
      <c r="G246" s="211"/>
      <c r="H246" s="235"/>
      <c r="I246" s="181">
        <f>F246+G246+H246</f>
        <v>0</v>
      </c>
      <c r="J246" s="181"/>
      <c r="K246" s="276"/>
      <c r="L246" s="181">
        <f>I246+J246+K246</f>
        <v>0</v>
      </c>
      <c r="M246" s="211"/>
      <c r="N246" s="292"/>
      <c r="O246" s="235">
        <f>L246+M246+N246</f>
        <v>0</v>
      </c>
      <c r="P246" s="112"/>
      <c r="Q246" s="46">
        <f>O246+P246</f>
        <v>0</v>
      </c>
    </row>
    <row r="247" spans="1:17" ht="12.75" hidden="1">
      <c r="A247" s="15" t="s">
        <v>237</v>
      </c>
      <c r="B247" s="59"/>
      <c r="C247" s="106"/>
      <c r="D247" s="75"/>
      <c r="E247" s="168"/>
      <c r="F247" s="198">
        <f>C247+D247+E247</f>
        <v>0</v>
      </c>
      <c r="G247" s="211"/>
      <c r="H247" s="235"/>
      <c r="I247" s="181">
        <f>F247+G247+H247</f>
        <v>0</v>
      </c>
      <c r="J247" s="187"/>
      <c r="K247" s="282"/>
      <c r="L247" s="187">
        <f>I247+J247+K247</f>
        <v>0</v>
      </c>
      <c r="M247" s="217"/>
      <c r="N247" s="298"/>
      <c r="O247" s="233">
        <f>L247+M247+N247</f>
        <v>0</v>
      </c>
      <c r="P247" s="270"/>
      <c r="Q247" s="48">
        <f>O247+P247</f>
        <v>0</v>
      </c>
    </row>
    <row r="248" spans="1:17" ht="12.75">
      <c r="A248" s="14" t="s">
        <v>86</v>
      </c>
      <c r="B248" s="62"/>
      <c r="C248" s="132"/>
      <c r="D248" s="83"/>
      <c r="E248" s="192"/>
      <c r="F248" s="203">
        <f>C248+D248+E248</f>
        <v>0</v>
      </c>
      <c r="G248" s="217">
        <f>7457.19</f>
        <v>7457.19</v>
      </c>
      <c r="H248" s="233"/>
      <c r="I248" s="187">
        <f>F248+G248+H248</f>
        <v>7457.19</v>
      </c>
      <c r="J248" s="187"/>
      <c r="K248" s="282"/>
      <c r="L248" s="187">
        <f>I248+J248+K248</f>
        <v>7457.19</v>
      </c>
      <c r="M248" s="217"/>
      <c r="N248" s="298"/>
      <c r="O248" s="233">
        <f>L248+M248+N248</f>
        <v>7457.19</v>
      </c>
      <c r="P248" s="270"/>
      <c r="Q248" s="48">
        <f>O248+P248</f>
        <v>7457.19</v>
      </c>
    </row>
    <row r="249" spans="1:17" ht="12.75">
      <c r="A249" s="23" t="s">
        <v>101</v>
      </c>
      <c r="B249" s="64"/>
      <c r="C249" s="100">
        <f aca="true" t="shared" si="78" ref="C249:Q249">C250+C261</f>
        <v>189018.5</v>
      </c>
      <c r="D249" s="78">
        <f t="shared" si="78"/>
        <v>20284.020000000004</v>
      </c>
      <c r="E249" s="169">
        <f t="shared" si="78"/>
        <v>0</v>
      </c>
      <c r="F249" s="199">
        <f t="shared" si="78"/>
        <v>209302.52</v>
      </c>
      <c r="G249" s="213">
        <f t="shared" si="78"/>
        <v>4724.4</v>
      </c>
      <c r="H249" s="237">
        <f t="shared" si="78"/>
        <v>0</v>
      </c>
      <c r="I249" s="183">
        <f t="shared" si="78"/>
        <v>214026.91999999998</v>
      </c>
      <c r="J249" s="183">
        <f t="shared" si="78"/>
        <v>2400.25</v>
      </c>
      <c r="K249" s="278">
        <f t="shared" si="78"/>
        <v>0</v>
      </c>
      <c r="L249" s="183">
        <f t="shared" si="78"/>
        <v>216427.16999999998</v>
      </c>
      <c r="M249" s="213">
        <f t="shared" si="78"/>
        <v>305.5</v>
      </c>
      <c r="N249" s="294">
        <f t="shared" si="78"/>
        <v>0</v>
      </c>
      <c r="O249" s="237">
        <f t="shared" si="78"/>
        <v>216732.66999999998</v>
      </c>
      <c r="P249" s="121">
        <f t="shared" si="78"/>
        <v>0</v>
      </c>
      <c r="Q249" s="77">
        <f t="shared" si="78"/>
        <v>216020.66999999998</v>
      </c>
    </row>
    <row r="250" spans="1:17" ht="12.75">
      <c r="A250" s="17" t="s">
        <v>54</v>
      </c>
      <c r="B250" s="63"/>
      <c r="C250" s="131">
        <f aca="true" t="shared" si="79" ref="C250:Q250">SUM(C252:C260)</f>
        <v>189018.5</v>
      </c>
      <c r="D250" s="82">
        <f t="shared" si="79"/>
        <v>20284.020000000004</v>
      </c>
      <c r="E250" s="171">
        <f t="shared" si="79"/>
        <v>0</v>
      </c>
      <c r="F250" s="201">
        <f t="shared" si="79"/>
        <v>209302.52</v>
      </c>
      <c r="G250" s="215">
        <f t="shared" si="79"/>
        <v>964.4000000000001</v>
      </c>
      <c r="H250" s="239">
        <f t="shared" si="79"/>
        <v>0</v>
      </c>
      <c r="I250" s="185">
        <f t="shared" si="79"/>
        <v>210266.91999999998</v>
      </c>
      <c r="J250" s="185">
        <f t="shared" si="79"/>
        <v>2300.25</v>
      </c>
      <c r="K250" s="280">
        <f t="shared" si="79"/>
        <v>0</v>
      </c>
      <c r="L250" s="185">
        <f t="shared" si="79"/>
        <v>212567.16999999998</v>
      </c>
      <c r="M250" s="215">
        <f t="shared" si="79"/>
        <v>53.5</v>
      </c>
      <c r="N250" s="296">
        <f t="shared" si="79"/>
        <v>0</v>
      </c>
      <c r="O250" s="239">
        <f t="shared" si="79"/>
        <v>212620.66999999998</v>
      </c>
      <c r="P250" s="123">
        <f t="shared" si="79"/>
        <v>0</v>
      </c>
      <c r="Q250" s="81">
        <f t="shared" si="79"/>
        <v>212160.66999999998</v>
      </c>
    </row>
    <row r="251" spans="1:17" ht="12.75">
      <c r="A251" s="13" t="s">
        <v>27</v>
      </c>
      <c r="B251" s="59"/>
      <c r="C251" s="106"/>
      <c r="D251" s="75"/>
      <c r="E251" s="168"/>
      <c r="F251" s="198"/>
      <c r="G251" s="211"/>
      <c r="H251" s="235"/>
      <c r="I251" s="181"/>
      <c r="J251" s="181"/>
      <c r="K251" s="276"/>
      <c r="L251" s="181"/>
      <c r="M251" s="211"/>
      <c r="N251" s="292"/>
      <c r="O251" s="235"/>
      <c r="P251" s="112"/>
      <c r="Q251" s="46"/>
    </row>
    <row r="252" spans="1:17" ht="12.75">
      <c r="A252" s="15" t="s">
        <v>82</v>
      </c>
      <c r="B252" s="59"/>
      <c r="C252" s="106">
        <v>165134.5</v>
      </c>
      <c r="D252" s="75">
        <f>40+10015.44+8360+100+474+100+360</f>
        <v>19449.440000000002</v>
      </c>
      <c r="E252" s="168"/>
      <c r="F252" s="198">
        <f aca="true" t="shared" si="80" ref="F252:F260">C252+D252+E252</f>
        <v>184583.94</v>
      </c>
      <c r="G252" s="211">
        <f>-1360+526.4+300</f>
        <v>-533.6</v>
      </c>
      <c r="H252" s="235"/>
      <c r="I252" s="181">
        <f>F252+G252+H252</f>
        <v>184050.34</v>
      </c>
      <c r="J252" s="181">
        <f>-100+700.25</f>
        <v>600.25</v>
      </c>
      <c r="K252" s="276"/>
      <c r="L252" s="181">
        <f>I252+J252+K252</f>
        <v>184650.59</v>
      </c>
      <c r="M252" s="211">
        <f>-6300</f>
        <v>-6300</v>
      </c>
      <c r="N252" s="292"/>
      <c r="O252" s="235">
        <f>L252+M252+N252</f>
        <v>178350.59</v>
      </c>
      <c r="P252" s="112"/>
      <c r="Q252" s="46">
        <f aca="true" t="shared" si="81" ref="Q252:Q260">O252+P252</f>
        <v>178350.59</v>
      </c>
    </row>
    <row r="253" spans="1:17" ht="12.75">
      <c r="A253" s="15" t="s">
        <v>56</v>
      </c>
      <c r="B253" s="59"/>
      <c r="C253" s="106">
        <v>20590</v>
      </c>
      <c r="D253" s="75">
        <f>-5122+67.75-75+130+376.83-25</f>
        <v>-4647.42</v>
      </c>
      <c r="E253" s="168"/>
      <c r="F253" s="198">
        <f t="shared" si="80"/>
        <v>15942.58</v>
      </c>
      <c r="G253" s="211">
        <f>600-1110-335</f>
        <v>-845</v>
      </c>
      <c r="H253" s="235"/>
      <c r="I253" s="181">
        <f aca="true" t="shared" si="82" ref="I253:I260">F253+G253+H253</f>
        <v>15097.58</v>
      </c>
      <c r="J253" s="181">
        <v>1200</v>
      </c>
      <c r="K253" s="276"/>
      <c r="L253" s="181">
        <f aca="true" t="shared" si="83" ref="L253:L260">I253+J253+K253</f>
        <v>16297.58</v>
      </c>
      <c r="M253" s="211">
        <f>6300+3.5+50</f>
        <v>6353.5</v>
      </c>
      <c r="N253" s="292"/>
      <c r="O253" s="235">
        <f aca="true" t="shared" si="84" ref="O253:O260">L253+M253+N253</f>
        <v>22651.08</v>
      </c>
      <c r="P253" s="112"/>
      <c r="Q253" s="46">
        <f t="shared" si="81"/>
        <v>22651.08</v>
      </c>
    </row>
    <row r="254" spans="1:17" ht="12.75">
      <c r="A254" s="15" t="s">
        <v>143</v>
      </c>
      <c r="B254" s="59"/>
      <c r="C254" s="106">
        <v>3294</v>
      </c>
      <c r="D254" s="75">
        <f>25</f>
        <v>25</v>
      </c>
      <c r="E254" s="168"/>
      <c r="F254" s="198">
        <f t="shared" si="80"/>
        <v>3319</v>
      </c>
      <c r="G254" s="211"/>
      <c r="H254" s="235"/>
      <c r="I254" s="181">
        <f t="shared" si="82"/>
        <v>3319</v>
      </c>
      <c r="J254" s="181"/>
      <c r="K254" s="276"/>
      <c r="L254" s="181">
        <f t="shared" si="83"/>
        <v>3319</v>
      </c>
      <c r="M254" s="211"/>
      <c r="N254" s="292"/>
      <c r="O254" s="235">
        <f t="shared" si="84"/>
        <v>3319</v>
      </c>
      <c r="P254" s="112"/>
      <c r="Q254" s="46">
        <f t="shared" si="81"/>
        <v>3319</v>
      </c>
    </row>
    <row r="255" spans="1:17" ht="12.75">
      <c r="A255" s="15" t="s">
        <v>70</v>
      </c>
      <c r="B255" s="59"/>
      <c r="C255" s="106"/>
      <c r="D255" s="75">
        <f>5122+335</f>
        <v>5457</v>
      </c>
      <c r="E255" s="168"/>
      <c r="F255" s="198">
        <f t="shared" si="80"/>
        <v>5457</v>
      </c>
      <c r="G255" s="211">
        <f>1110+335</f>
        <v>1445</v>
      </c>
      <c r="H255" s="235"/>
      <c r="I255" s="181">
        <f t="shared" si="82"/>
        <v>6902</v>
      </c>
      <c r="J255" s="181"/>
      <c r="K255" s="276"/>
      <c r="L255" s="181">
        <f t="shared" si="83"/>
        <v>6902</v>
      </c>
      <c r="M255" s="211"/>
      <c r="N255" s="292"/>
      <c r="O255" s="235">
        <f t="shared" si="84"/>
        <v>6902</v>
      </c>
      <c r="P255" s="112"/>
      <c r="Q255" s="46">
        <f t="shared" si="81"/>
        <v>6902</v>
      </c>
    </row>
    <row r="256" spans="1:17" ht="12.75">
      <c r="A256" s="15" t="s">
        <v>102</v>
      </c>
      <c r="B256" s="59">
        <v>34070</v>
      </c>
      <c r="C256" s="106"/>
      <c r="D256" s="75"/>
      <c r="E256" s="168"/>
      <c r="F256" s="198">
        <f t="shared" si="80"/>
        <v>0</v>
      </c>
      <c r="G256" s="211">
        <f>150+340+88</f>
        <v>578</v>
      </c>
      <c r="H256" s="235"/>
      <c r="I256" s="181">
        <f t="shared" si="82"/>
        <v>578</v>
      </c>
      <c r="J256" s="181">
        <f>40</f>
        <v>40</v>
      </c>
      <c r="K256" s="276"/>
      <c r="L256" s="181">
        <f t="shared" si="83"/>
        <v>618</v>
      </c>
      <c r="M256" s="211"/>
      <c r="N256" s="292"/>
      <c r="O256" s="235">
        <f t="shared" si="84"/>
        <v>618</v>
      </c>
      <c r="P256" s="112"/>
      <c r="Q256" s="46">
        <f t="shared" si="81"/>
        <v>618</v>
      </c>
    </row>
    <row r="257" spans="1:17" ht="13.5" thickBot="1">
      <c r="A257" s="105" t="s">
        <v>103</v>
      </c>
      <c r="B257" s="103">
        <v>34053</v>
      </c>
      <c r="C257" s="134"/>
      <c r="D257" s="104"/>
      <c r="E257" s="193"/>
      <c r="F257" s="204">
        <f t="shared" si="80"/>
        <v>0</v>
      </c>
      <c r="G257" s="317">
        <f>320</f>
        <v>320</v>
      </c>
      <c r="H257" s="318"/>
      <c r="I257" s="319">
        <f t="shared" si="82"/>
        <v>320</v>
      </c>
      <c r="J257" s="319"/>
      <c r="K257" s="320"/>
      <c r="L257" s="319">
        <f t="shared" si="83"/>
        <v>320</v>
      </c>
      <c r="M257" s="317"/>
      <c r="N257" s="321"/>
      <c r="O257" s="318">
        <f t="shared" si="84"/>
        <v>320</v>
      </c>
      <c r="P257" s="112"/>
      <c r="Q257" s="46">
        <f t="shared" si="81"/>
        <v>320</v>
      </c>
    </row>
    <row r="258" spans="1:17" ht="12.75">
      <c r="A258" s="15" t="s">
        <v>345</v>
      </c>
      <c r="B258" s="59">
        <v>34013</v>
      </c>
      <c r="C258" s="106"/>
      <c r="D258" s="75"/>
      <c r="E258" s="168"/>
      <c r="F258" s="198"/>
      <c r="G258" s="211"/>
      <c r="H258" s="235"/>
      <c r="I258" s="181">
        <f t="shared" si="82"/>
        <v>0</v>
      </c>
      <c r="J258" s="181">
        <f>114+100+107</f>
        <v>321</v>
      </c>
      <c r="K258" s="276"/>
      <c r="L258" s="181">
        <f t="shared" si="83"/>
        <v>321</v>
      </c>
      <c r="M258" s="211"/>
      <c r="N258" s="292"/>
      <c r="O258" s="235">
        <f t="shared" si="84"/>
        <v>321</v>
      </c>
      <c r="P258" s="112"/>
      <c r="Q258" s="46"/>
    </row>
    <row r="259" spans="1:17" ht="12.75">
      <c r="A259" s="15" t="s">
        <v>346</v>
      </c>
      <c r="B259" s="59">
        <v>34019</v>
      </c>
      <c r="C259" s="106"/>
      <c r="D259" s="75"/>
      <c r="E259" s="168"/>
      <c r="F259" s="198"/>
      <c r="G259" s="211"/>
      <c r="H259" s="235"/>
      <c r="I259" s="181">
        <f t="shared" si="82"/>
        <v>0</v>
      </c>
      <c r="J259" s="181">
        <f>32+107</f>
        <v>139</v>
      </c>
      <c r="K259" s="276"/>
      <c r="L259" s="181">
        <f t="shared" si="83"/>
        <v>139</v>
      </c>
      <c r="M259" s="211"/>
      <c r="N259" s="292"/>
      <c r="O259" s="235">
        <f t="shared" si="84"/>
        <v>139</v>
      </c>
      <c r="P259" s="112"/>
      <c r="Q259" s="46"/>
    </row>
    <row r="260" spans="1:17" ht="12.75" hidden="1">
      <c r="A260" s="15" t="s">
        <v>86</v>
      </c>
      <c r="B260" s="59"/>
      <c r="C260" s="106"/>
      <c r="D260" s="75"/>
      <c r="E260" s="168"/>
      <c r="F260" s="198">
        <f t="shared" si="80"/>
        <v>0</v>
      </c>
      <c r="G260" s="211"/>
      <c r="H260" s="235"/>
      <c r="I260" s="181">
        <f t="shared" si="82"/>
        <v>0</v>
      </c>
      <c r="J260" s="181"/>
      <c r="K260" s="276"/>
      <c r="L260" s="181">
        <f t="shared" si="83"/>
        <v>0</v>
      </c>
      <c r="M260" s="211"/>
      <c r="N260" s="292"/>
      <c r="O260" s="235">
        <f t="shared" si="84"/>
        <v>0</v>
      </c>
      <c r="P260" s="112"/>
      <c r="Q260" s="46">
        <f t="shared" si="81"/>
        <v>0</v>
      </c>
    </row>
    <row r="261" spans="1:17" ht="12.75">
      <c r="A261" s="17" t="s">
        <v>59</v>
      </c>
      <c r="B261" s="63"/>
      <c r="C261" s="131">
        <f>SUM(C263:C267)</f>
        <v>0</v>
      </c>
      <c r="D261" s="82">
        <f aca="true" t="shared" si="85" ref="D261:Q261">SUM(D263:D267)</f>
        <v>0</v>
      </c>
      <c r="E261" s="171">
        <f t="shared" si="85"/>
        <v>0</v>
      </c>
      <c r="F261" s="201">
        <f t="shared" si="85"/>
        <v>0</v>
      </c>
      <c r="G261" s="215">
        <f t="shared" si="85"/>
        <v>3760</v>
      </c>
      <c r="H261" s="239">
        <f t="shared" si="85"/>
        <v>0</v>
      </c>
      <c r="I261" s="185">
        <f t="shared" si="85"/>
        <v>3760</v>
      </c>
      <c r="J261" s="185">
        <f t="shared" si="85"/>
        <v>100</v>
      </c>
      <c r="K261" s="280">
        <f t="shared" si="85"/>
        <v>0</v>
      </c>
      <c r="L261" s="185">
        <f t="shared" si="85"/>
        <v>3860</v>
      </c>
      <c r="M261" s="215">
        <f t="shared" si="85"/>
        <v>252</v>
      </c>
      <c r="N261" s="296">
        <f t="shared" si="85"/>
        <v>0</v>
      </c>
      <c r="O261" s="239">
        <f t="shared" si="85"/>
        <v>4112</v>
      </c>
      <c r="P261" s="123">
        <f t="shared" si="85"/>
        <v>0</v>
      </c>
      <c r="Q261" s="81">
        <f t="shared" si="85"/>
        <v>3860</v>
      </c>
    </row>
    <row r="262" spans="1:17" ht="12.75">
      <c r="A262" s="13" t="s">
        <v>27</v>
      </c>
      <c r="B262" s="59"/>
      <c r="C262" s="106"/>
      <c r="D262" s="75"/>
      <c r="E262" s="168"/>
      <c r="F262" s="198"/>
      <c r="G262" s="211"/>
      <c r="H262" s="235"/>
      <c r="I262" s="181"/>
      <c r="J262" s="181"/>
      <c r="K262" s="276"/>
      <c r="L262" s="181"/>
      <c r="M262" s="211"/>
      <c r="N262" s="292"/>
      <c r="O262" s="235"/>
      <c r="P262" s="112"/>
      <c r="Q262" s="46"/>
    </row>
    <row r="263" spans="1:17" ht="12.75" hidden="1">
      <c r="A263" s="15" t="s">
        <v>103</v>
      </c>
      <c r="B263" s="59">
        <v>34544</v>
      </c>
      <c r="C263" s="106"/>
      <c r="D263" s="75"/>
      <c r="E263" s="168"/>
      <c r="F263" s="198">
        <f>C263+D263+E263</f>
        <v>0</v>
      </c>
      <c r="G263" s="211"/>
      <c r="H263" s="235"/>
      <c r="I263" s="181">
        <f>F263+G263+H263</f>
        <v>0</v>
      </c>
      <c r="J263" s="181"/>
      <c r="K263" s="276"/>
      <c r="L263" s="181">
        <f>I263+J263+K263</f>
        <v>0</v>
      </c>
      <c r="M263" s="211"/>
      <c r="N263" s="292"/>
      <c r="O263" s="235">
        <f>L263+M263+N263</f>
        <v>0</v>
      </c>
      <c r="P263" s="112"/>
      <c r="Q263" s="46">
        <f>O263+P263</f>
        <v>0</v>
      </c>
    </row>
    <row r="264" spans="1:17" ht="12.75">
      <c r="A264" s="57" t="s">
        <v>363</v>
      </c>
      <c r="B264" s="59">
        <v>34949</v>
      </c>
      <c r="C264" s="106"/>
      <c r="D264" s="75"/>
      <c r="E264" s="168"/>
      <c r="F264" s="198"/>
      <c r="G264" s="211"/>
      <c r="H264" s="235"/>
      <c r="I264" s="181"/>
      <c r="J264" s="181"/>
      <c r="K264" s="276"/>
      <c r="L264" s="181">
        <f>I264+J264+K264</f>
        <v>0</v>
      </c>
      <c r="M264" s="211">
        <f>252</f>
        <v>252</v>
      </c>
      <c r="N264" s="292"/>
      <c r="O264" s="235">
        <f>L264+M264+N264</f>
        <v>252</v>
      </c>
      <c r="P264" s="112"/>
      <c r="Q264" s="46"/>
    </row>
    <row r="265" spans="1:17" ht="12.75">
      <c r="A265" s="311" t="s">
        <v>97</v>
      </c>
      <c r="B265" s="62"/>
      <c r="C265" s="132"/>
      <c r="D265" s="83"/>
      <c r="E265" s="192"/>
      <c r="F265" s="203">
        <f>C265+D265+E265</f>
        <v>0</v>
      </c>
      <c r="G265" s="217">
        <f>1360+2400</f>
        <v>3760</v>
      </c>
      <c r="H265" s="233"/>
      <c r="I265" s="187">
        <f>F265+G265+H265</f>
        <v>3760</v>
      </c>
      <c r="J265" s="187">
        <f>100</f>
        <v>100</v>
      </c>
      <c r="K265" s="282"/>
      <c r="L265" s="187">
        <f>I265+J265+K265</f>
        <v>3860</v>
      </c>
      <c r="M265" s="217"/>
      <c r="N265" s="298"/>
      <c r="O265" s="233">
        <f>L265+M265+N265</f>
        <v>3860</v>
      </c>
      <c r="P265" s="112"/>
      <c r="Q265" s="46">
        <f>O265+P265</f>
        <v>3860</v>
      </c>
    </row>
    <row r="266" spans="1:17" ht="12.75" hidden="1">
      <c r="A266" s="57" t="s">
        <v>60</v>
      </c>
      <c r="B266" s="59"/>
      <c r="C266" s="106"/>
      <c r="D266" s="75"/>
      <c r="E266" s="168"/>
      <c r="F266" s="198">
        <f>C266+D266+E266</f>
        <v>0</v>
      </c>
      <c r="G266" s="211"/>
      <c r="H266" s="235"/>
      <c r="I266" s="181">
        <f>F266+G266+H266</f>
        <v>0</v>
      </c>
      <c r="J266" s="181"/>
      <c r="K266" s="276"/>
      <c r="L266" s="181">
        <f>I266+J266+K266</f>
        <v>0</v>
      </c>
      <c r="M266" s="211"/>
      <c r="N266" s="292"/>
      <c r="O266" s="235">
        <f>L266+M266+N266</f>
        <v>0</v>
      </c>
      <c r="P266" s="112"/>
      <c r="Q266" s="46">
        <f>O266+P266</f>
        <v>0</v>
      </c>
    </row>
    <row r="267" spans="1:17" ht="13.5" hidden="1" thickBot="1">
      <c r="A267" s="105" t="s">
        <v>86</v>
      </c>
      <c r="B267" s="103"/>
      <c r="C267" s="134"/>
      <c r="D267" s="104"/>
      <c r="E267" s="193"/>
      <c r="F267" s="204">
        <f>C267+D267+E267</f>
        <v>0</v>
      </c>
      <c r="G267" s="217"/>
      <c r="H267" s="233"/>
      <c r="I267" s="187">
        <f>F267+G267+H267</f>
        <v>0</v>
      </c>
      <c r="J267" s="187"/>
      <c r="K267" s="282"/>
      <c r="L267" s="187">
        <f>I267+J267+K267</f>
        <v>0</v>
      </c>
      <c r="M267" s="299"/>
      <c r="N267" s="298"/>
      <c r="O267" s="233">
        <f>L267+M267+N267</f>
        <v>0</v>
      </c>
      <c r="P267" s="270"/>
      <c r="Q267" s="48">
        <f>O267+P267</f>
        <v>0</v>
      </c>
    </row>
    <row r="268" spans="1:17" ht="12.75">
      <c r="A268" s="8" t="s">
        <v>53</v>
      </c>
      <c r="B268" s="61"/>
      <c r="C268" s="113">
        <f aca="true" t="shared" si="86" ref="C268:Q268">C269+C281</f>
        <v>48902.7</v>
      </c>
      <c r="D268" s="74">
        <f t="shared" si="86"/>
        <v>11333.35</v>
      </c>
      <c r="E268" s="167">
        <f t="shared" si="86"/>
        <v>0</v>
      </c>
      <c r="F268" s="179">
        <f t="shared" si="86"/>
        <v>60236.049999999996</v>
      </c>
      <c r="G268" s="210">
        <f t="shared" si="86"/>
        <v>2000</v>
      </c>
      <c r="H268" s="234">
        <f t="shared" si="86"/>
        <v>0</v>
      </c>
      <c r="I268" s="182">
        <f t="shared" si="86"/>
        <v>62236.049999999996</v>
      </c>
      <c r="J268" s="182">
        <f t="shared" si="86"/>
        <v>0</v>
      </c>
      <c r="K268" s="275">
        <f t="shared" si="86"/>
        <v>0</v>
      </c>
      <c r="L268" s="182">
        <f t="shared" si="86"/>
        <v>62236.049999999996</v>
      </c>
      <c r="M268" s="210">
        <f t="shared" si="86"/>
        <v>0</v>
      </c>
      <c r="N268" s="291">
        <f t="shared" si="86"/>
        <v>0</v>
      </c>
      <c r="O268" s="234">
        <f t="shared" si="86"/>
        <v>62236.049999999996</v>
      </c>
      <c r="P268" s="98">
        <f t="shared" si="86"/>
        <v>0</v>
      </c>
      <c r="Q268" s="73">
        <f t="shared" si="86"/>
        <v>50002.049999999996</v>
      </c>
    </row>
    <row r="269" spans="1:17" ht="12.75">
      <c r="A269" s="17" t="s">
        <v>54</v>
      </c>
      <c r="B269" s="61"/>
      <c r="C269" s="131">
        <f aca="true" t="shared" si="87" ref="C269:Q269">SUM(C271:C280)</f>
        <v>48902.7</v>
      </c>
      <c r="D269" s="82">
        <f t="shared" si="87"/>
        <v>11333.35</v>
      </c>
      <c r="E269" s="171">
        <f t="shared" si="87"/>
        <v>0</v>
      </c>
      <c r="F269" s="201">
        <f t="shared" si="87"/>
        <v>60236.049999999996</v>
      </c>
      <c r="G269" s="215">
        <f t="shared" si="87"/>
        <v>2000</v>
      </c>
      <c r="H269" s="239">
        <f t="shared" si="87"/>
        <v>0</v>
      </c>
      <c r="I269" s="185">
        <f t="shared" si="87"/>
        <v>62236.049999999996</v>
      </c>
      <c r="J269" s="185">
        <f t="shared" si="87"/>
        <v>-250</v>
      </c>
      <c r="K269" s="280">
        <f t="shared" si="87"/>
        <v>0</v>
      </c>
      <c r="L269" s="185">
        <f t="shared" si="87"/>
        <v>61986.049999999996</v>
      </c>
      <c r="M269" s="215">
        <f t="shared" si="87"/>
        <v>0</v>
      </c>
      <c r="N269" s="296">
        <f t="shared" si="87"/>
        <v>0</v>
      </c>
      <c r="O269" s="239">
        <f t="shared" si="87"/>
        <v>61986.049999999996</v>
      </c>
      <c r="P269" s="123">
        <f t="shared" si="87"/>
        <v>0</v>
      </c>
      <c r="Q269" s="81">
        <f t="shared" si="87"/>
        <v>49752.049999999996</v>
      </c>
    </row>
    <row r="270" spans="1:17" ht="12.75">
      <c r="A270" s="13" t="s">
        <v>27</v>
      </c>
      <c r="B270" s="42"/>
      <c r="C270" s="106"/>
      <c r="D270" s="75"/>
      <c r="E270" s="168"/>
      <c r="F270" s="198"/>
      <c r="G270" s="211"/>
      <c r="H270" s="235"/>
      <c r="I270" s="181"/>
      <c r="J270" s="181"/>
      <c r="K270" s="276"/>
      <c r="L270" s="181"/>
      <c r="M270" s="211"/>
      <c r="N270" s="292"/>
      <c r="O270" s="235"/>
      <c r="P270" s="112"/>
      <c r="Q270" s="46"/>
    </row>
    <row r="271" spans="1:17" ht="12.75">
      <c r="A271" s="11" t="s">
        <v>147</v>
      </c>
      <c r="B271" s="59"/>
      <c r="C271" s="106">
        <v>20297.2</v>
      </c>
      <c r="D271" s="75">
        <f>5328.94</f>
        <v>5328.94</v>
      </c>
      <c r="E271" s="168"/>
      <c r="F271" s="198">
        <f aca="true" t="shared" si="88" ref="F271:F280">C271+D271+E271</f>
        <v>25626.14</v>
      </c>
      <c r="G271" s="211"/>
      <c r="H271" s="235"/>
      <c r="I271" s="181">
        <f>F271+G271+H271</f>
        <v>25626.14</v>
      </c>
      <c r="J271" s="181"/>
      <c r="K271" s="276"/>
      <c r="L271" s="181">
        <f aca="true" t="shared" si="89" ref="L271:L280">I271+J271+K271</f>
        <v>25626.14</v>
      </c>
      <c r="M271" s="211"/>
      <c r="N271" s="292"/>
      <c r="O271" s="235">
        <f>L271+M271+N271</f>
        <v>25626.14</v>
      </c>
      <c r="P271" s="112"/>
      <c r="Q271" s="46">
        <f>O271+P271</f>
        <v>25626.14</v>
      </c>
    </row>
    <row r="272" spans="1:17" ht="12.75">
      <c r="A272" s="11" t="s">
        <v>55</v>
      </c>
      <c r="B272" s="59"/>
      <c r="C272" s="106">
        <v>5133</v>
      </c>
      <c r="D272" s="75">
        <f>2089.17</f>
        <v>2089.17</v>
      </c>
      <c r="E272" s="168"/>
      <c r="F272" s="198">
        <f t="shared" si="88"/>
        <v>7222.17</v>
      </c>
      <c r="G272" s="211"/>
      <c r="H272" s="235"/>
      <c r="I272" s="181">
        <f>F272+G272+H272</f>
        <v>7222.17</v>
      </c>
      <c r="J272" s="181"/>
      <c r="K272" s="276"/>
      <c r="L272" s="181">
        <f t="shared" si="89"/>
        <v>7222.17</v>
      </c>
      <c r="M272" s="211"/>
      <c r="N272" s="292"/>
      <c r="O272" s="235">
        <f>L272+M272+N272</f>
        <v>7222.17</v>
      </c>
      <c r="P272" s="112"/>
      <c r="Q272" s="46">
        <f>O272+P272</f>
        <v>7222.17</v>
      </c>
    </row>
    <row r="273" spans="1:17" ht="12.75">
      <c r="A273" s="11" t="s">
        <v>285</v>
      </c>
      <c r="B273" s="59"/>
      <c r="C273" s="106">
        <v>1450</v>
      </c>
      <c r="D273" s="75"/>
      <c r="E273" s="168"/>
      <c r="F273" s="198">
        <f t="shared" si="88"/>
        <v>1450</v>
      </c>
      <c r="G273" s="211"/>
      <c r="H273" s="235"/>
      <c r="I273" s="181">
        <f>F273+G273+H273</f>
        <v>1450</v>
      </c>
      <c r="J273" s="181"/>
      <c r="K273" s="276"/>
      <c r="L273" s="181">
        <f t="shared" si="89"/>
        <v>1450</v>
      </c>
      <c r="M273" s="211"/>
      <c r="N273" s="292"/>
      <c r="O273" s="235">
        <f>L273+M273+N273</f>
        <v>1450</v>
      </c>
      <c r="P273" s="112"/>
      <c r="Q273" s="46">
        <f>O273+P273</f>
        <v>1450</v>
      </c>
    </row>
    <row r="274" spans="1:17" ht="12.75" hidden="1">
      <c r="A274" s="11" t="s">
        <v>166</v>
      </c>
      <c r="B274" s="59"/>
      <c r="C274" s="106"/>
      <c r="D274" s="75"/>
      <c r="E274" s="168"/>
      <c r="F274" s="198">
        <f t="shared" si="88"/>
        <v>0</v>
      </c>
      <c r="G274" s="211"/>
      <c r="H274" s="235"/>
      <c r="I274" s="181">
        <f>F274+G274+H274</f>
        <v>0</v>
      </c>
      <c r="J274" s="181"/>
      <c r="K274" s="276"/>
      <c r="L274" s="181">
        <f t="shared" si="89"/>
        <v>0</v>
      </c>
      <c r="M274" s="211"/>
      <c r="N274" s="292"/>
      <c r="O274" s="235">
        <f>L274+M274+N274</f>
        <v>0</v>
      </c>
      <c r="P274" s="112"/>
      <c r="Q274" s="46">
        <f>O274+P274</f>
        <v>0</v>
      </c>
    </row>
    <row r="275" spans="1:17" ht="12.75">
      <c r="A275" s="11" t="s">
        <v>56</v>
      </c>
      <c r="B275" s="59"/>
      <c r="C275" s="106">
        <v>13648.5</v>
      </c>
      <c r="D275" s="75">
        <f>225.34+2500-600-70.1</f>
        <v>2055.2400000000002</v>
      </c>
      <c r="E275" s="168"/>
      <c r="F275" s="198">
        <f t="shared" si="88"/>
        <v>15703.74</v>
      </c>
      <c r="G275" s="211"/>
      <c r="H275" s="235"/>
      <c r="I275" s="181">
        <f>F275+G275+H275</f>
        <v>15703.74</v>
      </c>
      <c r="J275" s="181">
        <f>-500-250</f>
        <v>-750</v>
      </c>
      <c r="K275" s="276"/>
      <c r="L275" s="181">
        <f t="shared" si="89"/>
        <v>14953.74</v>
      </c>
      <c r="M275" s="211"/>
      <c r="N275" s="292"/>
      <c r="O275" s="235">
        <f>L275+M275+N275</f>
        <v>14953.74</v>
      </c>
      <c r="P275" s="112"/>
      <c r="Q275" s="46">
        <f>O275+P275</f>
        <v>14953.74</v>
      </c>
    </row>
    <row r="276" spans="1:17" ht="12.75" hidden="1">
      <c r="A276" s="11" t="s">
        <v>86</v>
      </c>
      <c r="B276" s="59"/>
      <c r="C276" s="106"/>
      <c r="D276" s="75"/>
      <c r="E276" s="168"/>
      <c r="F276" s="198">
        <f t="shared" si="88"/>
        <v>0</v>
      </c>
      <c r="G276" s="211"/>
      <c r="H276" s="235"/>
      <c r="I276" s="181"/>
      <c r="J276" s="181"/>
      <c r="K276" s="276"/>
      <c r="L276" s="181">
        <f t="shared" si="89"/>
        <v>0</v>
      </c>
      <c r="M276" s="211"/>
      <c r="N276" s="292"/>
      <c r="O276" s="235"/>
      <c r="P276" s="112"/>
      <c r="Q276" s="46"/>
    </row>
    <row r="277" spans="1:17" ht="12.75">
      <c r="A277" s="11" t="s">
        <v>57</v>
      </c>
      <c r="B277" s="59"/>
      <c r="C277" s="106">
        <v>500</v>
      </c>
      <c r="D277" s="75"/>
      <c r="E277" s="168"/>
      <c r="F277" s="198">
        <f t="shared" si="88"/>
        <v>500</v>
      </c>
      <c r="G277" s="211"/>
      <c r="H277" s="235"/>
      <c r="I277" s="181">
        <f>F277+G277+H277</f>
        <v>500</v>
      </c>
      <c r="J277" s="181"/>
      <c r="K277" s="276"/>
      <c r="L277" s="181">
        <f t="shared" si="89"/>
        <v>500</v>
      </c>
      <c r="M277" s="211"/>
      <c r="N277" s="292"/>
      <c r="O277" s="235">
        <f>L277+M277+N277</f>
        <v>500</v>
      </c>
      <c r="P277" s="112"/>
      <c r="Q277" s="46">
        <f>O277+P277</f>
        <v>500</v>
      </c>
    </row>
    <row r="278" spans="1:17" ht="12.75">
      <c r="A278" s="11" t="s">
        <v>286</v>
      </c>
      <c r="B278" s="316">
        <v>1102</v>
      </c>
      <c r="C278" s="106">
        <v>7274</v>
      </c>
      <c r="D278" s="75">
        <f>1900-40</f>
        <v>1860</v>
      </c>
      <c r="E278" s="168">
        <v>-2694</v>
      </c>
      <c r="F278" s="198">
        <f t="shared" si="88"/>
        <v>6440</v>
      </c>
      <c r="G278" s="211">
        <f>2000</f>
        <v>2000</v>
      </c>
      <c r="H278" s="235"/>
      <c r="I278" s="181">
        <f>F278+G278+H278</f>
        <v>8440</v>
      </c>
      <c r="J278" s="181">
        <f>500</f>
        <v>500</v>
      </c>
      <c r="K278" s="276"/>
      <c r="L278" s="181">
        <f t="shared" si="89"/>
        <v>8940</v>
      </c>
      <c r="M278" s="211"/>
      <c r="N278" s="292"/>
      <c r="O278" s="235">
        <f>L278+M278+N278</f>
        <v>8940</v>
      </c>
      <c r="P278" s="112"/>
      <c r="Q278" s="46"/>
    </row>
    <row r="279" spans="1:17" ht="12.75">
      <c r="A279" s="11" t="s">
        <v>287</v>
      </c>
      <c r="B279" s="316">
        <v>1260</v>
      </c>
      <c r="C279" s="106">
        <v>600</v>
      </c>
      <c r="D279" s="75"/>
      <c r="E279" s="168">
        <v>2694</v>
      </c>
      <c r="F279" s="198">
        <f t="shared" si="88"/>
        <v>3294</v>
      </c>
      <c r="G279" s="211"/>
      <c r="H279" s="235"/>
      <c r="I279" s="181">
        <f>F279+G279+H279</f>
        <v>3294</v>
      </c>
      <c r="J279" s="181"/>
      <c r="K279" s="276"/>
      <c r="L279" s="181">
        <f t="shared" si="89"/>
        <v>3294</v>
      </c>
      <c r="M279" s="211"/>
      <c r="N279" s="292"/>
      <c r="O279" s="235">
        <f>L279+M279+N279</f>
        <v>3294</v>
      </c>
      <c r="P279" s="112"/>
      <c r="Q279" s="46"/>
    </row>
    <row r="280" spans="1:17" ht="12.75" hidden="1">
      <c r="A280" s="11" t="s">
        <v>58</v>
      </c>
      <c r="B280" s="59"/>
      <c r="C280" s="106"/>
      <c r="D280" s="75"/>
      <c r="E280" s="168"/>
      <c r="F280" s="198">
        <f t="shared" si="88"/>
        <v>0</v>
      </c>
      <c r="G280" s="211"/>
      <c r="H280" s="235"/>
      <c r="I280" s="181">
        <f>F280+G280+H280</f>
        <v>0</v>
      </c>
      <c r="J280" s="181"/>
      <c r="K280" s="276"/>
      <c r="L280" s="181">
        <f t="shared" si="89"/>
        <v>0</v>
      </c>
      <c r="M280" s="211"/>
      <c r="N280" s="292"/>
      <c r="O280" s="235">
        <f>L280+M280+N280</f>
        <v>0</v>
      </c>
      <c r="P280" s="112"/>
      <c r="Q280" s="46">
        <f>O280+P280</f>
        <v>0</v>
      </c>
    </row>
    <row r="281" spans="1:17" ht="12.75">
      <c r="A281" s="18" t="s">
        <v>59</v>
      </c>
      <c r="B281" s="63"/>
      <c r="C281" s="133">
        <f aca="true" t="shared" si="90" ref="C281:Q281">SUM(C283:C285)</f>
        <v>0</v>
      </c>
      <c r="D281" s="85">
        <f t="shared" si="90"/>
        <v>0</v>
      </c>
      <c r="E281" s="172">
        <f t="shared" si="90"/>
        <v>0</v>
      </c>
      <c r="F281" s="202">
        <f t="shared" si="90"/>
        <v>0</v>
      </c>
      <c r="G281" s="216">
        <f t="shared" si="90"/>
        <v>0</v>
      </c>
      <c r="H281" s="240">
        <f t="shared" si="90"/>
        <v>0</v>
      </c>
      <c r="I281" s="186">
        <f t="shared" si="90"/>
        <v>0</v>
      </c>
      <c r="J281" s="186">
        <f t="shared" si="90"/>
        <v>250</v>
      </c>
      <c r="K281" s="281">
        <f t="shared" si="90"/>
        <v>0</v>
      </c>
      <c r="L281" s="186">
        <f t="shared" si="90"/>
        <v>250</v>
      </c>
      <c r="M281" s="216">
        <f t="shared" si="90"/>
        <v>0</v>
      </c>
      <c r="N281" s="297">
        <f t="shared" si="90"/>
        <v>0</v>
      </c>
      <c r="O281" s="240">
        <f t="shared" si="90"/>
        <v>250</v>
      </c>
      <c r="P281" s="124">
        <f t="shared" si="90"/>
        <v>0</v>
      </c>
      <c r="Q281" s="84">
        <f t="shared" si="90"/>
        <v>250</v>
      </c>
    </row>
    <row r="282" spans="1:17" ht="12.75">
      <c r="A282" s="9" t="s">
        <v>27</v>
      </c>
      <c r="B282" s="59"/>
      <c r="C282" s="100"/>
      <c r="D282" s="78"/>
      <c r="E282" s="169"/>
      <c r="F282" s="199"/>
      <c r="G282" s="213"/>
      <c r="H282" s="237"/>
      <c r="I282" s="183"/>
      <c r="J282" s="183"/>
      <c r="K282" s="278"/>
      <c r="L282" s="183"/>
      <c r="M282" s="213"/>
      <c r="N282" s="294"/>
      <c r="O282" s="237"/>
      <c r="P282" s="112"/>
      <c r="Q282" s="46"/>
    </row>
    <row r="283" spans="1:17" ht="12.75" hidden="1">
      <c r="A283" s="11" t="s">
        <v>167</v>
      </c>
      <c r="B283" s="59"/>
      <c r="C283" s="106"/>
      <c r="D283" s="75"/>
      <c r="E283" s="168"/>
      <c r="F283" s="198">
        <f>C283+D283+E283</f>
        <v>0</v>
      </c>
      <c r="G283" s="211"/>
      <c r="H283" s="235"/>
      <c r="I283" s="181">
        <f>F283+G283+H283</f>
        <v>0</v>
      </c>
      <c r="J283" s="181"/>
      <c r="K283" s="276"/>
      <c r="L283" s="181">
        <f>I283+J283+K283</f>
        <v>0</v>
      </c>
      <c r="M283" s="211"/>
      <c r="N283" s="292"/>
      <c r="O283" s="235">
        <f>L283+M283+N283</f>
        <v>0</v>
      </c>
      <c r="P283" s="112"/>
      <c r="Q283" s="46">
        <f>O283+P283</f>
        <v>0</v>
      </c>
    </row>
    <row r="284" spans="1:17" ht="12.75" hidden="1">
      <c r="A284" s="11" t="s">
        <v>58</v>
      </c>
      <c r="B284" s="59"/>
      <c r="C284" s="106"/>
      <c r="D284" s="75"/>
      <c r="E284" s="168"/>
      <c r="F284" s="198">
        <f>C284+D284+E284</f>
        <v>0</v>
      </c>
      <c r="G284" s="217"/>
      <c r="H284" s="233"/>
      <c r="I284" s="187">
        <f>F284+G284+H284</f>
        <v>0</v>
      </c>
      <c r="J284" s="187"/>
      <c r="K284" s="282"/>
      <c r="L284" s="187">
        <f>I284+J284+K284</f>
        <v>0</v>
      </c>
      <c r="M284" s="217"/>
      <c r="N284" s="298"/>
      <c r="O284" s="233">
        <f>L284+M284+N284</f>
        <v>0</v>
      </c>
      <c r="P284" s="270"/>
      <c r="Q284" s="48">
        <f>O284+P284</f>
        <v>0</v>
      </c>
    </row>
    <row r="285" spans="1:17" ht="12.75">
      <c r="A285" s="14" t="s">
        <v>60</v>
      </c>
      <c r="B285" s="62"/>
      <c r="C285" s="132"/>
      <c r="D285" s="83"/>
      <c r="E285" s="192"/>
      <c r="F285" s="203">
        <f>C285+D285+E285</f>
        <v>0</v>
      </c>
      <c r="G285" s="217"/>
      <c r="H285" s="233"/>
      <c r="I285" s="187">
        <f>F285+G285+H285</f>
        <v>0</v>
      </c>
      <c r="J285" s="187">
        <v>250</v>
      </c>
      <c r="K285" s="282"/>
      <c r="L285" s="187">
        <f>I285+J285+K285</f>
        <v>250</v>
      </c>
      <c r="M285" s="217"/>
      <c r="N285" s="298"/>
      <c r="O285" s="233">
        <f>L285+M285+N285</f>
        <v>250</v>
      </c>
      <c r="P285" s="112"/>
      <c r="Q285" s="46">
        <f>O285+P285</f>
        <v>250</v>
      </c>
    </row>
    <row r="286" spans="1:17" ht="12.75">
      <c r="A286" s="8" t="s">
        <v>294</v>
      </c>
      <c r="B286" s="63"/>
      <c r="C286" s="113">
        <f aca="true" t="shared" si="91" ref="C286:Q286">C287+C306</f>
        <v>373953.11</v>
      </c>
      <c r="D286" s="74">
        <f t="shared" si="91"/>
        <v>25824.489999999998</v>
      </c>
      <c r="E286" s="167">
        <f t="shared" si="91"/>
        <v>0</v>
      </c>
      <c r="F286" s="179">
        <f t="shared" si="91"/>
        <v>399777.6</v>
      </c>
      <c r="G286" s="210">
        <f t="shared" si="91"/>
        <v>1214</v>
      </c>
      <c r="H286" s="234">
        <f t="shared" si="91"/>
        <v>0</v>
      </c>
      <c r="I286" s="182">
        <f t="shared" si="91"/>
        <v>400991.6</v>
      </c>
      <c r="J286" s="182">
        <f t="shared" si="91"/>
        <v>3830.12</v>
      </c>
      <c r="K286" s="275">
        <f t="shared" si="91"/>
        <v>0</v>
      </c>
      <c r="L286" s="182">
        <f t="shared" si="91"/>
        <v>404821.72</v>
      </c>
      <c r="M286" s="210">
        <f t="shared" si="91"/>
        <v>200</v>
      </c>
      <c r="N286" s="291">
        <f t="shared" si="91"/>
        <v>0</v>
      </c>
      <c r="O286" s="234">
        <f t="shared" si="91"/>
        <v>405021.72</v>
      </c>
      <c r="P286" s="98">
        <f t="shared" si="91"/>
        <v>0</v>
      </c>
      <c r="Q286" s="73">
        <f t="shared" si="91"/>
        <v>402893.72</v>
      </c>
    </row>
    <row r="287" spans="1:17" ht="12.75">
      <c r="A287" s="17" t="s">
        <v>54</v>
      </c>
      <c r="B287" s="63"/>
      <c r="C287" s="131">
        <f aca="true" t="shared" si="92" ref="C287:Q287">SUM(C289:C305)</f>
        <v>373953.11</v>
      </c>
      <c r="D287" s="82">
        <f t="shared" si="92"/>
        <v>19975.01</v>
      </c>
      <c r="E287" s="171">
        <f t="shared" si="92"/>
        <v>0</v>
      </c>
      <c r="F287" s="201">
        <f t="shared" si="92"/>
        <v>393928.12</v>
      </c>
      <c r="G287" s="215">
        <f t="shared" si="92"/>
        <v>1214</v>
      </c>
      <c r="H287" s="239">
        <f t="shared" si="92"/>
        <v>0</v>
      </c>
      <c r="I287" s="185">
        <f t="shared" si="92"/>
        <v>395142.12</v>
      </c>
      <c r="J287" s="185">
        <f t="shared" si="92"/>
        <v>3830.12</v>
      </c>
      <c r="K287" s="280">
        <f t="shared" si="92"/>
        <v>0</v>
      </c>
      <c r="L287" s="185">
        <f t="shared" si="92"/>
        <v>398972.24</v>
      </c>
      <c r="M287" s="215">
        <f t="shared" si="92"/>
        <v>200</v>
      </c>
      <c r="N287" s="296">
        <f t="shared" si="92"/>
        <v>0</v>
      </c>
      <c r="O287" s="239">
        <f t="shared" si="92"/>
        <v>399172.24</v>
      </c>
      <c r="P287" s="123">
        <f t="shared" si="92"/>
        <v>0</v>
      </c>
      <c r="Q287" s="81">
        <f t="shared" si="92"/>
        <v>397044.24</v>
      </c>
    </row>
    <row r="288" spans="1:17" ht="12.75">
      <c r="A288" s="13" t="s">
        <v>27</v>
      </c>
      <c r="B288" s="59"/>
      <c r="C288" s="106"/>
      <c r="D288" s="75"/>
      <c r="E288" s="168"/>
      <c r="F288" s="198"/>
      <c r="G288" s="211"/>
      <c r="H288" s="235"/>
      <c r="I288" s="181"/>
      <c r="J288" s="181"/>
      <c r="K288" s="276"/>
      <c r="L288" s="181"/>
      <c r="M288" s="211"/>
      <c r="N288" s="292"/>
      <c r="O288" s="235"/>
      <c r="P288" s="112"/>
      <c r="Q288" s="46"/>
    </row>
    <row r="289" spans="1:17" ht="12.75">
      <c r="A289" s="20" t="s">
        <v>148</v>
      </c>
      <c r="B289" s="59"/>
      <c r="C289" s="106">
        <v>184639.38</v>
      </c>
      <c r="D289" s="75">
        <f>8226.4+1200</f>
        <v>9426.4</v>
      </c>
      <c r="E289" s="168"/>
      <c r="F289" s="198">
        <f aca="true" t="shared" si="93" ref="F289:F305">C289+D289+E289</f>
        <v>194065.78</v>
      </c>
      <c r="G289" s="211">
        <f>-80</f>
        <v>-80</v>
      </c>
      <c r="H289" s="235"/>
      <c r="I289" s="181">
        <f>F289+G289+H289</f>
        <v>193985.78</v>
      </c>
      <c r="J289" s="181">
        <f>100+1000+317.47</f>
        <v>1417.47</v>
      </c>
      <c r="K289" s="276"/>
      <c r="L289" s="181">
        <f>I289+J289+K289</f>
        <v>195403.25</v>
      </c>
      <c r="M289" s="211"/>
      <c r="N289" s="292"/>
      <c r="O289" s="235">
        <f>L289+M289+N289</f>
        <v>195403.25</v>
      </c>
      <c r="P289" s="112"/>
      <c r="Q289" s="46">
        <f aca="true" t="shared" si="94" ref="Q289:Q296">O289+P289</f>
        <v>195403.25</v>
      </c>
    </row>
    <row r="290" spans="1:17" ht="12.75">
      <c r="A290" s="11" t="s">
        <v>55</v>
      </c>
      <c r="B290" s="59"/>
      <c r="C290" s="106">
        <v>62979.15</v>
      </c>
      <c r="D290" s="75">
        <v>2831.94</v>
      </c>
      <c r="E290" s="168"/>
      <c r="F290" s="198">
        <f t="shared" si="93"/>
        <v>65811.09</v>
      </c>
      <c r="G290" s="211">
        <f>408+80</f>
        <v>488</v>
      </c>
      <c r="H290" s="235"/>
      <c r="I290" s="181">
        <f aca="true" t="shared" si="95" ref="I290:I300">F290+G290+H290</f>
        <v>66299.09</v>
      </c>
      <c r="J290" s="181">
        <f>-100+344.25+109.29</f>
        <v>353.54</v>
      </c>
      <c r="K290" s="276"/>
      <c r="L290" s="181">
        <f aca="true" t="shared" si="96" ref="L290:L302">I290+J290+K290</f>
        <v>66652.62999999999</v>
      </c>
      <c r="M290" s="211"/>
      <c r="N290" s="292"/>
      <c r="O290" s="235">
        <f aca="true" t="shared" si="97" ref="O290:O304">L290+M290+N290</f>
        <v>66652.62999999999</v>
      </c>
      <c r="P290" s="112"/>
      <c r="Q290" s="46">
        <f t="shared" si="94"/>
        <v>66652.62999999999</v>
      </c>
    </row>
    <row r="291" spans="1:17" ht="12.75">
      <c r="A291" s="11" t="s">
        <v>285</v>
      </c>
      <c r="B291" s="59"/>
      <c r="C291" s="106">
        <v>200</v>
      </c>
      <c r="D291" s="75"/>
      <c r="E291" s="168"/>
      <c r="F291" s="198">
        <f t="shared" si="93"/>
        <v>200</v>
      </c>
      <c r="G291" s="211">
        <f>40</f>
        <v>40</v>
      </c>
      <c r="H291" s="235"/>
      <c r="I291" s="181">
        <f t="shared" si="95"/>
        <v>240</v>
      </c>
      <c r="J291" s="181"/>
      <c r="K291" s="276"/>
      <c r="L291" s="181">
        <f t="shared" si="96"/>
        <v>240</v>
      </c>
      <c r="M291" s="211"/>
      <c r="N291" s="292"/>
      <c r="O291" s="235">
        <f t="shared" si="97"/>
        <v>240</v>
      </c>
      <c r="P291" s="112"/>
      <c r="Q291" s="46">
        <f t="shared" si="94"/>
        <v>240</v>
      </c>
    </row>
    <row r="292" spans="1:17" ht="12.75">
      <c r="A292" s="11" t="s">
        <v>56</v>
      </c>
      <c r="B292" s="59"/>
      <c r="C292" s="106">
        <v>60808.58</v>
      </c>
      <c r="D292" s="102">
        <f>287.92+748.61+5640</f>
        <v>6676.53</v>
      </c>
      <c r="E292" s="168"/>
      <c r="F292" s="198">
        <f t="shared" si="93"/>
        <v>67485.11</v>
      </c>
      <c r="G292" s="211">
        <f>516</f>
        <v>516</v>
      </c>
      <c r="H292" s="235"/>
      <c r="I292" s="181">
        <f t="shared" si="95"/>
        <v>68001.11</v>
      </c>
      <c r="J292" s="181">
        <f>185+130+35+11.11</f>
        <v>361.11</v>
      </c>
      <c r="K292" s="276"/>
      <c r="L292" s="181">
        <f t="shared" si="96"/>
        <v>68362.22</v>
      </c>
      <c r="M292" s="211"/>
      <c r="N292" s="292"/>
      <c r="O292" s="235">
        <f t="shared" si="97"/>
        <v>68362.22</v>
      </c>
      <c r="P292" s="112"/>
      <c r="Q292" s="46">
        <f t="shared" si="94"/>
        <v>68362.22</v>
      </c>
    </row>
    <row r="293" spans="1:17" ht="12.75">
      <c r="A293" s="11" t="s">
        <v>61</v>
      </c>
      <c r="B293" s="59">
        <v>1115</v>
      </c>
      <c r="C293" s="106">
        <v>462</v>
      </c>
      <c r="D293" s="75"/>
      <c r="E293" s="168"/>
      <c r="F293" s="198">
        <f t="shared" si="93"/>
        <v>462</v>
      </c>
      <c r="G293" s="211"/>
      <c r="H293" s="235"/>
      <c r="I293" s="181">
        <f t="shared" si="95"/>
        <v>462</v>
      </c>
      <c r="J293" s="181"/>
      <c r="K293" s="276"/>
      <c r="L293" s="181">
        <f t="shared" si="96"/>
        <v>462</v>
      </c>
      <c r="M293" s="211"/>
      <c r="N293" s="292"/>
      <c r="O293" s="235">
        <f t="shared" si="97"/>
        <v>462</v>
      </c>
      <c r="P293" s="112"/>
      <c r="Q293" s="46">
        <f t="shared" si="94"/>
        <v>462</v>
      </c>
    </row>
    <row r="294" spans="1:17" ht="12.75" hidden="1">
      <c r="A294" s="11" t="s">
        <v>62</v>
      </c>
      <c r="B294" s="59"/>
      <c r="C294" s="106"/>
      <c r="D294" s="75"/>
      <c r="E294" s="168"/>
      <c r="F294" s="198">
        <f t="shared" si="93"/>
        <v>0</v>
      </c>
      <c r="G294" s="211"/>
      <c r="H294" s="235"/>
      <c r="I294" s="181">
        <f t="shared" si="95"/>
        <v>0</v>
      </c>
      <c r="J294" s="181"/>
      <c r="K294" s="276"/>
      <c r="L294" s="181">
        <f t="shared" si="96"/>
        <v>0</v>
      </c>
      <c r="M294" s="211"/>
      <c r="N294" s="292"/>
      <c r="O294" s="235">
        <f t="shared" si="97"/>
        <v>0</v>
      </c>
      <c r="P294" s="112"/>
      <c r="Q294" s="46">
        <f t="shared" si="94"/>
        <v>0</v>
      </c>
    </row>
    <row r="295" spans="1:17" ht="12.75">
      <c r="A295" s="11" t="s">
        <v>63</v>
      </c>
      <c r="B295" s="59">
        <v>51</v>
      </c>
      <c r="C295" s="106">
        <v>64864</v>
      </c>
      <c r="D295" s="75"/>
      <c r="E295" s="168"/>
      <c r="F295" s="198">
        <f t="shared" si="93"/>
        <v>64864</v>
      </c>
      <c r="G295" s="211"/>
      <c r="H295" s="235"/>
      <c r="I295" s="181">
        <f t="shared" si="95"/>
        <v>64864</v>
      </c>
      <c r="J295" s="181"/>
      <c r="K295" s="276"/>
      <c r="L295" s="181">
        <f t="shared" si="96"/>
        <v>64864</v>
      </c>
      <c r="M295" s="211"/>
      <c r="N295" s="292"/>
      <c r="O295" s="235">
        <f t="shared" si="97"/>
        <v>64864</v>
      </c>
      <c r="P295" s="112"/>
      <c r="Q295" s="46">
        <f t="shared" si="94"/>
        <v>64864</v>
      </c>
    </row>
    <row r="296" spans="1:17" ht="12.75">
      <c r="A296" s="11" t="s">
        <v>85</v>
      </c>
      <c r="B296" s="59"/>
      <c r="C296" s="106"/>
      <c r="D296" s="75">
        <f>52.55+13.59+744</f>
        <v>810.14</v>
      </c>
      <c r="E296" s="168"/>
      <c r="F296" s="198">
        <f t="shared" si="93"/>
        <v>810.14</v>
      </c>
      <c r="G296" s="211"/>
      <c r="H296" s="235"/>
      <c r="I296" s="181">
        <f t="shared" si="95"/>
        <v>810.14</v>
      </c>
      <c r="J296" s="181"/>
      <c r="K296" s="276"/>
      <c r="L296" s="181">
        <f t="shared" si="96"/>
        <v>810.14</v>
      </c>
      <c r="M296" s="211"/>
      <c r="N296" s="292"/>
      <c r="O296" s="235">
        <f t="shared" si="97"/>
        <v>810.14</v>
      </c>
      <c r="P296" s="112"/>
      <c r="Q296" s="46">
        <f t="shared" si="94"/>
        <v>810.14</v>
      </c>
    </row>
    <row r="297" spans="1:17" ht="12.75" hidden="1">
      <c r="A297" s="11" t="s">
        <v>223</v>
      </c>
      <c r="B297" s="59">
        <v>13234</v>
      </c>
      <c r="C297" s="106"/>
      <c r="D297" s="75"/>
      <c r="E297" s="168"/>
      <c r="F297" s="198">
        <f t="shared" si="93"/>
        <v>0</v>
      </c>
      <c r="G297" s="211"/>
      <c r="H297" s="235"/>
      <c r="I297" s="181">
        <f t="shared" si="95"/>
        <v>0</v>
      </c>
      <c r="J297" s="181"/>
      <c r="K297" s="276"/>
      <c r="L297" s="181">
        <f t="shared" si="96"/>
        <v>0</v>
      </c>
      <c r="M297" s="211"/>
      <c r="N297" s="292"/>
      <c r="O297" s="235">
        <f t="shared" si="97"/>
        <v>0</v>
      </c>
      <c r="P297" s="112"/>
      <c r="Q297" s="46"/>
    </row>
    <row r="298" spans="1:17" ht="12.75" hidden="1">
      <c r="A298" s="11" t="s">
        <v>64</v>
      </c>
      <c r="B298" s="59"/>
      <c r="C298" s="106"/>
      <c r="D298" s="75"/>
      <c r="E298" s="168"/>
      <c r="F298" s="198">
        <f t="shared" si="93"/>
        <v>0</v>
      </c>
      <c r="G298" s="211"/>
      <c r="H298" s="235"/>
      <c r="I298" s="181">
        <f t="shared" si="95"/>
        <v>0</v>
      </c>
      <c r="J298" s="181"/>
      <c r="K298" s="276"/>
      <c r="L298" s="181">
        <f t="shared" si="96"/>
        <v>0</v>
      </c>
      <c r="M298" s="211"/>
      <c r="N298" s="292"/>
      <c r="O298" s="235">
        <f t="shared" si="97"/>
        <v>0</v>
      </c>
      <c r="P298" s="112"/>
      <c r="Q298" s="46">
        <f>O298+P298</f>
        <v>0</v>
      </c>
    </row>
    <row r="299" spans="1:17" ht="12.75">
      <c r="A299" s="11" t="s">
        <v>298</v>
      </c>
      <c r="B299" s="59">
        <v>98008</v>
      </c>
      <c r="C299" s="106"/>
      <c r="D299" s="75">
        <f>200</f>
        <v>200</v>
      </c>
      <c r="E299" s="168"/>
      <c r="F299" s="198">
        <f t="shared" si="93"/>
        <v>200</v>
      </c>
      <c r="G299" s="211"/>
      <c r="H299" s="235"/>
      <c r="I299" s="181">
        <f t="shared" si="95"/>
        <v>200</v>
      </c>
      <c r="J299" s="181"/>
      <c r="K299" s="276"/>
      <c r="L299" s="181">
        <f t="shared" si="96"/>
        <v>200</v>
      </c>
      <c r="M299" s="211"/>
      <c r="N299" s="292"/>
      <c r="O299" s="235">
        <f t="shared" si="97"/>
        <v>200</v>
      </c>
      <c r="P299" s="112"/>
      <c r="Q299" s="46"/>
    </row>
    <row r="300" spans="1:17" ht="12.75">
      <c r="A300" s="11" t="s">
        <v>299</v>
      </c>
      <c r="B300" s="59">
        <v>98071</v>
      </c>
      <c r="C300" s="106"/>
      <c r="D300" s="75">
        <v>30</v>
      </c>
      <c r="E300" s="168"/>
      <c r="F300" s="198">
        <f t="shared" si="93"/>
        <v>30</v>
      </c>
      <c r="G300" s="211"/>
      <c r="H300" s="235"/>
      <c r="I300" s="181">
        <f t="shared" si="95"/>
        <v>30</v>
      </c>
      <c r="J300" s="181"/>
      <c r="K300" s="276"/>
      <c r="L300" s="181">
        <f t="shared" si="96"/>
        <v>30</v>
      </c>
      <c r="M300" s="211"/>
      <c r="N300" s="292"/>
      <c r="O300" s="235">
        <f t="shared" si="97"/>
        <v>30</v>
      </c>
      <c r="P300" s="112"/>
      <c r="Q300" s="46"/>
    </row>
    <row r="301" spans="1:17" ht="12.75" hidden="1">
      <c r="A301" s="11" t="s">
        <v>65</v>
      </c>
      <c r="B301" s="59">
        <v>98074</v>
      </c>
      <c r="C301" s="106"/>
      <c r="D301" s="75"/>
      <c r="E301" s="168"/>
      <c r="F301" s="198">
        <f t="shared" si="93"/>
        <v>0</v>
      </c>
      <c r="G301" s="211"/>
      <c r="H301" s="235"/>
      <c r="I301" s="181">
        <f>F301+G301+H301</f>
        <v>0</v>
      </c>
      <c r="J301" s="181"/>
      <c r="K301" s="276"/>
      <c r="L301" s="181">
        <f t="shared" si="96"/>
        <v>0</v>
      </c>
      <c r="M301" s="211"/>
      <c r="N301" s="292"/>
      <c r="O301" s="235">
        <f t="shared" si="97"/>
        <v>0</v>
      </c>
      <c r="P301" s="112"/>
      <c r="Q301" s="46">
        <f>O301+P301</f>
        <v>0</v>
      </c>
    </row>
    <row r="302" spans="1:17" ht="12.75">
      <c r="A302" s="11" t="s">
        <v>356</v>
      </c>
      <c r="B302" s="59">
        <v>98187</v>
      </c>
      <c r="C302" s="106"/>
      <c r="D302" s="75"/>
      <c r="E302" s="168"/>
      <c r="F302" s="198"/>
      <c r="G302" s="211"/>
      <c r="H302" s="235"/>
      <c r="I302" s="181"/>
      <c r="J302" s="181"/>
      <c r="K302" s="276"/>
      <c r="L302" s="181">
        <f t="shared" si="96"/>
        <v>0</v>
      </c>
      <c r="M302" s="211">
        <f>200</f>
        <v>200</v>
      </c>
      <c r="N302" s="292"/>
      <c r="O302" s="235">
        <f t="shared" si="97"/>
        <v>200</v>
      </c>
      <c r="P302" s="112"/>
      <c r="Q302" s="46"/>
    </row>
    <row r="303" spans="1:17" ht="12.75" hidden="1">
      <c r="A303" s="11" t="s">
        <v>66</v>
      </c>
      <c r="B303" s="59"/>
      <c r="C303" s="106"/>
      <c r="D303" s="75"/>
      <c r="E303" s="168"/>
      <c r="F303" s="198">
        <f t="shared" si="93"/>
        <v>0</v>
      </c>
      <c r="G303" s="211"/>
      <c r="H303" s="235"/>
      <c r="I303" s="181">
        <f>F303+G303+H303</f>
        <v>0</v>
      </c>
      <c r="J303" s="181"/>
      <c r="K303" s="276"/>
      <c r="L303" s="181">
        <f>I303+J303+K303</f>
        <v>0</v>
      </c>
      <c r="M303" s="211"/>
      <c r="N303" s="292"/>
      <c r="O303" s="235">
        <f t="shared" si="97"/>
        <v>0</v>
      </c>
      <c r="P303" s="112"/>
      <c r="Q303" s="46">
        <f>O303+P303</f>
        <v>0</v>
      </c>
    </row>
    <row r="304" spans="1:17" ht="12.75">
      <c r="A304" s="11" t="s">
        <v>350</v>
      </c>
      <c r="B304" s="59">
        <v>13015</v>
      </c>
      <c r="C304" s="106"/>
      <c r="D304" s="75"/>
      <c r="E304" s="168"/>
      <c r="F304" s="198"/>
      <c r="G304" s="211"/>
      <c r="H304" s="235"/>
      <c r="I304" s="181">
        <f>F304+G304+H304</f>
        <v>0</v>
      </c>
      <c r="J304" s="181">
        <f>1698</f>
        <v>1698</v>
      </c>
      <c r="K304" s="276"/>
      <c r="L304" s="181">
        <f>I304+J304+K304</f>
        <v>1698</v>
      </c>
      <c r="M304" s="211"/>
      <c r="N304" s="292"/>
      <c r="O304" s="235">
        <f t="shared" si="97"/>
        <v>1698</v>
      </c>
      <c r="P304" s="112"/>
      <c r="Q304" s="46"/>
    </row>
    <row r="305" spans="1:17" ht="12.75">
      <c r="A305" s="11" t="s">
        <v>67</v>
      </c>
      <c r="B305" s="59">
        <v>4001</v>
      </c>
      <c r="C305" s="106"/>
      <c r="D305" s="75"/>
      <c r="E305" s="168"/>
      <c r="F305" s="198">
        <f t="shared" si="93"/>
        <v>0</v>
      </c>
      <c r="G305" s="211">
        <f>250</f>
        <v>250</v>
      </c>
      <c r="H305" s="235"/>
      <c r="I305" s="181">
        <f>F305+G305+H305</f>
        <v>250</v>
      </c>
      <c r="J305" s="181"/>
      <c r="K305" s="276"/>
      <c r="L305" s="181">
        <f>I305+J305+K305</f>
        <v>250</v>
      </c>
      <c r="M305" s="211"/>
      <c r="N305" s="292"/>
      <c r="O305" s="235">
        <f>L305+M305+N305</f>
        <v>250</v>
      </c>
      <c r="P305" s="112"/>
      <c r="Q305" s="46">
        <f>O305+P305</f>
        <v>250</v>
      </c>
    </row>
    <row r="306" spans="1:17" ht="12.75">
      <c r="A306" s="17" t="s">
        <v>59</v>
      </c>
      <c r="B306" s="63"/>
      <c r="C306" s="131">
        <f>C309+C308</f>
        <v>0</v>
      </c>
      <c r="D306" s="82">
        <f aca="true" t="shared" si="98" ref="D306:Q306">D309+D308</f>
        <v>5849.48</v>
      </c>
      <c r="E306" s="171">
        <f t="shared" si="98"/>
        <v>0</v>
      </c>
      <c r="F306" s="201">
        <f t="shared" si="98"/>
        <v>5849.48</v>
      </c>
      <c r="G306" s="215">
        <f t="shared" si="98"/>
        <v>0</v>
      </c>
      <c r="H306" s="239">
        <f t="shared" si="98"/>
        <v>0</v>
      </c>
      <c r="I306" s="185">
        <f t="shared" si="98"/>
        <v>5849.48</v>
      </c>
      <c r="J306" s="185">
        <f t="shared" si="98"/>
        <v>0</v>
      </c>
      <c r="K306" s="280">
        <f t="shared" si="98"/>
        <v>0</v>
      </c>
      <c r="L306" s="185">
        <f t="shared" si="98"/>
        <v>5849.48</v>
      </c>
      <c r="M306" s="215">
        <f t="shared" si="98"/>
        <v>0</v>
      </c>
      <c r="N306" s="296">
        <f t="shared" si="98"/>
        <v>0</v>
      </c>
      <c r="O306" s="239">
        <f t="shared" si="98"/>
        <v>5849.48</v>
      </c>
      <c r="P306" s="123">
        <f t="shared" si="98"/>
        <v>0</v>
      </c>
      <c r="Q306" s="81">
        <f t="shared" si="98"/>
        <v>5849.48</v>
      </c>
    </row>
    <row r="307" spans="1:17" ht="12.75">
      <c r="A307" s="13" t="s">
        <v>27</v>
      </c>
      <c r="B307" s="59"/>
      <c r="C307" s="106"/>
      <c r="D307" s="75"/>
      <c r="E307" s="168"/>
      <c r="F307" s="179"/>
      <c r="G307" s="211"/>
      <c r="H307" s="235"/>
      <c r="I307" s="182"/>
      <c r="J307" s="181"/>
      <c r="K307" s="276"/>
      <c r="L307" s="182"/>
      <c r="M307" s="211"/>
      <c r="N307" s="292"/>
      <c r="O307" s="234"/>
      <c r="P307" s="112"/>
      <c r="Q307" s="46"/>
    </row>
    <row r="308" spans="1:17" ht="12.75" hidden="1">
      <c r="A308" s="10" t="s">
        <v>60</v>
      </c>
      <c r="B308" s="59"/>
      <c r="C308" s="106"/>
      <c r="D308" s="75"/>
      <c r="E308" s="168"/>
      <c r="F308" s="198">
        <f>C308+D308+E308</f>
        <v>0</v>
      </c>
      <c r="G308" s="211"/>
      <c r="H308" s="235"/>
      <c r="I308" s="181">
        <f>F308+G308+H308</f>
        <v>0</v>
      </c>
      <c r="J308" s="181"/>
      <c r="K308" s="276"/>
      <c r="L308" s="181">
        <f>I308+J308+K308</f>
        <v>0</v>
      </c>
      <c r="M308" s="211"/>
      <c r="N308" s="292"/>
      <c r="O308" s="235">
        <f>L308+M308+N308</f>
        <v>0</v>
      </c>
      <c r="P308" s="112"/>
      <c r="Q308" s="46">
        <f>O308+P308</f>
        <v>0</v>
      </c>
    </row>
    <row r="309" spans="1:17" ht="12.75">
      <c r="A309" s="14" t="s">
        <v>86</v>
      </c>
      <c r="B309" s="62"/>
      <c r="C309" s="132"/>
      <c r="D309" s="83">
        <f>1753.48+4096</f>
        <v>5849.48</v>
      </c>
      <c r="E309" s="192"/>
      <c r="F309" s="203">
        <f>C309+D309+E309</f>
        <v>5849.48</v>
      </c>
      <c r="G309" s="217"/>
      <c r="H309" s="233"/>
      <c r="I309" s="187">
        <f>F309+G309+H309</f>
        <v>5849.48</v>
      </c>
      <c r="J309" s="187"/>
      <c r="K309" s="282"/>
      <c r="L309" s="187">
        <f>I309+J309+K309</f>
        <v>5849.48</v>
      </c>
      <c r="M309" s="217"/>
      <c r="N309" s="298"/>
      <c r="O309" s="233">
        <f>L309+M309+N309</f>
        <v>5849.48</v>
      </c>
      <c r="P309" s="270"/>
      <c r="Q309" s="48">
        <f>O309+P309</f>
        <v>5849.48</v>
      </c>
    </row>
    <row r="310" spans="1:17" ht="12.75">
      <c r="A310" s="23" t="s">
        <v>180</v>
      </c>
      <c r="B310" s="64"/>
      <c r="C310" s="113">
        <f aca="true" t="shared" si="99" ref="C310:Q310">C311+C336</f>
        <v>511531.20000000007</v>
      </c>
      <c r="D310" s="74">
        <f t="shared" si="99"/>
        <v>1444476.4900000002</v>
      </c>
      <c r="E310" s="167">
        <f t="shared" si="99"/>
        <v>-22622.4</v>
      </c>
      <c r="F310" s="179">
        <f t="shared" si="99"/>
        <v>1933385.29</v>
      </c>
      <c r="G310" s="210">
        <f t="shared" si="99"/>
        <v>458185.01999999996</v>
      </c>
      <c r="H310" s="234">
        <f t="shared" si="99"/>
        <v>-877.53</v>
      </c>
      <c r="I310" s="182">
        <f t="shared" si="99"/>
        <v>2390692.7800000003</v>
      </c>
      <c r="J310" s="182">
        <f t="shared" si="99"/>
        <v>258511.61000000002</v>
      </c>
      <c r="K310" s="275">
        <f t="shared" si="99"/>
        <v>7.958078640513122E-13</v>
      </c>
      <c r="L310" s="182">
        <f t="shared" si="99"/>
        <v>2649204.3899999997</v>
      </c>
      <c r="M310" s="210">
        <f t="shared" si="99"/>
        <v>324773.8200000001</v>
      </c>
      <c r="N310" s="291">
        <f t="shared" si="99"/>
        <v>0</v>
      </c>
      <c r="O310" s="234">
        <f t="shared" si="99"/>
        <v>2973978.21</v>
      </c>
      <c r="P310" s="98">
        <f t="shared" si="99"/>
        <v>0</v>
      </c>
      <c r="Q310" s="73">
        <f t="shared" si="99"/>
        <v>0</v>
      </c>
    </row>
    <row r="311" spans="1:17" ht="12.75">
      <c r="A311" s="17" t="s">
        <v>54</v>
      </c>
      <c r="B311" s="63"/>
      <c r="C311" s="131">
        <f aca="true" t="shared" si="100" ref="C311:Q311">SUM(C313:C324)</f>
        <v>66348.6</v>
      </c>
      <c r="D311" s="82">
        <f t="shared" si="100"/>
        <v>44821.27</v>
      </c>
      <c r="E311" s="171">
        <f t="shared" si="100"/>
        <v>32.67</v>
      </c>
      <c r="F311" s="201">
        <f t="shared" si="100"/>
        <v>111202.54000000001</v>
      </c>
      <c r="G311" s="215">
        <f t="shared" si="100"/>
        <v>12155.240000000002</v>
      </c>
      <c r="H311" s="239">
        <f t="shared" si="100"/>
        <v>0</v>
      </c>
      <c r="I311" s="185">
        <f t="shared" si="100"/>
        <v>123357.78000000003</v>
      </c>
      <c r="J311" s="185">
        <f t="shared" si="100"/>
        <v>2045.4299999999998</v>
      </c>
      <c r="K311" s="280">
        <f t="shared" si="100"/>
        <v>94.38</v>
      </c>
      <c r="L311" s="185">
        <f t="shared" si="100"/>
        <v>125497.59000000003</v>
      </c>
      <c r="M311" s="215">
        <f t="shared" si="100"/>
        <v>-9453.800000000001</v>
      </c>
      <c r="N311" s="296">
        <f t="shared" si="100"/>
        <v>0</v>
      </c>
      <c r="O311" s="239">
        <f t="shared" si="100"/>
        <v>116043.79000000001</v>
      </c>
      <c r="P311" s="123">
        <f t="shared" si="100"/>
        <v>0</v>
      </c>
      <c r="Q311" s="81">
        <f t="shared" si="100"/>
        <v>0</v>
      </c>
    </row>
    <row r="312" spans="1:17" ht="12.75">
      <c r="A312" s="13" t="s">
        <v>27</v>
      </c>
      <c r="B312" s="59"/>
      <c r="C312" s="131"/>
      <c r="D312" s="96"/>
      <c r="E312" s="194"/>
      <c r="F312" s="201"/>
      <c r="G312" s="211"/>
      <c r="H312" s="235"/>
      <c r="I312" s="181"/>
      <c r="J312" s="181"/>
      <c r="K312" s="276"/>
      <c r="L312" s="181"/>
      <c r="M312" s="219"/>
      <c r="N312" s="292"/>
      <c r="O312" s="235"/>
      <c r="P312" s="112"/>
      <c r="Q312" s="46"/>
    </row>
    <row r="313" spans="1:17" ht="12.75">
      <c r="A313" s="15" t="s">
        <v>56</v>
      </c>
      <c r="B313" s="59"/>
      <c r="C313" s="106">
        <v>1613.6</v>
      </c>
      <c r="D313" s="86"/>
      <c r="E313" s="173"/>
      <c r="F313" s="198">
        <f aca="true" t="shared" si="101" ref="F313:F335">C313+D313+E313</f>
        <v>1613.6</v>
      </c>
      <c r="G313" s="211"/>
      <c r="H313" s="235"/>
      <c r="I313" s="181">
        <f aca="true" t="shared" si="102" ref="I313:I335">F313+G313+H313</f>
        <v>1613.6</v>
      </c>
      <c r="J313" s="181"/>
      <c r="K313" s="276"/>
      <c r="L313" s="181">
        <f>I313+J313+K313</f>
        <v>1613.6</v>
      </c>
      <c r="M313" s="219">
        <f>-455.47+57.6</f>
        <v>-397.87</v>
      </c>
      <c r="N313" s="292"/>
      <c r="O313" s="235">
        <f>L313+M313+N313</f>
        <v>1215.73</v>
      </c>
      <c r="P313" s="112"/>
      <c r="Q313" s="46"/>
    </row>
    <row r="314" spans="1:17" ht="12.75">
      <c r="A314" s="15" t="s">
        <v>190</v>
      </c>
      <c r="B314" s="59">
        <v>1080</v>
      </c>
      <c r="C314" s="106"/>
      <c r="D314" s="86">
        <f>2430.75</f>
        <v>2430.75</v>
      </c>
      <c r="E314" s="173"/>
      <c r="F314" s="198">
        <f t="shared" si="101"/>
        <v>2430.75</v>
      </c>
      <c r="G314" s="211"/>
      <c r="H314" s="235"/>
      <c r="I314" s="181">
        <f t="shared" si="102"/>
        <v>2430.75</v>
      </c>
      <c r="J314" s="181"/>
      <c r="K314" s="276"/>
      <c r="L314" s="181">
        <f aca="true" t="shared" si="103" ref="L314:L335">I314+J314+K314</f>
        <v>2430.75</v>
      </c>
      <c r="M314" s="219"/>
      <c r="N314" s="292"/>
      <c r="O314" s="235">
        <f aca="true" t="shared" si="104" ref="O314:O323">L314+M314+N314</f>
        <v>2430.75</v>
      </c>
      <c r="P314" s="112"/>
      <c r="Q314" s="46"/>
    </row>
    <row r="315" spans="1:17" ht="12.75">
      <c r="A315" s="15" t="s">
        <v>191</v>
      </c>
      <c r="B315" s="151">
        <v>1081.1202</v>
      </c>
      <c r="C315" s="106">
        <v>2804</v>
      </c>
      <c r="D315" s="86">
        <f>1114.3</f>
        <v>1114.3</v>
      </c>
      <c r="E315" s="173"/>
      <c r="F315" s="198">
        <f t="shared" si="101"/>
        <v>3918.3</v>
      </c>
      <c r="G315" s="211"/>
      <c r="H315" s="235"/>
      <c r="I315" s="181">
        <f t="shared" si="102"/>
        <v>3918.3</v>
      </c>
      <c r="J315" s="181"/>
      <c r="K315" s="276"/>
      <c r="L315" s="181">
        <f t="shared" si="103"/>
        <v>3918.3</v>
      </c>
      <c r="M315" s="219"/>
      <c r="N315" s="292"/>
      <c r="O315" s="235">
        <f t="shared" si="104"/>
        <v>3918.3</v>
      </c>
      <c r="P315" s="112"/>
      <c r="Q315" s="46"/>
    </row>
    <row r="316" spans="1:17" ht="12.75">
      <c r="A316" s="60" t="s">
        <v>89</v>
      </c>
      <c r="B316" s="59"/>
      <c r="C316" s="106">
        <v>600</v>
      </c>
      <c r="D316" s="86"/>
      <c r="E316" s="173"/>
      <c r="F316" s="198">
        <f t="shared" si="101"/>
        <v>600</v>
      </c>
      <c r="G316" s="211"/>
      <c r="H316" s="235"/>
      <c r="I316" s="181">
        <f t="shared" si="102"/>
        <v>600</v>
      </c>
      <c r="J316" s="181"/>
      <c r="K316" s="276"/>
      <c r="L316" s="181">
        <f t="shared" si="103"/>
        <v>600</v>
      </c>
      <c r="M316" s="219"/>
      <c r="N316" s="292"/>
      <c r="O316" s="235">
        <f t="shared" si="104"/>
        <v>600</v>
      </c>
      <c r="P316" s="112"/>
      <c r="Q316" s="46"/>
    </row>
    <row r="317" spans="1:17" ht="12.75">
      <c r="A317" s="11" t="s">
        <v>199</v>
      </c>
      <c r="B317" s="59"/>
      <c r="C317" s="106">
        <v>33842</v>
      </c>
      <c r="D317" s="86"/>
      <c r="E317" s="173"/>
      <c r="F317" s="198">
        <f t="shared" si="101"/>
        <v>33842</v>
      </c>
      <c r="G317" s="211">
        <f>5000</f>
        <v>5000</v>
      </c>
      <c r="H317" s="235"/>
      <c r="I317" s="181">
        <f t="shared" si="102"/>
        <v>38842</v>
      </c>
      <c r="J317" s="181"/>
      <c r="K317" s="276"/>
      <c r="L317" s="181">
        <f t="shared" si="103"/>
        <v>38842</v>
      </c>
      <c r="M317" s="219"/>
      <c r="N317" s="292"/>
      <c r="O317" s="235">
        <f t="shared" si="104"/>
        <v>38842</v>
      </c>
      <c r="P317" s="112"/>
      <c r="Q317" s="46"/>
    </row>
    <row r="318" spans="1:17" ht="12.75" hidden="1">
      <c r="A318" s="15" t="s">
        <v>200</v>
      </c>
      <c r="B318" s="59"/>
      <c r="C318" s="106"/>
      <c r="D318" s="86"/>
      <c r="E318" s="173"/>
      <c r="F318" s="198">
        <f t="shared" si="101"/>
        <v>0</v>
      </c>
      <c r="G318" s="211"/>
      <c r="H318" s="235"/>
      <c r="I318" s="181">
        <f t="shared" si="102"/>
        <v>0</v>
      </c>
      <c r="J318" s="181"/>
      <c r="K318" s="276"/>
      <c r="L318" s="181">
        <f t="shared" si="103"/>
        <v>0</v>
      </c>
      <c r="M318" s="219"/>
      <c r="N318" s="292"/>
      <c r="O318" s="235">
        <f t="shared" si="104"/>
        <v>0</v>
      </c>
      <c r="P318" s="112"/>
      <c r="Q318" s="46"/>
    </row>
    <row r="319" spans="1:17" ht="12.75" hidden="1">
      <c r="A319" s="15" t="s">
        <v>259</v>
      </c>
      <c r="B319" s="59"/>
      <c r="C319" s="106"/>
      <c r="D319" s="86"/>
      <c r="E319" s="173"/>
      <c r="F319" s="198">
        <f t="shared" si="101"/>
        <v>0</v>
      </c>
      <c r="G319" s="211"/>
      <c r="H319" s="235"/>
      <c r="I319" s="181">
        <f t="shared" si="102"/>
        <v>0</v>
      </c>
      <c r="J319" s="181"/>
      <c r="K319" s="276"/>
      <c r="L319" s="181">
        <f t="shared" si="103"/>
        <v>0</v>
      </c>
      <c r="M319" s="219"/>
      <c r="N319" s="292"/>
      <c r="O319" s="235">
        <f t="shared" si="104"/>
        <v>0</v>
      </c>
      <c r="P319" s="112"/>
      <c r="Q319" s="46"/>
    </row>
    <row r="320" spans="1:17" ht="12.75">
      <c r="A320" s="15" t="s">
        <v>263</v>
      </c>
      <c r="B320" s="59"/>
      <c r="C320" s="106"/>
      <c r="D320" s="86">
        <f>192.3</f>
        <v>192.3</v>
      </c>
      <c r="E320" s="173"/>
      <c r="F320" s="198">
        <f t="shared" si="101"/>
        <v>192.3</v>
      </c>
      <c r="G320" s="211"/>
      <c r="H320" s="235"/>
      <c r="I320" s="181">
        <f t="shared" si="102"/>
        <v>192.3</v>
      </c>
      <c r="J320" s="181"/>
      <c r="K320" s="276"/>
      <c r="L320" s="181">
        <f t="shared" si="103"/>
        <v>192.3</v>
      </c>
      <c r="M320" s="219"/>
      <c r="N320" s="292"/>
      <c r="O320" s="235">
        <f t="shared" si="104"/>
        <v>192.3</v>
      </c>
      <c r="P320" s="112"/>
      <c r="Q320" s="46"/>
    </row>
    <row r="321" spans="1:17" ht="12.75">
      <c r="A321" s="11" t="s">
        <v>332</v>
      </c>
      <c r="B321" s="116">
        <v>212163</v>
      </c>
      <c r="C321" s="106"/>
      <c r="D321" s="86">
        <f>1724.05</f>
        <v>1724.05</v>
      </c>
      <c r="E321" s="173"/>
      <c r="F321" s="198">
        <f t="shared" si="101"/>
        <v>1724.05</v>
      </c>
      <c r="G321" s="211"/>
      <c r="H321" s="235"/>
      <c r="I321" s="181">
        <f t="shared" si="102"/>
        <v>1724.05</v>
      </c>
      <c r="J321" s="181"/>
      <c r="K321" s="276"/>
      <c r="L321" s="181">
        <f t="shared" si="103"/>
        <v>1724.05</v>
      </c>
      <c r="M321" s="219"/>
      <c r="N321" s="292"/>
      <c r="O321" s="235">
        <f t="shared" si="104"/>
        <v>1724.05</v>
      </c>
      <c r="P321" s="112"/>
      <c r="Q321" s="46"/>
    </row>
    <row r="322" spans="1:17" ht="12.75">
      <c r="A322" s="15" t="s">
        <v>183</v>
      </c>
      <c r="B322" s="116">
        <v>212162</v>
      </c>
      <c r="C322" s="106"/>
      <c r="D322" s="86">
        <f>658.97</f>
        <v>658.97</v>
      </c>
      <c r="E322" s="173"/>
      <c r="F322" s="198">
        <f>C322+D322+E322</f>
        <v>658.97</v>
      </c>
      <c r="G322" s="211"/>
      <c r="H322" s="235"/>
      <c r="I322" s="181">
        <f t="shared" si="102"/>
        <v>658.97</v>
      </c>
      <c r="J322" s="181"/>
      <c r="K322" s="276"/>
      <c r="L322" s="181">
        <f t="shared" si="103"/>
        <v>658.97</v>
      </c>
      <c r="M322" s="219"/>
      <c r="N322" s="292"/>
      <c r="O322" s="235">
        <f t="shared" si="104"/>
        <v>658.97</v>
      </c>
      <c r="P322" s="112"/>
      <c r="Q322" s="46"/>
    </row>
    <row r="323" spans="1:17" ht="12.75">
      <c r="A323" s="15" t="s">
        <v>331</v>
      </c>
      <c r="B323" s="116">
        <v>95113</v>
      </c>
      <c r="C323" s="106"/>
      <c r="D323" s="86"/>
      <c r="E323" s="173"/>
      <c r="F323" s="198">
        <f>C323+D323+E323</f>
        <v>0</v>
      </c>
      <c r="G323" s="211"/>
      <c r="H323" s="235"/>
      <c r="I323" s="181">
        <f t="shared" si="102"/>
        <v>0</v>
      </c>
      <c r="J323" s="181"/>
      <c r="K323" s="276"/>
      <c r="L323" s="181">
        <f t="shared" si="103"/>
        <v>0</v>
      </c>
      <c r="M323" s="219">
        <f>71.5</f>
        <v>71.5</v>
      </c>
      <c r="N323" s="292"/>
      <c r="O323" s="235">
        <f t="shared" si="104"/>
        <v>71.5</v>
      </c>
      <c r="P323" s="230"/>
      <c r="Q323" s="230"/>
    </row>
    <row r="324" spans="1:17" ht="12.75">
      <c r="A324" s="11" t="s">
        <v>86</v>
      </c>
      <c r="B324" s="59"/>
      <c r="C324" s="108">
        <f>SUM(C325:C335)</f>
        <v>27489</v>
      </c>
      <c r="D324" s="86">
        <f aca="true" t="shared" si="105" ref="D324:Q324">SUM(D325:D335)</f>
        <v>38700.899999999994</v>
      </c>
      <c r="E324" s="173">
        <f t="shared" si="105"/>
        <v>32.67</v>
      </c>
      <c r="F324" s="205">
        <f t="shared" si="105"/>
        <v>66222.56999999999</v>
      </c>
      <c r="G324" s="219">
        <f t="shared" si="105"/>
        <v>7155.240000000002</v>
      </c>
      <c r="H324" s="242">
        <f t="shared" si="105"/>
        <v>0</v>
      </c>
      <c r="I324" s="189">
        <f t="shared" si="105"/>
        <v>73377.81000000001</v>
      </c>
      <c r="J324" s="189">
        <f t="shared" si="105"/>
        <v>2045.4299999999998</v>
      </c>
      <c r="K324" s="283">
        <f t="shared" si="105"/>
        <v>94.38</v>
      </c>
      <c r="L324" s="189">
        <f t="shared" si="105"/>
        <v>75517.62000000002</v>
      </c>
      <c r="M324" s="219">
        <f t="shared" si="105"/>
        <v>-9127.43</v>
      </c>
      <c r="N324" s="300">
        <f t="shared" si="105"/>
        <v>0</v>
      </c>
      <c r="O324" s="242">
        <f t="shared" si="105"/>
        <v>66390.19</v>
      </c>
      <c r="P324" s="125">
        <f t="shared" si="105"/>
        <v>0</v>
      </c>
      <c r="Q324" s="108">
        <f t="shared" si="105"/>
        <v>0</v>
      </c>
    </row>
    <row r="325" spans="1:17" ht="12.75">
      <c r="A325" s="11" t="s">
        <v>246</v>
      </c>
      <c r="B325" s="59"/>
      <c r="C325" s="108">
        <v>14000</v>
      </c>
      <c r="D325" s="86">
        <f>2000</f>
        <v>2000</v>
      </c>
      <c r="E325" s="168"/>
      <c r="F325" s="198">
        <f t="shared" si="101"/>
        <v>16000</v>
      </c>
      <c r="G325" s="211"/>
      <c r="H325" s="235"/>
      <c r="I325" s="181">
        <f t="shared" si="102"/>
        <v>16000</v>
      </c>
      <c r="J325" s="181"/>
      <c r="K325" s="276"/>
      <c r="L325" s="181">
        <f t="shared" si="103"/>
        <v>16000</v>
      </c>
      <c r="M325" s="219"/>
      <c r="N325" s="292"/>
      <c r="O325" s="235">
        <f aca="true" t="shared" si="106" ref="O325:O335">L325+M325+N325</f>
        <v>16000</v>
      </c>
      <c r="P325" s="112"/>
      <c r="Q325" s="46"/>
    </row>
    <row r="326" spans="1:17" ht="12.75">
      <c r="A326" s="11" t="s">
        <v>198</v>
      </c>
      <c r="B326" s="59"/>
      <c r="C326" s="108"/>
      <c r="D326" s="86">
        <f>15999.31+2736.03+17203.48</f>
        <v>35938.82</v>
      </c>
      <c r="E326" s="168"/>
      <c r="F326" s="198">
        <f t="shared" si="101"/>
        <v>35938.82</v>
      </c>
      <c r="G326" s="211">
        <f>1245.41+2413.78+73.26+110.15+141.99</f>
        <v>3984.590000000001</v>
      </c>
      <c r="H326" s="235"/>
      <c r="I326" s="181">
        <f t="shared" si="102"/>
        <v>39923.41</v>
      </c>
      <c r="J326" s="189">
        <f>1872.57+33.6</f>
        <v>1906.1699999999998</v>
      </c>
      <c r="K326" s="276"/>
      <c r="L326" s="181">
        <f t="shared" si="103"/>
        <v>41829.58</v>
      </c>
      <c r="M326" s="219">
        <f>571.25+3.05+51.86-191.3+455.47-7000-6000-2000-1000</f>
        <v>-15109.67</v>
      </c>
      <c r="N326" s="292"/>
      <c r="O326" s="235">
        <f t="shared" si="106"/>
        <v>26719.910000000003</v>
      </c>
      <c r="P326" s="112"/>
      <c r="Q326" s="46"/>
    </row>
    <row r="327" spans="1:17" ht="12.75" hidden="1">
      <c r="A327" s="11" t="s">
        <v>233</v>
      </c>
      <c r="B327" s="59"/>
      <c r="C327" s="108"/>
      <c r="D327" s="97"/>
      <c r="E327" s="168"/>
      <c r="F327" s="198">
        <f t="shared" si="101"/>
        <v>0</v>
      </c>
      <c r="G327" s="211"/>
      <c r="H327" s="235"/>
      <c r="I327" s="181">
        <f t="shared" si="102"/>
        <v>0</v>
      </c>
      <c r="J327" s="181"/>
      <c r="K327" s="276"/>
      <c r="L327" s="181">
        <f t="shared" si="103"/>
        <v>0</v>
      </c>
      <c r="M327" s="219"/>
      <c r="N327" s="292"/>
      <c r="O327" s="235">
        <f t="shared" si="106"/>
        <v>0</v>
      </c>
      <c r="P327" s="112"/>
      <c r="Q327" s="46"/>
    </row>
    <row r="328" spans="1:17" ht="12.75" hidden="1">
      <c r="A328" s="11" t="s">
        <v>229</v>
      </c>
      <c r="B328" s="59"/>
      <c r="C328" s="108"/>
      <c r="D328" s="86"/>
      <c r="E328" s="168"/>
      <c r="F328" s="198">
        <f t="shared" si="101"/>
        <v>0</v>
      </c>
      <c r="G328" s="211"/>
      <c r="H328" s="235"/>
      <c r="I328" s="181">
        <f t="shared" si="102"/>
        <v>0</v>
      </c>
      <c r="J328" s="181"/>
      <c r="K328" s="276"/>
      <c r="L328" s="181">
        <f t="shared" si="103"/>
        <v>0</v>
      </c>
      <c r="M328" s="219"/>
      <c r="N328" s="292"/>
      <c r="O328" s="235">
        <f t="shared" si="106"/>
        <v>0</v>
      </c>
      <c r="P328" s="112"/>
      <c r="Q328" s="46"/>
    </row>
    <row r="329" spans="1:17" ht="12.75">
      <c r="A329" s="11" t="s">
        <v>262</v>
      </c>
      <c r="B329" s="59"/>
      <c r="C329" s="108"/>
      <c r="D329" s="86">
        <f>8937.1</f>
        <v>8937.1</v>
      </c>
      <c r="E329" s="168"/>
      <c r="F329" s="198">
        <f t="shared" si="101"/>
        <v>8937.1</v>
      </c>
      <c r="G329" s="211"/>
      <c r="H329" s="235"/>
      <c r="I329" s="181">
        <f t="shared" si="102"/>
        <v>8937.1</v>
      </c>
      <c r="J329" s="181"/>
      <c r="K329" s="276"/>
      <c r="L329" s="181">
        <f t="shared" si="103"/>
        <v>8937.1</v>
      </c>
      <c r="M329" s="219"/>
      <c r="N329" s="292"/>
      <c r="O329" s="235">
        <f t="shared" si="106"/>
        <v>8937.1</v>
      </c>
      <c r="P329" s="112"/>
      <c r="Q329" s="46"/>
    </row>
    <row r="330" spans="1:17" ht="12.75">
      <c r="A330" s="11" t="s">
        <v>197</v>
      </c>
      <c r="B330" s="59"/>
      <c r="C330" s="108"/>
      <c r="D330" s="86">
        <f>6.33+1000</f>
        <v>1006.33</v>
      </c>
      <c r="E330" s="168">
        <v>32.67</v>
      </c>
      <c r="F330" s="198">
        <f t="shared" si="101"/>
        <v>1039</v>
      </c>
      <c r="G330" s="211">
        <f>1700+720.65-32.67</f>
        <v>2387.98</v>
      </c>
      <c r="H330" s="235"/>
      <c r="I330" s="181">
        <f t="shared" si="102"/>
        <v>3426.98</v>
      </c>
      <c r="J330" s="181">
        <f>0.86+108.39+24.96</f>
        <v>134.21</v>
      </c>
      <c r="K330" s="276">
        <f>58.08</f>
        <v>58.08</v>
      </c>
      <c r="L330" s="181">
        <f t="shared" si="103"/>
        <v>3619.27</v>
      </c>
      <c r="M330" s="219">
        <f>384.04+966.15+1815.14+984.36+63.13+721.18+565.79+2.5+101.18+43.56+4.84+78.39+226.99+89.43+290.4</f>
        <v>6337.080000000001</v>
      </c>
      <c r="N330" s="292"/>
      <c r="O330" s="235">
        <f t="shared" si="106"/>
        <v>9956.35</v>
      </c>
      <c r="P330" s="112"/>
      <c r="Q330" s="46"/>
    </row>
    <row r="331" spans="1:17" ht="12.75">
      <c r="A331" s="11" t="s">
        <v>201</v>
      </c>
      <c r="B331" s="59"/>
      <c r="C331" s="108"/>
      <c r="D331" s="86">
        <f>2617.13</f>
        <v>2617.13</v>
      </c>
      <c r="E331" s="168"/>
      <c r="F331" s="198">
        <f t="shared" si="101"/>
        <v>2617.13</v>
      </c>
      <c r="G331" s="211"/>
      <c r="H331" s="235"/>
      <c r="I331" s="181">
        <f t="shared" si="102"/>
        <v>2617.13</v>
      </c>
      <c r="J331" s="181"/>
      <c r="K331" s="276"/>
      <c r="L331" s="181">
        <f t="shared" si="103"/>
        <v>2617.13</v>
      </c>
      <c r="M331" s="219"/>
      <c r="N331" s="292"/>
      <c r="O331" s="235">
        <f t="shared" si="106"/>
        <v>2617.13</v>
      </c>
      <c r="P331" s="112"/>
      <c r="Q331" s="46"/>
    </row>
    <row r="332" spans="1:17" ht="12.75">
      <c r="A332" s="11" t="s">
        <v>207</v>
      </c>
      <c r="B332" s="59"/>
      <c r="C332" s="108"/>
      <c r="D332" s="86"/>
      <c r="E332" s="168"/>
      <c r="F332" s="198">
        <f t="shared" si="101"/>
        <v>0</v>
      </c>
      <c r="G332" s="211"/>
      <c r="H332" s="235"/>
      <c r="I332" s="181">
        <f t="shared" si="102"/>
        <v>0</v>
      </c>
      <c r="J332" s="181">
        <v>5.05</v>
      </c>
      <c r="K332" s="276">
        <f>36.3</f>
        <v>36.3</v>
      </c>
      <c r="L332" s="181">
        <f t="shared" si="103"/>
        <v>41.349999999999994</v>
      </c>
      <c r="M332" s="219"/>
      <c r="N332" s="292"/>
      <c r="O332" s="235">
        <f t="shared" si="106"/>
        <v>41.349999999999994</v>
      </c>
      <c r="P332" s="112"/>
      <c r="Q332" s="46"/>
    </row>
    <row r="333" spans="1:17" ht="12.75">
      <c r="A333" s="11" t="s">
        <v>205</v>
      </c>
      <c r="B333" s="59"/>
      <c r="C333" s="108">
        <v>11831</v>
      </c>
      <c r="D333" s="86">
        <f>-10829.48+583.56-1001-214.56</f>
        <v>-11461.48</v>
      </c>
      <c r="E333" s="168"/>
      <c r="F333" s="198">
        <f t="shared" si="101"/>
        <v>369.52000000000044</v>
      </c>
      <c r="G333" s="211"/>
      <c r="H333" s="235"/>
      <c r="I333" s="181">
        <f t="shared" si="102"/>
        <v>369.52000000000044</v>
      </c>
      <c r="J333" s="181"/>
      <c r="K333" s="276"/>
      <c r="L333" s="181">
        <f t="shared" si="103"/>
        <v>369.52000000000044</v>
      </c>
      <c r="M333" s="219"/>
      <c r="N333" s="292"/>
      <c r="O333" s="235">
        <f t="shared" si="106"/>
        <v>369.52000000000044</v>
      </c>
      <c r="P333" s="112"/>
      <c r="Q333" s="46"/>
    </row>
    <row r="334" spans="1:17" ht="12.75">
      <c r="A334" s="11" t="s">
        <v>234</v>
      </c>
      <c r="B334" s="59"/>
      <c r="C334" s="108">
        <v>1658</v>
      </c>
      <c r="D334" s="86">
        <f>-506-802+300-350+1021</f>
        <v>-337</v>
      </c>
      <c r="E334" s="168"/>
      <c r="F334" s="198">
        <f t="shared" si="101"/>
        <v>1321</v>
      </c>
      <c r="G334" s="211"/>
      <c r="H334" s="235"/>
      <c r="I334" s="181">
        <f t="shared" si="102"/>
        <v>1321</v>
      </c>
      <c r="J334" s="181"/>
      <c r="K334" s="276"/>
      <c r="L334" s="181">
        <f t="shared" si="103"/>
        <v>1321</v>
      </c>
      <c r="M334" s="219">
        <f>-300-50</f>
        <v>-350</v>
      </c>
      <c r="N334" s="292"/>
      <c r="O334" s="235">
        <f t="shared" si="106"/>
        <v>971</v>
      </c>
      <c r="P334" s="112"/>
      <c r="Q334" s="46"/>
    </row>
    <row r="335" spans="1:17" ht="12.75">
      <c r="A335" s="11" t="s">
        <v>278</v>
      </c>
      <c r="B335" s="59"/>
      <c r="C335" s="108"/>
      <c r="D335" s="97"/>
      <c r="E335" s="168"/>
      <c r="F335" s="198">
        <f t="shared" si="101"/>
        <v>0</v>
      </c>
      <c r="G335" s="211">
        <f>750+32.67</f>
        <v>782.67</v>
      </c>
      <c r="H335" s="235"/>
      <c r="I335" s="181">
        <f t="shared" si="102"/>
        <v>782.67</v>
      </c>
      <c r="J335" s="181"/>
      <c r="K335" s="276"/>
      <c r="L335" s="181">
        <f t="shared" si="103"/>
        <v>782.67</v>
      </c>
      <c r="M335" s="219">
        <f>-4.84</f>
        <v>-4.84</v>
      </c>
      <c r="N335" s="292"/>
      <c r="O335" s="235">
        <f t="shared" si="106"/>
        <v>777.8299999999999</v>
      </c>
      <c r="P335" s="112"/>
      <c r="Q335" s="46"/>
    </row>
    <row r="336" spans="1:17" ht="12.75">
      <c r="A336" s="17" t="s">
        <v>59</v>
      </c>
      <c r="B336" s="63"/>
      <c r="C336" s="131">
        <f aca="true" t="shared" si="107" ref="C336:Q336">SUM(C338:C354)</f>
        <v>445182.60000000003</v>
      </c>
      <c r="D336" s="82">
        <f t="shared" si="107"/>
        <v>1399655.2200000002</v>
      </c>
      <c r="E336" s="171">
        <f t="shared" si="107"/>
        <v>-22655.07</v>
      </c>
      <c r="F336" s="201">
        <f t="shared" si="107"/>
        <v>1822182.75</v>
      </c>
      <c r="G336" s="215">
        <f t="shared" si="107"/>
        <v>446029.77999999997</v>
      </c>
      <c r="H336" s="239">
        <f t="shared" si="107"/>
        <v>-877.53</v>
      </c>
      <c r="I336" s="185">
        <f t="shared" si="107"/>
        <v>2267335</v>
      </c>
      <c r="J336" s="185">
        <f t="shared" si="107"/>
        <v>256466.18000000002</v>
      </c>
      <c r="K336" s="280">
        <f t="shared" si="107"/>
        <v>-94.3799999999992</v>
      </c>
      <c r="L336" s="185">
        <f t="shared" si="107"/>
        <v>2523706.8</v>
      </c>
      <c r="M336" s="215">
        <f t="shared" si="107"/>
        <v>334227.6200000001</v>
      </c>
      <c r="N336" s="296">
        <f t="shared" si="107"/>
        <v>0</v>
      </c>
      <c r="O336" s="239">
        <f t="shared" si="107"/>
        <v>2857934.42</v>
      </c>
      <c r="P336" s="123">
        <f t="shared" si="107"/>
        <v>0</v>
      </c>
      <c r="Q336" s="81">
        <f t="shared" si="107"/>
        <v>0</v>
      </c>
    </row>
    <row r="337" spans="1:17" ht="12.75">
      <c r="A337" s="15" t="s">
        <v>27</v>
      </c>
      <c r="B337" s="59"/>
      <c r="C337" s="106"/>
      <c r="D337" s="75"/>
      <c r="E337" s="168"/>
      <c r="F337" s="198"/>
      <c r="G337" s="211"/>
      <c r="H337" s="235"/>
      <c r="I337" s="181"/>
      <c r="J337" s="181"/>
      <c r="K337" s="276"/>
      <c r="L337" s="181"/>
      <c r="M337" s="219"/>
      <c r="N337" s="292"/>
      <c r="O337" s="235"/>
      <c r="P337" s="112"/>
      <c r="Q337" s="46"/>
    </row>
    <row r="338" spans="1:17" ht="12.75" hidden="1">
      <c r="A338" s="15" t="s">
        <v>192</v>
      </c>
      <c r="B338" s="59"/>
      <c r="C338" s="106"/>
      <c r="D338" s="75"/>
      <c r="E338" s="168"/>
      <c r="F338" s="198">
        <f aca="true" t="shared" si="108" ref="F338:F366">C338+D338+E338</f>
        <v>0</v>
      </c>
      <c r="G338" s="211"/>
      <c r="H338" s="235"/>
      <c r="I338" s="181">
        <f aca="true" t="shared" si="109" ref="I338:I366">F338+G338+H338</f>
        <v>0</v>
      </c>
      <c r="J338" s="181"/>
      <c r="K338" s="276"/>
      <c r="L338" s="181">
        <f aca="true" t="shared" si="110" ref="L338:L366">I338+J338+K338</f>
        <v>0</v>
      </c>
      <c r="M338" s="219"/>
      <c r="N338" s="292"/>
      <c r="O338" s="235"/>
      <c r="P338" s="112"/>
      <c r="Q338" s="46"/>
    </row>
    <row r="339" spans="1:17" ht="12.75">
      <c r="A339" s="15" t="s">
        <v>191</v>
      </c>
      <c r="B339" s="151">
        <v>1081.1202</v>
      </c>
      <c r="C339" s="106">
        <v>5423</v>
      </c>
      <c r="D339" s="75">
        <f>892.37</f>
        <v>892.37</v>
      </c>
      <c r="E339" s="168"/>
      <c r="F339" s="198">
        <f t="shared" si="108"/>
        <v>6315.37</v>
      </c>
      <c r="G339" s="211"/>
      <c r="H339" s="235"/>
      <c r="I339" s="181">
        <f t="shared" si="109"/>
        <v>6315.37</v>
      </c>
      <c r="J339" s="181"/>
      <c r="K339" s="276"/>
      <c r="L339" s="181">
        <f t="shared" si="110"/>
        <v>6315.37</v>
      </c>
      <c r="M339" s="219"/>
      <c r="N339" s="292"/>
      <c r="O339" s="235">
        <f aca="true" t="shared" si="111" ref="O339:O366">L339+M339+N339</f>
        <v>6315.37</v>
      </c>
      <c r="P339" s="112"/>
      <c r="Q339" s="46"/>
    </row>
    <row r="340" spans="1:17" ht="12.75">
      <c r="A340" s="15" t="s">
        <v>182</v>
      </c>
      <c r="B340" s="59"/>
      <c r="C340" s="106">
        <v>13853</v>
      </c>
      <c r="D340" s="75">
        <f>9223.46</f>
        <v>9223.46</v>
      </c>
      <c r="E340" s="168"/>
      <c r="F340" s="198">
        <f t="shared" si="108"/>
        <v>23076.46</v>
      </c>
      <c r="G340" s="211"/>
      <c r="H340" s="235"/>
      <c r="I340" s="181">
        <f t="shared" si="109"/>
        <v>23076.46</v>
      </c>
      <c r="J340" s="181">
        <f>34920-2500</f>
        <v>32420</v>
      </c>
      <c r="K340" s="276"/>
      <c r="L340" s="181">
        <f t="shared" si="110"/>
        <v>55496.46</v>
      </c>
      <c r="M340" s="219"/>
      <c r="N340" s="292"/>
      <c r="O340" s="235">
        <f t="shared" si="111"/>
        <v>55496.46</v>
      </c>
      <c r="P340" s="112"/>
      <c r="Q340" s="46"/>
    </row>
    <row r="341" spans="1:17" ht="12.75" hidden="1">
      <c r="A341" s="15" t="s">
        <v>259</v>
      </c>
      <c r="B341" s="59">
        <v>3000</v>
      </c>
      <c r="C341" s="106"/>
      <c r="D341" s="86"/>
      <c r="E341" s="173"/>
      <c r="F341" s="198">
        <f t="shared" si="108"/>
        <v>0</v>
      </c>
      <c r="G341" s="211"/>
      <c r="H341" s="235"/>
      <c r="I341" s="181">
        <f t="shared" si="109"/>
        <v>0</v>
      </c>
      <c r="J341" s="181"/>
      <c r="K341" s="276"/>
      <c r="L341" s="181">
        <f t="shared" si="110"/>
        <v>0</v>
      </c>
      <c r="M341" s="219"/>
      <c r="N341" s="292"/>
      <c r="O341" s="235">
        <f t="shared" si="111"/>
        <v>0</v>
      </c>
      <c r="P341" s="112"/>
      <c r="Q341" s="46"/>
    </row>
    <row r="342" spans="1:17" ht="12.75">
      <c r="A342" s="15" t="s">
        <v>244</v>
      </c>
      <c r="B342" s="59"/>
      <c r="C342" s="106"/>
      <c r="D342" s="86">
        <f>802.9</f>
        <v>802.9</v>
      </c>
      <c r="E342" s="173"/>
      <c r="F342" s="198">
        <f t="shared" si="108"/>
        <v>802.9</v>
      </c>
      <c r="G342" s="211"/>
      <c r="H342" s="235"/>
      <c r="I342" s="181">
        <f t="shared" si="109"/>
        <v>802.9</v>
      </c>
      <c r="J342" s="181"/>
      <c r="K342" s="276"/>
      <c r="L342" s="181">
        <f t="shared" si="110"/>
        <v>802.9</v>
      </c>
      <c r="M342" s="219"/>
      <c r="N342" s="292"/>
      <c r="O342" s="235">
        <f t="shared" si="111"/>
        <v>802.9</v>
      </c>
      <c r="P342" s="112"/>
      <c r="Q342" s="46"/>
    </row>
    <row r="343" spans="1:17" ht="13.5" thickBot="1">
      <c r="A343" s="323" t="s">
        <v>263</v>
      </c>
      <c r="B343" s="103"/>
      <c r="C343" s="134">
        <v>85000</v>
      </c>
      <c r="D343" s="324">
        <f>323102.36</f>
        <v>323102.36</v>
      </c>
      <c r="E343" s="325">
        <v>-20000</v>
      </c>
      <c r="F343" s="204">
        <f t="shared" si="108"/>
        <v>388102.36</v>
      </c>
      <c r="G343" s="317"/>
      <c r="H343" s="318"/>
      <c r="I343" s="319">
        <f t="shared" si="109"/>
        <v>388102.36</v>
      </c>
      <c r="J343" s="319">
        <v>-65000</v>
      </c>
      <c r="K343" s="320"/>
      <c r="L343" s="319">
        <f t="shared" si="110"/>
        <v>323102.36</v>
      </c>
      <c r="M343" s="326"/>
      <c r="N343" s="321"/>
      <c r="O343" s="318">
        <f t="shared" si="111"/>
        <v>323102.36</v>
      </c>
      <c r="P343" s="112"/>
      <c r="Q343" s="46"/>
    </row>
    <row r="344" spans="1:17" ht="12.75">
      <c r="A344" s="15" t="s">
        <v>288</v>
      </c>
      <c r="B344" s="116">
        <v>212161</v>
      </c>
      <c r="C344" s="106">
        <v>66696.7</v>
      </c>
      <c r="D344" s="86">
        <f>54009.82</f>
        <v>54009.82</v>
      </c>
      <c r="E344" s="173"/>
      <c r="F344" s="198">
        <f t="shared" si="108"/>
        <v>120706.51999999999</v>
      </c>
      <c r="G344" s="211"/>
      <c r="H344" s="235"/>
      <c r="I344" s="181">
        <f t="shared" si="109"/>
        <v>120706.51999999999</v>
      </c>
      <c r="J344" s="181"/>
      <c r="K344" s="276"/>
      <c r="L344" s="181">
        <f t="shared" si="110"/>
        <v>120706.51999999999</v>
      </c>
      <c r="M344" s="219"/>
      <c r="N344" s="292"/>
      <c r="O344" s="235">
        <f t="shared" si="111"/>
        <v>120706.51999999999</v>
      </c>
      <c r="P344" s="112"/>
      <c r="Q344" s="46"/>
    </row>
    <row r="345" spans="1:17" ht="12.75">
      <c r="A345" s="15" t="s">
        <v>271</v>
      </c>
      <c r="B345" s="116">
        <v>22777</v>
      </c>
      <c r="C345" s="106"/>
      <c r="D345" s="86"/>
      <c r="E345" s="173"/>
      <c r="F345" s="198">
        <f t="shared" si="108"/>
        <v>0</v>
      </c>
      <c r="G345" s="211"/>
      <c r="H345" s="235"/>
      <c r="I345" s="181">
        <f t="shared" si="109"/>
        <v>0</v>
      </c>
      <c r="J345" s="181">
        <f>28638.93</f>
        <v>28638.93</v>
      </c>
      <c r="K345" s="276"/>
      <c r="L345" s="181">
        <f t="shared" si="110"/>
        <v>28638.93</v>
      </c>
      <c r="M345" s="219"/>
      <c r="N345" s="292"/>
      <c r="O345" s="235">
        <f t="shared" si="111"/>
        <v>28638.93</v>
      </c>
      <c r="P345" s="112"/>
      <c r="Q345" s="46"/>
    </row>
    <row r="346" spans="1:17" ht="12.75">
      <c r="A346" s="15" t="s">
        <v>183</v>
      </c>
      <c r="B346" s="116">
        <v>212162</v>
      </c>
      <c r="C346" s="106"/>
      <c r="D346" s="86">
        <f>87850.14</f>
        <v>87850.14</v>
      </c>
      <c r="E346" s="173"/>
      <c r="F346" s="198">
        <f t="shared" si="108"/>
        <v>87850.14</v>
      </c>
      <c r="G346" s="211"/>
      <c r="H346" s="235"/>
      <c r="I346" s="181">
        <f t="shared" si="109"/>
        <v>87850.14</v>
      </c>
      <c r="J346" s="181">
        <f>-35000</f>
        <v>-35000</v>
      </c>
      <c r="K346" s="276"/>
      <c r="L346" s="181">
        <f t="shared" si="110"/>
        <v>52850.14</v>
      </c>
      <c r="M346" s="219"/>
      <c r="N346" s="292"/>
      <c r="O346" s="235">
        <f t="shared" si="111"/>
        <v>52850.14</v>
      </c>
      <c r="P346" s="112"/>
      <c r="Q346" s="46"/>
    </row>
    <row r="347" spans="1:17" ht="12.75">
      <c r="A347" s="15" t="s">
        <v>347</v>
      </c>
      <c r="B347" s="116">
        <v>22777</v>
      </c>
      <c r="C347" s="106"/>
      <c r="D347" s="86"/>
      <c r="E347" s="173"/>
      <c r="F347" s="198"/>
      <c r="G347" s="211"/>
      <c r="H347" s="235"/>
      <c r="I347" s="181">
        <f t="shared" si="109"/>
        <v>0</v>
      </c>
      <c r="J347" s="181">
        <f>6866.99+10303.63</f>
        <v>17170.62</v>
      </c>
      <c r="K347" s="276"/>
      <c r="L347" s="181">
        <f t="shared" si="110"/>
        <v>17170.62</v>
      </c>
      <c r="M347" s="219"/>
      <c r="N347" s="292"/>
      <c r="O347" s="235">
        <f t="shared" si="111"/>
        <v>17170.62</v>
      </c>
      <c r="P347" s="112"/>
      <c r="Q347" s="46"/>
    </row>
    <row r="348" spans="1:17" ht="12.75">
      <c r="A348" s="15" t="s">
        <v>336</v>
      </c>
      <c r="B348" s="116">
        <v>91628</v>
      </c>
      <c r="C348" s="106"/>
      <c r="D348" s="86"/>
      <c r="E348" s="173"/>
      <c r="F348" s="198">
        <f t="shared" si="108"/>
        <v>0</v>
      </c>
      <c r="G348" s="211">
        <f>190000</f>
        <v>190000</v>
      </c>
      <c r="H348" s="235"/>
      <c r="I348" s="181">
        <f t="shared" si="109"/>
        <v>190000</v>
      </c>
      <c r="J348" s="181"/>
      <c r="K348" s="276"/>
      <c r="L348" s="181">
        <f t="shared" si="110"/>
        <v>190000</v>
      </c>
      <c r="M348" s="219">
        <f>-14645</f>
        <v>-14645</v>
      </c>
      <c r="N348" s="292"/>
      <c r="O348" s="235">
        <f t="shared" si="111"/>
        <v>175355</v>
      </c>
      <c r="P348" s="112"/>
      <c r="Q348" s="46"/>
    </row>
    <row r="349" spans="1:17" ht="12.75">
      <c r="A349" s="15" t="s">
        <v>338</v>
      </c>
      <c r="B349" s="116">
        <v>91628</v>
      </c>
      <c r="C349" s="106"/>
      <c r="D349" s="86"/>
      <c r="E349" s="173"/>
      <c r="F349" s="198">
        <f t="shared" si="108"/>
        <v>0</v>
      </c>
      <c r="G349" s="211">
        <f>83617.95</f>
        <v>83617.95</v>
      </c>
      <c r="H349" s="235"/>
      <c r="I349" s="181">
        <f t="shared" si="109"/>
        <v>83617.95</v>
      </c>
      <c r="J349" s="181"/>
      <c r="K349" s="276"/>
      <c r="L349" s="181">
        <f t="shared" si="110"/>
        <v>83617.95</v>
      </c>
      <c r="M349" s="219"/>
      <c r="N349" s="292"/>
      <c r="O349" s="235">
        <f t="shared" si="111"/>
        <v>83617.95</v>
      </c>
      <c r="P349" s="112"/>
      <c r="Q349" s="46"/>
    </row>
    <row r="350" spans="1:17" ht="12.75">
      <c r="A350" s="15" t="s">
        <v>357</v>
      </c>
      <c r="B350" s="116">
        <v>98858</v>
      </c>
      <c r="C350" s="106"/>
      <c r="D350" s="86"/>
      <c r="E350" s="173"/>
      <c r="F350" s="198"/>
      <c r="G350" s="211"/>
      <c r="H350" s="235"/>
      <c r="I350" s="181"/>
      <c r="J350" s="181"/>
      <c r="K350" s="276"/>
      <c r="L350" s="181">
        <f t="shared" si="110"/>
        <v>0</v>
      </c>
      <c r="M350" s="219">
        <f>36500</f>
        <v>36500</v>
      </c>
      <c r="N350" s="292"/>
      <c r="O350" s="235">
        <f t="shared" si="111"/>
        <v>36500</v>
      </c>
      <c r="P350" s="112"/>
      <c r="Q350" s="46"/>
    </row>
    <row r="351" spans="1:17" ht="12.75">
      <c r="A351" s="15" t="s">
        <v>331</v>
      </c>
      <c r="B351" s="116">
        <v>95823</v>
      </c>
      <c r="C351" s="106"/>
      <c r="D351" s="86"/>
      <c r="E351" s="173"/>
      <c r="F351" s="198">
        <f t="shared" si="108"/>
        <v>0</v>
      </c>
      <c r="G351" s="211"/>
      <c r="H351" s="235"/>
      <c r="I351" s="181">
        <f t="shared" si="109"/>
        <v>0</v>
      </c>
      <c r="J351" s="181"/>
      <c r="K351" s="276"/>
      <c r="L351" s="181">
        <f t="shared" si="110"/>
        <v>0</v>
      </c>
      <c r="M351" s="219">
        <f>10535.8</f>
        <v>10535.8</v>
      </c>
      <c r="N351" s="292"/>
      <c r="O351" s="235">
        <f t="shared" si="111"/>
        <v>10535.8</v>
      </c>
      <c r="P351" s="112"/>
      <c r="Q351" s="46"/>
    </row>
    <row r="352" spans="1:17" ht="12.75">
      <c r="A352" s="15" t="s">
        <v>351</v>
      </c>
      <c r="B352" s="260" t="s">
        <v>352</v>
      </c>
      <c r="C352" s="106"/>
      <c r="D352" s="86"/>
      <c r="E352" s="173"/>
      <c r="F352" s="198"/>
      <c r="G352" s="211"/>
      <c r="H352" s="235"/>
      <c r="I352" s="181"/>
      <c r="J352" s="181">
        <v>2474.55</v>
      </c>
      <c r="K352" s="276"/>
      <c r="L352" s="181">
        <f t="shared" si="110"/>
        <v>2474.55</v>
      </c>
      <c r="M352" s="219"/>
      <c r="N352" s="292"/>
      <c r="O352" s="235">
        <f t="shared" si="111"/>
        <v>2474.55</v>
      </c>
      <c r="P352" s="112"/>
      <c r="Q352" s="46"/>
    </row>
    <row r="353" spans="1:17" ht="12.75">
      <c r="A353" s="15" t="s">
        <v>225</v>
      </c>
      <c r="B353" s="59"/>
      <c r="C353" s="106">
        <v>1200</v>
      </c>
      <c r="D353" s="86"/>
      <c r="E353" s="173"/>
      <c r="F353" s="198">
        <f t="shared" si="108"/>
        <v>1200</v>
      </c>
      <c r="G353" s="211"/>
      <c r="H353" s="235"/>
      <c r="I353" s="181">
        <f t="shared" si="109"/>
        <v>1200</v>
      </c>
      <c r="J353" s="181"/>
      <c r="K353" s="276"/>
      <c r="L353" s="181">
        <f t="shared" si="110"/>
        <v>1200</v>
      </c>
      <c r="M353" s="219"/>
      <c r="N353" s="292"/>
      <c r="O353" s="235">
        <f t="shared" si="111"/>
        <v>1200</v>
      </c>
      <c r="P353" s="112"/>
      <c r="Q353" s="46"/>
    </row>
    <row r="354" spans="1:17" ht="12.75">
      <c r="A354" s="15" t="s">
        <v>184</v>
      </c>
      <c r="B354" s="59"/>
      <c r="C354" s="106">
        <f>SUM(C355:C366)</f>
        <v>273009.9</v>
      </c>
      <c r="D354" s="75">
        <f aca="true" t="shared" si="112" ref="D354:Q354">SUM(D355:D366)</f>
        <v>923774.1700000002</v>
      </c>
      <c r="E354" s="168">
        <f t="shared" si="112"/>
        <v>-2655.07</v>
      </c>
      <c r="F354" s="198">
        <f t="shared" si="112"/>
        <v>1194129</v>
      </c>
      <c r="G354" s="211">
        <f t="shared" si="112"/>
        <v>172411.82999999996</v>
      </c>
      <c r="H354" s="235">
        <f t="shared" si="112"/>
        <v>-877.53</v>
      </c>
      <c r="I354" s="181">
        <f t="shared" si="112"/>
        <v>1365663.3</v>
      </c>
      <c r="J354" s="181">
        <f t="shared" si="112"/>
        <v>275762.08</v>
      </c>
      <c r="K354" s="276">
        <f t="shared" si="112"/>
        <v>-94.3799999999992</v>
      </c>
      <c r="L354" s="181">
        <f t="shared" si="112"/>
        <v>1641331</v>
      </c>
      <c r="M354" s="211">
        <f t="shared" si="112"/>
        <v>301836.8200000001</v>
      </c>
      <c r="N354" s="292">
        <f t="shared" si="112"/>
        <v>0</v>
      </c>
      <c r="O354" s="235">
        <f t="shared" si="112"/>
        <v>1943167.8199999998</v>
      </c>
      <c r="P354" s="107">
        <f t="shared" si="112"/>
        <v>0</v>
      </c>
      <c r="Q354" s="106">
        <f t="shared" si="112"/>
        <v>0</v>
      </c>
    </row>
    <row r="355" spans="1:17" ht="12.75">
      <c r="A355" s="15" t="s">
        <v>185</v>
      </c>
      <c r="B355" s="59"/>
      <c r="C355" s="106">
        <f>28200</f>
        <v>28200</v>
      </c>
      <c r="D355" s="86">
        <f>6000+124756.58+12000</f>
        <v>142756.58000000002</v>
      </c>
      <c r="E355" s="168"/>
      <c r="F355" s="198">
        <f t="shared" si="108"/>
        <v>170956.58000000002</v>
      </c>
      <c r="G355" s="211">
        <f>8486.19+17525+499.19+297.65</f>
        <v>26808.030000000002</v>
      </c>
      <c r="H355" s="235"/>
      <c r="I355" s="181">
        <f t="shared" si="109"/>
        <v>197764.61000000002</v>
      </c>
      <c r="J355" s="189">
        <f>643.32+10936.47+5060.02+4507.32+1502.83+8931.07+7830.97+246.78-1500</f>
        <v>38158.78</v>
      </c>
      <c r="K355" s="276"/>
      <c r="L355" s="181">
        <f t="shared" si="110"/>
        <v>235923.39</v>
      </c>
      <c r="M355" s="219">
        <f>4195.18+7269.4+10368.23+4950.82+74.45+1265.65+5181.6+1242.9+6000-1500-500</f>
        <v>38548.23</v>
      </c>
      <c r="N355" s="292"/>
      <c r="O355" s="235">
        <f t="shared" si="111"/>
        <v>274471.62</v>
      </c>
      <c r="P355" s="112"/>
      <c r="Q355" s="46"/>
    </row>
    <row r="356" spans="1:17" ht="12.75" hidden="1">
      <c r="A356" s="15" t="s">
        <v>208</v>
      </c>
      <c r="B356" s="59"/>
      <c r="C356" s="106"/>
      <c r="D356" s="86"/>
      <c r="E356" s="168"/>
      <c r="F356" s="198">
        <f t="shared" si="108"/>
        <v>0</v>
      </c>
      <c r="G356" s="211"/>
      <c r="H356" s="235"/>
      <c r="I356" s="181">
        <f t="shared" si="109"/>
        <v>0</v>
      </c>
      <c r="J356" s="181"/>
      <c r="K356" s="276"/>
      <c r="L356" s="181">
        <f t="shared" si="110"/>
        <v>0</v>
      </c>
      <c r="M356" s="219"/>
      <c r="N356" s="292"/>
      <c r="O356" s="235">
        <f t="shared" si="111"/>
        <v>0</v>
      </c>
      <c r="P356" s="112"/>
      <c r="Q356" s="46"/>
    </row>
    <row r="357" spans="1:17" ht="12.75">
      <c r="A357" s="15" t="s">
        <v>193</v>
      </c>
      <c r="B357" s="59"/>
      <c r="C357" s="106"/>
      <c r="D357" s="86">
        <f>6918.68-4000</f>
        <v>2918.6800000000003</v>
      </c>
      <c r="E357" s="168"/>
      <c r="F357" s="198">
        <f t="shared" si="108"/>
        <v>2918.6800000000003</v>
      </c>
      <c r="G357" s="211">
        <f>-1200</f>
        <v>-1200</v>
      </c>
      <c r="H357" s="235"/>
      <c r="I357" s="181">
        <f t="shared" si="109"/>
        <v>1718.6800000000003</v>
      </c>
      <c r="J357" s="181"/>
      <c r="K357" s="276"/>
      <c r="L357" s="181">
        <f t="shared" si="110"/>
        <v>1718.6800000000003</v>
      </c>
      <c r="M357" s="219"/>
      <c r="N357" s="292"/>
      <c r="O357" s="235">
        <f t="shared" si="111"/>
        <v>1718.6800000000003</v>
      </c>
      <c r="P357" s="112"/>
      <c r="Q357" s="46"/>
    </row>
    <row r="358" spans="1:17" ht="12.75" hidden="1">
      <c r="A358" s="15" t="s">
        <v>220</v>
      </c>
      <c r="B358" s="59"/>
      <c r="C358" s="106"/>
      <c r="D358" s="86"/>
      <c r="E358" s="168"/>
      <c r="F358" s="198">
        <f t="shared" si="108"/>
        <v>0</v>
      </c>
      <c r="G358" s="211"/>
      <c r="H358" s="235"/>
      <c r="I358" s="181">
        <f t="shared" si="109"/>
        <v>0</v>
      </c>
      <c r="J358" s="181"/>
      <c r="K358" s="276"/>
      <c r="L358" s="181">
        <f t="shared" si="110"/>
        <v>0</v>
      </c>
      <c r="M358" s="219"/>
      <c r="N358" s="292"/>
      <c r="O358" s="235">
        <f t="shared" si="111"/>
        <v>0</v>
      </c>
      <c r="P358" s="112"/>
      <c r="Q358" s="46"/>
    </row>
    <row r="359" spans="1:17" ht="12.75">
      <c r="A359" s="15" t="s">
        <v>186</v>
      </c>
      <c r="B359" s="59"/>
      <c r="C359" s="106">
        <v>105826</v>
      </c>
      <c r="D359" s="86">
        <f>293.65+4388.99+169925.07+3000+1001+999+4295+5000</f>
        <v>188902.71000000002</v>
      </c>
      <c r="E359" s="168"/>
      <c r="F359" s="198">
        <f t="shared" si="108"/>
        <v>294728.71</v>
      </c>
      <c r="G359" s="211">
        <f>392.34+236.73+2144.93+4940.43+62.15+2603</f>
        <v>10379.58</v>
      </c>
      <c r="H359" s="235"/>
      <c r="I359" s="181">
        <f t="shared" si="109"/>
        <v>305108.29000000004</v>
      </c>
      <c r="J359" s="181">
        <f>241.33+439.45+244.81+90450.1-62.15+43.42</f>
        <v>91356.96</v>
      </c>
      <c r="K359" s="276"/>
      <c r="L359" s="181">
        <f t="shared" si="110"/>
        <v>396465.25000000006</v>
      </c>
      <c r="M359" s="219">
        <f>233.33+123644.63+0.8-75.82-308.3-1452.72+2000+51319.65</f>
        <v>175361.57</v>
      </c>
      <c r="N359" s="292"/>
      <c r="O359" s="235">
        <f t="shared" si="111"/>
        <v>571826.8200000001</v>
      </c>
      <c r="P359" s="112"/>
      <c r="Q359" s="46"/>
    </row>
    <row r="360" spans="1:17" ht="12.75">
      <c r="A360" s="15" t="s">
        <v>187</v>
      </c>
      <c r="B360" s="59"/>
      <c r="C360" s="106">
        <v>70970</v>
      </c>
      <c r="D360" s="86">
        <f>2785.56+1964.29+16.4+1012.1+24686.08+2900.87-25341+200+2663.24+4000+400+48.79+2011.13</f>
        <v>17347.460000000003</v>
      </c>
      <c r="E360" s="168">
        <v>-32.67</v>
      </c>
      <c r="F360" s="198">
        <f t="shared" si="108"/>
        <v>88284.79000000001</v>
      </c>
      <c r="G360" s="211">
        <f>1525.85+2760.02+2355.48+3533.22+128.24+5000.32+267+2930+545.17+2605.02-1166.33+4649.7+6414.07+448.87+36.81+17.24+3986.74+8573.55</f>
        <v>44610.97</v>
      </c>
      <c r="H360" s="235"/>
      <c r="I360" s="181">
        <f t="shared" si="109"/>
        <v>132895.76</v>
      </c>
      <c r="J360" s="181">
        <f>295.13+1014.74+2670.06+2392.1+1646.06+1196.7+10.89+4025.54+2720.07+829.53+8.28+18.51+5390.64+290.34+507.75+9.26+8082.87+17706.57+12615.21+4586.83+534.35+43.56+263.74+108.39+332.15+2515.49+17.24+805.75+3872.36+1569.83+387.33+18.51+3135.35+141.16+712.35+2357.86+209.07+21.78+19.6+318.91+23.96-108.39-13.96+1340.47+2015.61+821.49+2121.94+570.27+14.16+1009.68+3667.37+930.7+36.88+3962.49+3626.99+855.31+4410.18+682.86+805.69+321.67+2420+1070.66+12.35+21.78+311.98+548.54+830.48</f>
        <v>115713.02000000003</v>
      </c>
      <c r="K360" s="276">
        <f>8119.81</f>
        <v>8119.81</v>
      </c>
      <c r="L360" s="181">
        <f t="shared" si="110"/>
        <v>256728.59000000003</v>
      </c>
      <c r="M360" s="219">
        <f>2076.94+11.98+576.35+32.9+6005.29+175.43+1227.68+5253.7+2253.29+4847.55+1290.1+1273.14+18.15+8742.14+1779.45+7070.18+18.51+3154.53+27.23+1032.83+1752.4+35.26+30.25+66.23+2871.07+1689.32+3523.1+32.9+1891.68+10418.74+710.11+1375.38+1271.62+21.78+2345.06+19.6+1135.86+27.22+32.51+5.45+18.51+219.96+808.67+101.18+1375.41+2343.22+3776.98+379.82+4555.17+293.28+1350.16+18.15+1914.34-101.18+1899.61+4091.81+5189.23+735.86+5.23+431.42+1686.4+18.51+1753+6288.39+1000-769.48-290.4</f>
        <v>115216.15999999999</v>
      </c>
      <c r="N360" s="292"/>
      <c r="O360" s="235">
        <f t="shared" si="111"/>
        <v>371944.75</v>
      </c>
      <c r="P360" s="112"/>
      <c r="Q360" s="46"/>
    </row>
    <row r="361" spans="1:17" ht="12.75">
      <c r="A361" s="15" t="s">
        <v>194</v>
      </c>
      <c r="B361" s="59"/>
      <c r="C361" s="106">
        <v>5112</v>
      </c>
      <c r="D361" s="86">
        <f>28155.98+861.34+4000</f>
        <v>33017.32</v>
      </c>
      <c r="E361" s="168"/>
      <c r="F361" s="198">
        <f t="shared" si="108"/>
        <v>38129.32</v>
      </c>
      <c r="G361" s="211"/>
      <c r="H361" s="235"/>
      <c r="I361" s="181">
        <f t="shared" si="109"/>
        <v>38129.32</v>
      </c>
      <c r="J361" s="181">
        <f>60-18100</f>
        <v>-18040</v>
      </c>
      <c r="K361" s="276"/>
      <c r="L361" s="181">
        <f t="shared" si="110"/>
        <v>20089.32</v>
      </c>
      <c r="M361" s="219">
        <f>1380.53+7459.54</f>
        <v>8840.07</v>
      </c>
      <c r="N361" s="292"/>
      <c r="O361" s="235">
        <f t="shared" si="111"/>
        <v>28929.39</v>
      </c>
      <c r="P361" s="112"/>
      <c r="Q361" s="46"/>
    </row>
    <row r="362" spans="1:17" ht="12.75">
      <c r="A362" s="15" t="s">
        <v>206</v>
      </c>
      <c r="B362" s="59"/>
      <c r="C362" s="106">
        <v>51388</v>
      </c>
      <c r="D362" s="86">
        <f>27.78+24476.16-3000-4295-5014-11260</f>
        <v>934.9399999999987</v>
      </c>
      <c r="E362" s="168"/>
      <c r="F362" s="198">
        <f t="shared" si="108"/>
        <v>52322.94</v>
      </c>
      <c r="G362" s="211">
        <f>350-4630+752.84</f>
        <v>-3527.16</v>
      </c>
      <c r="H362" s="235">
        <v>266.02</v>
      </c>
      <c r="I362" s="181">
        <f t="shared" si="109"/>
        <v>49061.799999999996</v>
      </c>
      <c r="J362" s="181">
        <f>14.16+1059.91+16.34+852.66+4.28-5.05</f>
        <v>1942.3000000000002</v>
      </c>
      <c r="K362" s="276">
        <f>993.06</f>
        <v>993.06</v>
      </c>
      <c r="L362" s="181">
        <f t="shared" si="110"/>
        <v>51997.159999999996</v>
      </c>
      <c r="M362" s="219">
        <f>10.89+348.71+2071.47+16.34+191.3-18096+659.87</f>
        <v>-14797.42</v>
      </c>
      <c r="N362" s="292"/>
      <c r="O362" s="235">
        <f t="shared" si="111"/>
        <v>37199.74</v>
      </c>
      <c r="P362" s="112"/>
      <c r="Q362" s="46"/>
    </row>
    <row r="363" spans="1:17" ht="12.75">
      <c r="A363" s="15" t="s">
        <v>188</v>
      </c>
      <c r="B363" s="59"/>
      <c r="C363" s="106">
        <v>4480</v>
      </c>
      <c r="D363" s="75">
        <f>30457.95+214.56+3157.39+6000</f>
        <v>39829.9</v>
      </c>
      <c r="E363" s="168"/>
      <c r="F363" s="198">
        <f t="shared" si="108"/>
        <v>44309.9</v>
      </c>
      <c r="G363" s="211">
        <f>220</f>
        <v>220</v>
      </c>
      <c r="H363" s="235"/>
      <c r="I363" s="181">
        <f t="shared" si="109"/>
        <v>44529.9</v>
      </c>
      <c r="J363" s="189"/>
      <c r="K363" s="276"/>
      <c r="L363" s="181">
        <f t="shared" si="110"/>
        <v>44529.9</v>
      </c>
      <c r="M363" s="219"/>
      <c r="N363" s="292"/>
      <c r="O363" s="235">
        <f t="shared" si="111"/>
        <v>44529.9</v>
      </c>
      <c r="P363" s="112"/>
      <c r="Q363" s="46"/>
    </row>
    <row r="364" spans="1:17" ht="12.75">
      <c r="A364" s="15" t="s">
        <v>268</v>
      </c>
      <c r="B364" s="59">
        <v>2088</v>
      </c>
      <c r="C364" s="106"/>
      <c r="D364" s="75">
        <f>70948.69</f>
        <v>70948.69</v>
      </c>
      <c r="E364" s="168"/>
      <c r="F364" s="198">
        <f t="shared" si="108"/>
        <v>70948.69</v>
      </c>
      <c r="G364" s="211">
        <f>12284.06+17096.88+3934.39+1706.91+20683.32+18227.47+23024.59</f>
        <v>96957.62</v>
      </c>
      <c r="H364" s="235"/>
      <c r="I364" s="181">
        <f t="shared" si="109"/>
        <v>167906.31</v>
      </c>
      <c r="J364" s="181">
        <f>1871.38-90450.1+153.55+15062.51+25721.3+30709.14</f>
        <v>-16932.22</v>
      </c>
      <c r="K364" s="276"/>
      <c r="L364" s="181">
        <f t="shared" si="110"/>
        <v>150974.09</v>
      </c>
      <c r="M364" s="219">
        <f>45231.07-123644.63+10313.8+11057.56+48817.19+30104.94+16210.21+16138.17+14270.99+16009.21+15837.05-51319.65</f>
        <v>49025.91000000001</v>
      </c>
      <c r="N364" s="292"/>
      <c r="O364" s="235">
        <f t="shared" si="111"/>
        <v>200000</v>
      </c>
      <c r="P364" s="112"/>
      <c r="Q364" s="46"/>
    </row>
    <row r="365" spans="1:17" ht="12.75">
      <c r="A365" s="15" t="s">
        <v>269</v>
      </c>
      <c r="B365" s="59">
        <v>2077</v>
      </c>
      <c r="C365" s="106">
        <v>7033.9</v>
      </c>
      <c r="D365" s="75">
        <f>-1671.34-27.78-9.84+115737.11-999+5014+11260+25341-2663.24-120-1330-620-650+96.67</f>
        <v>149357.58000000002</v>
      </c>
      <c r="E365" s="168"/>
      <c r="F365" s="198">
        <f t="shared" si="108"/>
        <v>156391.48</v>
      </c>
      <c r="G365" s="211">
        <f>-3533.22-720.65-327.1-1563.01+450+1166.33-745.72-3074.02-1290.71-269.32-22.09</f>
        <v>-9929.510000000002</v>
      </c>
      <c r="H365" s="235">
        <f>-266.02</f>
        <v>-266.02</v>
      </c>
      <c r="I365" s="181">
        <f t="shared" si="109"/>
        <v>146195.95</v>
      </c>
      <c r="J365" s="181">
        <f>-177.08-608.84-1602.04-987.64-2415.32-1374.56-429.14-515.12-1163.78-575.85-483.45-2320.99-4.05-629.33-520.95-1881.21-427.41-1273.16-558.42-22.13-2377.49-609.94-193-12000-4.28-12.35</f>
        <v>-33167.52999999999</v>
      </c>
      <c r="K365" s="276"/>
      <c r="L365" s="181">
        <f t="shared" si="110"/>
        <v>113028.42000000001</v>
      </c>
      <c r="M365" s="219">
        <f>-19.74-175.43-756.74-3152.22-811.56-10.89-6252.23-35.26-30.25-66.23-1311.65-3513.42-19.74-80.87-1366.58-69.58-2266.19-227.89-4542.25-293.28-10.89-1148.6-361.44+308.3+18096+1500+500+769.48</f>
        <v>-5349.149999999998</v>
      </c>
      <c r="N365" s="292"/>
      <c r="O365" s="235">
        <f t="shared" si="111"/>
        <v>107679.27000000002</v>
      </c>
      <c r="P365" s="112"/>
      <c r="Q365" s="46"/>
    </row>
    <row r="366" spans="1:19" ht="12.75">
      <c r="A366" s="22" t="s">
        <v>270</v>
      </c>
      <c r="B366" s="62">
        <v>2099</v>
      </c>
      <c r="C366" s="132"/>
      <c r="D366" s="83">
        <f>-1114.22-293.65-1964.29-6.56+198823.65+0.98+342.09-13.59-1012.1-2900.87-1600-4840+350+94000-2011.13</f>
        <v>277760.31</v>
      </c>
      <c r="E366" s="192">
        <v>-2622.4</v>
      </c>
      <c r="F366" s="203">
        <f t="shared" si="108"/>
        <v>275137.91</v>
      </c>
      <c r="G366" s="217">
        <f>36.59+39.76-1525.85-2760.02-2355.48-128.24-5000.32+18.3+5884.47+2843.17-764.85+40000-218.07-1042.01-6711.47-4649.7-2049.34-179.55-14.72-17.24-3986.74-752.84-8573.55</f>
        <v>8092.299999999996</v>
      </c>
      <c r="H366" s="233">
        <f>-877.53</f>
        <v>-877.53</v>
      </c>
      <c r="I366" s="187">
        <f t="shared" si="109"/>
        <v>282352.67999999993</v>
      </c>
      <c r="J366" s="187">
        <f>15342.12-118.05-241.33-1600-405.9-1068.02-2392.1-658.42-1196.7-10.89-1379.16-1300-1610.22-916.37-314.41-8.28-18.51-5390.64-290.34-507.75-14.16-9.26-8082.87+6790.13+16754.59+23371.55-1059.91-17706.57-12615.21-4586.83-534.35-43.56-263.74-108.39-332.15-775.86-17.24-244.81-322.3-1547.32-419.55-387.33-18.51-1254.14-141.16-16.34-284.94-2357.86-209.07-22.64-19.6-318.91-23.96-4507.32-1502.83+2281.43+776.6+13.96+19964.25-852.66-1340.47-2015.61-821.49-848.78-570.27-14.16-1009.68-8931.07-3692.33-2900-372.28-14.75-1585-3626.99-855.31-4410.18-682.86-195.75-128.67-43.42-7830.97+6016.28+130100-1070.66-311.98-548.54-830.48</f>
        <v>96730.77</v>
      </c>
      <c r="K366" s="282">
        <f>-9207.25</f>
        <v>-9207.25</v>
      </c>
      <c r="L366" s="187">
        <f t="shared" si="110"/>
        <v>369876.19999999995</v>
      </c>
      <c r="M366" s="299">
        <f>26.82+1379.16+1655.61-2460.98-11.98-576.35-1380.53-233.33-6005.29-10.89-13.16-470.94-2101.48-3219.44-4847.55-1290.1-461.58-7.26-2489.91-348.71-0.8-1779.45-8885.32-18.51-3154.53-27.23-1032.83-1752.4-7269.4-10368.23-4950.82+27.99-2871.07-377.67-9.68-13.16-2876.04-10418.74-773.24-1375.38-1271.62-21.78-3066.24-2071.47-387.2+752.84+16.11+29.84+15.25+5.32-7459.54-5181.6-1242.9-19.6-1701.65-27.22-32.51-5.45-18.51-219.96-727.8-101.18-1375.41-16.34-907.06-1510.79-151.93-12.92+1029.36+1216.06+6955.27+2365.41+23065.93+12.87+10.85+5.45+4.61+11.52+17.67-1352.66-7.26-765.74-1899.61-4091.81-5189.23-735.86-5.23-69.98-1686.4-43.56-96.9-1979.99-6377.82+75.82-659.87+17886.72+13867.65+933.9</f>
        <v>-65008.54999999995</v>
      </c>
      <c r="N366" s="298"/>
      <c r="O366" s="233">
        <f t="shared" si="111"/>
        <v>304867.65</v>
      </c>
      <c r="P366" s="112"/>
      <c r="Q366" s="46"/>
      <c r="S366" s="109"/>
    </row>
    <row r="367" spans="1:17" ht="12.75">
      <c r="A367" s="8" t="s">
        <v>104</v>
      </c>
      <c r="B367" s="63"/>
      <c r="C367" s="113">
        <f>C368+C392</f>
        <v>228860</v>
      </c>
      <c r="D367" s="74">
        <f aca="true" t="shared" si="113" ref="D367:Q367">D368+D392</f>
        <v>934685.3900000001</v>
      </c>
      <c r="E367" s="167">
        <f t="shared" si="113"/>
        <v>0</v>
      </c>
      <c r="F367" s="179">
        <f t="shared" si="113"/>
        <v>1163545.39</v>
      </c>
      <c r="G367" s="210">
        <f t="shared" si="113"/>
        <v>1875.59</v>
      </c>
      <c r="H367" s="234">
        <f t="shared" si="113"/>
        <v>0</v>
      </c>
      <c r="I367" s="182">
        <f t="shared" si="113"/>
        <v>1165420.98</v>
      </c>
      <c r="J367" s="182">
        <f>J368+J392</f>
        <v>50445.03</v>
      </c>
      <c r="K367" s="275">
        <f t="shared" si="113"/>
        <v>0</v>
      </c>
      <c r="L367" s="182">
        <f t="shared" si="113"/>
        <v>1215866.01</v>
      </c>
      <c r="M367" s="210">
        <f t="shared" si="113"/>
        <v>5404.820000000001</v>
      </c>
      <c r="N367" s="291">
        <f t="shared" si="113"/>
        <v>0</v>
      </c>
      <c r="O367" s="234">
        <f t="shared" si="113"/>
        <v>1221270.83</v>
      </c>
      <c r="P367" s="98">
        <f t="shared" si="113"/>
        <v>0</v>
      </c>
      <c r="Q367" s="73">
        <f t="shared" si="113"/>
        <v>214082.34</v>
      </c>
    </row>
    <row r="368" spans="1:17" ht="12.75">
      <c r="A368" s="17" t="s">
        <v>54</v>
      </c>
      <c r="B368" s="63"/>
      <c r="C368" s="131">
        <f>SUM(C370:C391)</f>
        <v>228860</v>
      </c>
      <c r="D368" s="82">
        <f aca="true" t="shared" si="114" ref="D368:Q368">SUM(D370:D391)</f>
        <v>931185.3900000001</v>
      </c>
      <c r="E368" s="171">
        <f t="shared" si="114"/>
        <v>0</v>
      </c>
      <c r="F368" s="201">
        <f t="shared" si="114"/>
        <v>1160045.39</v>
      </c>
      <c r="G368" s="215">
        <f t="shared" si="114"/>
        <v>1875.59</v>
      </c>
      <c r="H368" s="239">
        <f t="shared" si="114"/>
        <v>0</v>
      </c>
      <c r="I368" s="185">
        <f t="shared" si="114"/>
        <v>1161920.98</v>
      </c>
      <c r="J368" s="185">
        <f t="shared" si="114"/>
        <v>50445.03</v>
      </c>
      <c r="K368" s="280">
        <f t="shared" si="114"/>
        <v>0</v>
      </c>
      <c r="L368" s="185">
        <f t="shared" si="114"/>
        <v>1212366.01</v>
      </c>
      <c r="M368" s="215">
        <f t="shared" si="114"/>
        <v>5323.570000000001</v>
      </c>
      <c r="N368" s="296">
        <f t="shared" si="114"/>
        <v>0</v>
      </c>
      <c r="O368" s="239">
        <f t="shared" si="114"/>
        <v>1217689.58</v>
      </c>
      <c r="P368" s="123">
        <f t="shared" si="114"/>
        <v>0</v>
      </c>
      <c r="Q368" s="81">
        <f t="shared" si="114"/>
        <v>210501.09</v>
      </c>
    </row>
    <row r="369" spans="1:17" ht="12.75">
      <c r="A369" s="13" t="s">
        <v>27</v>
      </c>
      <c r="B369" s="59"/>
      <c r="C369" s="106"/>
      <c r="D369" s="75"/>
      <c r="E369" s="168"/>
      <c r="F369" s="198"/>
      <c r="G369" s="211"/>
      <c r="H369" s="235"/>
      <c r="I369" s="181"/>
      <c r="J369" s="181"/>
      <c r="K369" s="276"/>
      <c r="L369" s="181"/>
      <c r="M369" s="211"/>
      <c r="N369" s="292"/>
      <c r="O369" s="235"/>
      <c r="P369" s="112"/>
      <c r="Q369" s="46"/>
    </row>
    <row r="370" spans="1:17" ht="12.75">
      <c r="A370" s="24" t="s">
        <v>105</v>
      </c>
      <c r="B370" s="65"/>
      <c r="C370" s="106">
        <v>176000</v>
      </c>
      <c r="D370" s="75"/>
      <c r="E370" s="168"/>
      <c r="F370" s="198">
        <f aca="true" t="shared" si="115" ref="F370:F391">C370+D370+E370</f>
        <v>176000</v>
      </c>
      <c r="G370" s="211"/>
      <c r="H370" s="235"/>
      <c r="I370" s="181">
        <f>F370+G370+H370</f>
        <v>176000</v>
      </c>
      <c r="J370" s="181"/>
      <c r="K370" s="276"/>
      <c r="L370" s="181">
        <f>I370+J370+K370</f>
        <v>176000</v>
      </c>
      <c r="M370" s="211"/>
      <c r="N370" s="292"/>
      <c r="O370" s="235">
        <f>L370+M370+N370</f>
        <v>176000</v>
      </c>
      <c r="P370" s="112"/>
      <c r="Q370" s="46">
        <f>O370+P370</f>
        <v>176000</v>
      </c>
    </row>
    <row r="371" spans="1:17" ht="12.75" hidden="1">
      <c r="A371" s="60" t="s">
        <v>230</v>
      </c>
      <c r="B371" s="65"/>
      <c r="C371" s="106"/>
      <c r="D371" s="75"/>
      <c r="E371" s="168"/>
      <c r="F371" s="198">
        <f t="shared" si="115"/>
        <v>0</v>
      </c>
      <c r="G371" s="211"/>
      <c r="H371" s="235"/>
      <c r="I371" s="181">
        <f aca="true" t="shared" si="116" ref="I371:I388">F371+G371+H371</f>
        <v>0</v>
      </c>
      <c r="J371" s="181"/>
      <c r="K371" s="276"/>
      <c r="L371" s="181">
        <f aca="true" t="shared" si="117" ref="L371:L391">I371+J371+K371</f>
        <v>0</v>
      </c>
      <c r="M371" s="211"/>
      <c r="N371" s="292"/>
      <c r="O371" s="235">
        <f aca="true" t="shared" si="118" ref="O371:O389">L371+M371+N371</f>
        <v>0</v>
      </c>
      <c r="P371" s="112"/>
      <c r="Q371" s="46"/>
    </row>
    <row r="372" spans="1:17" ht="12.75" hidden="1">
      <c r="A372" s="11" t="s">
        <v>158</v>
      </c>
      <c r="B372" s="59"/>
      <c r="C372" s="106"/>
      <c r="D372" s="75"/>
      <c r="E372" s="168"/>
      <c r="F372" s="198">
        <f t="shared" si="115"/>
        <v>0</v>
      </c>
      <c r="G372" s="211"/>
      <c r="H372" s="235"/>
      <c r="I372" s="181">
        <f t="shared" si="116"/>
        <v>0</v>
      </c>
      <c r="J372" s="181"/>
      <c r="K372" s="276"/>
      <c r="L372" s="181">
        <f t="shared" si="117"/>
        <v>0</v>
      </c>
      <c r="M372" s="211"/>
      <c r="N372" s="292"/>
      <c r="O372" s="235">
        <f t="shared" si="118"/>
        <v>0</v>
      </c>
      <c r="P372" s="112"/>
      <c r="Q372" s="46">
        <f>O372+P372</f>
        <v>0</v>
      </c>
    </row>
    <row r="373" spans="1:17" ht="12.75">
      <c r="A373" s="11" t="s">
        <v>175</v>
      </c>
      <c r="B373" s="59"/>
      <c r="C373" s="106">
        <v>42500</v>
      </c>
      <c r="D373" s="75"/>
      <c r="E373" s="168"/>
      <c r="F373" s="198">
        <f t="shared" si="115"/>
        <v>42500</v>
      </c>
      <c r="G373" s="211"/>
      <c r="H373" s="235"/>
      <c r="I373" s="181">
        <f t="shared" si="116"/>
        <v>42500</v>
      </c>
      <c r="J373" s="181">
        <f>-200</f>
        <v>-200</v>
      </c>
      <c r="K373" s="276"/>
      <c r="L373" s="181">
        <f t="shared" si="117"/>
        <v>42300</v>
      </c>
      <c r="M373" s="211"/>
      <c r="N373" s="292"/>
      <c r="O373" s="235">
        <f t="shared" si="118"/>
        <v>42300</v>
      </c>
      <c r="P373" s="112"/>
      <c r="Q373" s="46"/>
    </row>
    <row r="374" spans="1:17" ht="12.75">
      <c r="A374" s="11" t="s">
        <v>56</v>
      </c>
      <c r="B374" s="59"/>
      <c r="C374" s="106">
        <v>10360</v>
      </c>
      <c r="D374" s="75">
        <f>30+508.41</f>
        <v>538.4100000000001</v>
      </c>
      <c r="E374" s="168"/>
      <c r="F374" s="198">
        <f t="shared" si="115"/>
        <v>10898.41</v>
      </c>
      <c r="G374" s="211"/>
      <c r="H374" s="235"/>
      <c r="I374" s="181">
        <f t="shared" si="116"/>
        <v>10898.41</v>
      </c>
      <c r="J374" s="181">
        <f>200+200+60</f>
        <v>460</v>
      </c>
      <c r="K374" s="276"/>
      <c r="L374" s="181">
        <f t="shared" si="117"/>
        <v>11358.41</v>
      </c>
      <c r="M374" s="211">
        <f>-81.25</f>
        <v>-81.25</v>
      </c>
      <c r="N374" s="292"/>
      <c r="O374" s="235">
        <f t="shared" si="118"/>
        <v>11277.16</v>
      </c>
      <c r="P374" s="112"/>
      <c r="Q374" s="46">
        <f>O374+P374</f>
        <v>11277.16</v>
      </c>
    </row>
    <row r="375" spans="1:17" ht="12.75" hidden="1">
      <c r="A375" s="11" t="s">
        <v>70</v>
      </c>
      <c r="B375" s="59"/>
      <c r="C375" s="106"/>
      <c r="D375" s="75"/>
      <c r="E375" s="168"/>
      <c r="F375" s="198">
        <f t="shared" si="115"/>
        <v>0</v>
      </c>
      <c r="G375" s="211"/>
      <c r="H375" s="235"/>
      <c r="I375" s="181">
        <f t="shared" si="116"/>
        <v>0</v>
      </c>
      <c r="J375" s="181"/>
      <c r="K375" s="276"/>
      <c r="L375" s="181">
        <f t="shared" si="117"/>
        <v>0</v>
      </c>
      <c r="M375" s="211"/>
      <c r="N375" s="292"/>
      <c r="O375" s="235">
        <f t="shared" si="118"/>
        <v>0</v>
      </c>
      <c r="P375" s="112"/>
      <c r="Q375" s="46">
        <f>O375+P375</f>
        <v>0</v>
      </c>
    </row>
    <row r="376" spans="1:17" ht="12.75">
      <c r="A376" s="11" t="s">
        <v>316</v>
      </c>
      <c r="B376" s="59">
        <v>13013</v>
      </c>
      <c r="C376" s="106"/>
      <c r="D376" s="75">
        <f>566.83</f>
        <v>566.83</v>
      </c>
      <c r="E376" s="168"/>
      <c r="F376" s="198">
        <f t="shared" si="115"/>
        <v>566.83</v>
      </c>
      <c r="G376" s="211">
        <f>570+631.78+585.81</f>
        <v>1787.59</v>
      </c>
      <c r="H376" s="235"/>
      <c r="I376" s="181">
        <f t="shared" si="116"/>
        <v>2354.42</v>
      </c>
      <c r="J376" s="181"/>
      <c r="K376" s="276"/>
      <c r="L376" s="181">
        <f t="shared" si="117"/>
        <v>2354.42</v>
      </c>
      <c r="M376" s="211">
        <f>-42.81+710.82+649.64</f>
        <v>1317.65</v>
      </c>
      <c r="N376" s="292"/>
      <c r="O376" s="235">
        <f t="shared" si="118"/>
        <v>3672.07</v>
      </c>
      <c r="P376" s="112"/>
      <c r="Q376" s="46"/>
    </row>
    <row r="377" spans="1:17" ht="12.75">
      <c r="A377" s="60" t="s">
        <v>301</v>
      </c>
      <c r="B377" s="59">
        <v>2043</v>
      </c>
      <c r="C377" s="106"/>
      <c r="D377" s="75">
        <f>1452.22</f>
        <v>1452.22</v>
      </c>
      <c r="E377" s="168"/>
      <c r="F377" s="198">
        <f t="shared" si="115"/>
        <v>1452.22</v>
      </c>
      <c r="G377" s="211"/>
      <c r="H377" s="235"/>
      <c r="I377" s="181">
        <f t="shared" si="116"/>
        <v>1452.22</v>
      </c>
      <c r="J377" s="181"/>
      <c r="K377" s="276"/>
      <c r="L377" s="181">
        <f t="shared" si="117"/>
        <v>1452.22</v>
      </c>
      <c r="M377" s="211"/>
      <c r="N377" s="292"/>
      <c r="O377" s="235">
        <f t="shared" si="118"/>
        <v>1452.22</v>
      </c>
      <c r="P377" s="112"/>
      <c r="Q377" s="46"/>
    </row>
    <row r="378" spans="1:17" ht="12.75">
      <c r="A378" s="60" t="s">
        <v>358</v>
      </c>
      <c r="B378" s="59">
        <v>2043</v>
      </c>
      <c r="C378" s="106"/>
      <c r="D378" s="75"/>
      <c r="E378" s="168"/>
      <c r="F378" s="198"/>
      <c r="G378" s="211"/>
      <c r="H378" s="235"/>
      <c r="I378" s="181"/>
      <c r="J378" s="181"/>
      <c r="K378" s="276"/>
      <c r="L378" s="181">
        <f t="shared" si="117"/>
        <v>0</v>
      </c>
      <c r="M378" s="211">
        <f>29.52</f>
        <v>29.52</v>
      </c>
      <c r="N378" s="292"/>
      <c r="O378" s="235">
        <f t="shared" si="118"/>
        <v>29.52</v>
      </c>
      <c r="P378" s="112"/>
      <c r="Q378" s="46"/>
    </row>
    <row r="379" spans="1:17" ht="12.75">
      <c r="A379" s="11" t="s">
        <v>302</v>
      </c>
      <c r="B379" s="59">
        <v>2050</v>
      </c>
      <c r="C379" s="106"/>
      <c r="D379" s="75">
        <f>36714.98+825.31</f>
        <v>37540.29</v>
      </c>
      <c r="E379" s="168"/>
      <c r="F379" s="198">
        <f t="shared" si="115"/>
        <v>37540.29</v>
      </c>
      <c r="G379" s="211"/>
      <c r="H379" s="235"/>
      <c r="I379" s="181">
        <f t="shared" si="116"/>
        <v>37540.29</v>
      </c>
      <c r="J379" s="181"/>
      <c r="K379" s="276"/>
      <c r="L379" s="181">
        <f t="shared" si="117"/>
        <v>37540.29</v>
      </c>
      <c r="M379" s="211"/>
      <c r="N379" s="292"/>
      <c r="O379" s="235">
        <f t="shared" si="118"/>
        <v>37540.29</v>
      </c>
      <c r="P379" s="112"/>
      <c r="Q379" s="46"/>
    </row>
    <row r="380" spans="1:17" ht="12.75">
      <c r="A380" s="11" t="s">
        <v>275</v>
      </c>
      <c r="B380" s="59">
        <v>2050</v>
      </c>
      <c r="C380" s="106"/>
      <c r="D380" s="75">
        <f>57358.39</f>
        <v>57358.39</v>
      </c>
      <c r="E380" s="168"/>
      <c r="F380" s="198">
        <f t="shared" si="115"/>
        <v>57358.39</v>
      </c>
      <c r="G380" s="211"/>
      <c r="H380" s="235"/>
      <c r="I380" s="181">
        <f t="shared" si="116"/>
        <v>57358.39</v>
      </c>
      <c r="J380" s="181">
        <f>42155.63</f>
        <v>42155.63</v>
      </c>
      <c r="K380" s="276"/>
      <c r="L380" s="181">
        <f t="shared" si="117"/>
        <v>99514.01999999999</v>
      </c>
      <c r="M380" s="211"/>
      <c r="N380" s="292"/>
      <c r="O380" s="235">
        <f t="shared" si="118"/>
        <v>99514.01999999999</v>
      </c>
      <c r="P380" s="112"/>
      <c r="Q380" s="46"/>
    </row>
    <row r="381" spans="1:17" ht="12.75">
      <c r="A381" s="11" t="s">
        <v>317</v>
      </c>
      <c r="B381" s="59">
        <v>2073</v>
      </c>
      <c r="C381" s="106"/>
      <c r="D381" s="75">
        <f>29847.76</f>
        <v>29847.76</v>
      </c>
      <c r="E381" s="168"/>
      <c r="F381" s="198">
        <f t="shared" si="115"/>
        <v>29847.76</v>
      </c>
      <c r="G381" s="211"/>
      <c r="H381" s="235"/>
      <c r="I381" s="181">
        <f t="shared" si="116"/>
        <v>29847.76</v>
      </c>
      <c r="J381" s="181"/>
      <c r="K381" s="276"/>
      <c r="L381" s="181">
        <f t="shared" si="117"/>
        <v>29847.76</v>
      </c>
      <c r="M381" s="211"/>
      <c r="N381" s="292"/>
      <c r="O381" s="235">
        <f t="shared" si="118"/>
        <v>29847.76</v>
      </c>
      <c r="P381" s="112"/>
      <c r="Q381" s="46"/>
    </row>
    <row r="382" spans="1:17" ht="12.75">
      <c r="A382" s="20" t="s">
        <v>303</v>
      </c>
      <c r="B382" s="59">
        <v>2044</v>
      </c>
      <c r="C382" s="106"/>
      <c r="D382" s="75">
        <f>315.76</f>
        <v>315.76</v>
      </c>
      <c r="E382" s="168"/>
      <c r="F382" s="198">
        <f t="shared" si="115"/>
        <v>315.76</v>
      </c>
      <c r="G382" s="211"/>
      <c r="H382" s="235"/>
      <c r="I382" s="181">
        <f t="shared" si="116"/>
        <v>315.76</v>
      </c>
      <c r="J382" s="181"/>
      <c r="K382" s="276"/>
      <c r="L382" s="181">
        <f t="shared" si="117"/>
        <v>315.76</v>
      </c>
      <c r="M382" s="211"/>
      <c r="N382" s="292"/>
      <c r="O382" s="235">
        <f t="shared" si="118"/>
        <v>315.76</v>
      </c>
      <c r="P382" s="112"/>
      <c r="Q382" s="46"/>
    </row>
    <row r="383" spans="1:17" ht="12.75">
      <c r="A383" s="20" t="s">
        <v>348</v>
      </c>
      <c r="B383" s="59">
        <v>2044</v>
      </c>
      <c r="C383" s="106"/>
      <c r="D383" s="75"/>
      <c r="E383" s="168"/>
      <c r="F383" s="198"/>
      <c r="G383" s="211"/>
      <c r="H383" s="235"/>
      <c r="I383" s="181">
        <f t="shared" si="116"/>
        <v>0</v>
      </c>
      <c r="J383" s="181">
        <f>6373.4</f>
        <v>6373.4</v>
      </c>
      <c r="K383" s="276"/>
      <c r="L383" s="181">
        <f t="shared" si="117"/>
        <v>6373.4</v>
      </c>
      <c r="M383" s="211">
        <f>3354.85</f>
        <v>3354.85</v>
      </c>
      <c r="N383" s="292"/>
      <c r="O383" s="235">
        <f t="shared" si="118"/>
        <v>9728.25</v>
      </c>
      <c r="P383" s="112"/>
      <c r="Q383" s="46"/>
    </row>
    <row r="384" spans="1:17" ht="12.75" hidden="1">
      <c r="A384" s="20" t="s">
        <v>260</v>
      </c>
      <c r="B384" s="59">
        <v>2063</v>
      </c>
      <c r="C384" s="106"/>
      <c r="D384" s="75"/>
      <c r="E384" s="168"/>
      <c r="F384" s="198">
        <f t="shared" si="115"/>
        <v>0</v>
      </c>
      <c r="G384" s="211"/>
      <c r="H384" s="235"/>
      <c r="I384" s="181">
        <f t="shared" si="116"/>
        <v>0</v>
      </c>
      <c r="J384" s="181"/>
      <c r="K384" s="276"/>
      <c r="L384" s="181">
        <f t="shared" si="117"/>
        <v>0</v>
      </c>
      <c r="M384" s="211"/>
      <c r="N384" s="292"/>
      <c r="O384" s="235">
        <f t="shared" si="118"/>
        <v>0</v>
      </c>
      <c r="P384" s="112"/>
      <c r="Q384" s="46">
        <f aca="true" t="shared" si="119" ref="Q384:Q391">O384+P384</f>
        <v>0</v>
      </c>
    </row>
    <row r="385" spans="1:17" ht="12.75" hidden="1">
      <c r="A385" s="20" t="s">
        <v>261</v>
      </c>
      <c r="B385" s="59">
        <v>2048</v>
      </c>
      <c r="C385" s="106"/>
      <c r="D385" s="75"/>
      <c r="E385" s="168"/>
      <c r="F385" s="198">
        <f t="shared" si="115"/>
        <v>0</v>
      </c>
      <c r="G385" s="211"/>
      <c r="H385" s="235"/>
      <c r="I385" s="181">
        <f t="shared" si="116"/>
        <v>0</v>
      </c>
      <c r="J385" s="181"/>
      <c r="K385" s="276"/>
      <c r="L385" s="181">
        <f t="shared" si="117"/>
        <v>0</v>
      </c>
      <c r="M385" s="211"/>
      <c r="N385" s="292"/>
      <c r="O385" s="235">
        <f t="shared" si="118"/>
        <v>0</v>
      </c>
      <c r="P385" s="112"/>
      <c r="Q385" s="46"/>
    </row>
    <row r="386" spans="1:17" ht="12.75">
      <c r="A386" s="20" t="s">
        <v>226</v>
      </c>
      <c r="B386" s="59">
        <v>13305</v>
      </c>
      <c r="C386" s="106"/>
      <c r="D386" s="75">
        <f>782123.8</f>
        <v>782123.8</v>
      </c>
      <c r="E386" s="168"/>
      <c r="F386" s="198">
        <f t="shared" si="115"/>
        <v>782123.8</v>
      </c>
      <c r="G386" s="211"/>
      <c r="H386" s="235"/>
      <c r="I386" s="181">
        <f t="shared" si="116"/>
        <v>782123.8</v>
      </c>
      <c r="J386" s="181"/>
      <c r="K386" s="276"/>
      <c r="L386" s="181">
        <f t="shared" si="117"/>
        <v>782123.8</v>
      </c>
      <c r="M386" s="211"/>
      <c r="N386" s="292"/>
      <c r="O386" s="235">
        <f t="shared" si="118"/>
        <v>782123.8</v>
      </c>
      <c r="P386" s="112"/>
      <c r="Q386" s="46"/>
    </row>
    <row r="387" spans="1:17" ht="12.75">
      <c r="A387" s="60" t="s">
        <v>355</v>
      </c>
      <c r="B387" s="59"/>
      <c r="C387" s="106"/>
      <c r="D387" s="75"/>
      <c r="E387" s="168"/>
      <c r="F387" s="198"/>
      <c r="G387" s="211"/>
      <c r="H387" s="235"/>
      <c r="I387" s="181"/>
      <c r="J387" s="181"/>
      <c r="K387" s="276"/>
      <c r="L387" s="181">
        <f t="shared" si="117"/>
        <v>0</v>
      </c>
      <c r="M387" s="211">
        <f>664.8</f>
        <v>664.8</v>
      </c>
      <c r="N387" s="292"/>
      <c r="O387" s="235">
        <f t="shared" si="118"/>
        <v>664.8</v>
      </c>
      <c r="P387" s="112"/>
      <c r="Q387" s="46"/>
    </row>
    <row r="388" spans="1:17" ht="12.75">
      <c r="A388" s="11" t="s">
        <v>106</v>
      </c>
      <c r="B388" s="59">
        <v>13307</v>
      </c>
      <c r="C388" s="106"/>
      <c r="D388" s="75">
        <f>7000</f>
        <v>7000</v>
      </c>
      <c r="E388" s="168"/>
      <c r="F388" s="198">
        <f t="shared" si="115"/>
        <v>7000</v>
      </c>
      <c r="G388" s="211"/>
      <c r="H388" s="235"/>
      <c r="I388" s="181">
        <f t="shared" si="116"/>
        <v>7000</v>
      </c>
      <c r="J388" s="181"/>
      <c r="K388" s="276"/>
      <c r="L388" s="181">
        <f t="shared" si="117"/>
        <v>7000</v>
      </c>
      <c r="M388" s="211"/>
      <c r="N388" s="292"/>
      <c r="O388" s="235">
        <f t="shared" si="118"/>
        <v>7000</v>
      </c>
      <c r="P388" s="112"/>
      <c r="Q388" s="46">
        <f t="shared" si="119"/>
        <v>7000</v>
      </c>
    </row>
    <row r="389" spans="1:17" ht="12.75">
      <c r="A389" s="11" t="s">
        <v>157</v>
      </c>
      <c r="B389" s="59">
        <v>14032</v>
      </c>
      <c r="C389" s="106"/>
      <c r="D389" s="75"/>
      <c r="E389" s="168"/>
      <c r="F389" s="198">
        <f t="shared" si="115"/>
        <v>0</v>
      </c>
      <c r="G389" s="211"/>
      <c r="H389" s="235"/>
      <c r="I389" s="181">
        <f>F389+G389+H389</f>
        <v>0</v>
      </c>
      <c r="J389" s="181">
        <f>256</f>
        <v>256</v>
      </c>
      <c r="K389" s="276"/>
      <c r="L389" s="181">
        <f t="shared" si="117"/>
        <v>256</v>
      </c>
      <c r="M389" s="211"/>
      <c r="N389" s="292"/>
      <c r="O389" s="235">
        <f t="shared" si="118"/>
        <v>256</v>
      </c>
      <c r="P389" s="112"/>
      <c r="Q389" s="46">
        <f t="shared" si="119"/>
        <v>256</v>
      </c>
    </row>
    <row r="390" spans="1:17" ht="12.75">
      <c r="A390" s="20" t="s">
        <v>163</v>
      </c>
      <c r="B390" s="59">
        <v>4359</v>
      </c>
      <c r="C390" s="106"/>
      <c r="D390" s="75"/>
      <c r="E390" s="168"/>
      <c r="F390" s="198">
        <f t="shared" si="115"/>
        <v>0</v>
      </c>
      <c r="G390" s="211">
        <f>88</f>
        <v>88</v>
      </c>
      <c r="H390" s="235"/>
      <c r="I390" s="181">
        <f>F390+G390+H390</f>
        <v>88</v>
      </c>
      <c r="J390" s="181"/>
      <c r="K390" s="276"/>
      <c r="L390" s="181">
        <f t="shared" si="117"/>
        <v>88</v>
      </c>
      <c r="M390" s="211">
        <f>38</f>
        <v>38</v>
      </c>
      <c r="N390" s="292"/>
      <c r="O390" s="235">
        <f>L390+M390+N390</f>
        <v>126</v>
      </c>
      <c r="P390" s="112"/>
      <c r="Q390" s="46">
        <f t="shared" si="119"/>
        <v>126</v>
      </c>
    </row>
    <row r="391" spans="1:17" ht="12.75">
      <c r="A391" s="11" t="s">
        <v>85</v>
      </c>
      <c r="B391" s="59"/>
      <c r="C391" s="106"/>
      <c r="D391" s="75">
        <f>9250+1200+85.48+294+1969.01+1600+43.44</f>
        <v>14441.93</v>
      </c>
      <c r="E391" s="168"/>
      <c r="F391" s="198">
        <f t="shared" si="115"/>
        <v>14441.93</v>
      </c>
      <c r="G391" s="211"/>
      <c r="H391" s="235"/>
      <c r="I391" s="181">
        <f>F391+G391+H391</f>
        <v>14441.93</v>
      </c>
      <c r="J391" s="181">
        <f>1600-200</f>
        <v>1400</v>
      </c>
      <c r="K391" s="276"/>
      <c r="L391" s="181">
        <f t="shared" si="117"/>
        <v>15841.93</v>
      </c>
      <c r="M391" s="211"/>
      <c r="N391" s="292"/>
      <c r="O391" s="235">
        <f>L391+M391+N391</f>
        <v>15841.93</v>
      </c>
      <c r="P391" s="112"/>
      <c r="Q391" s="46">
        <f t="shared" si="119"/>
        <v>15841.93</v>
      </c>
    </row>
    <row r="392" spans="1:17" ht="12.75">
      <c r="A392" s="17" t="s">
        <v>59</v>
      </c>
      <c r="B392" s="63"/>
      <c r="C392" s="131">
        <f>SUM(C394:C396)</f>
        <v>0</v>
      </c>
      <c r="D392" s="82">
        <f aca="true" t="shared" si="120" ref="D392:Q392">SUM(D394:D396)</f>
        <v>3500</v>
      </c>
      <c r="E392" s="171">
        <f t="shared" si="120"/>
        <v>0</v>
      </c>
      <c r="F392" s="201">
        <f t="shared" si="120"/>
        <v>3500</v>
      </c>
      <c r="G392" s="215">
        <f t="shared" si="120"/>
        <v>0</v>
      </c>
      <c r="H392" s="239">
        <f t="shared" si="120"/>
        <v>0</v>
      </c>
      <c r="I392" s="185">
        <f t="shared" si="120"/>
        <v>3500</v>
      </c>
      <c r="J392" s="185">
        <f t="shared" si="120"/>
        <v>0</v>
      </c>
      <c r="K392" s="280">
        <f t="shared" si="120"/>
        <v>0</v>
      </c>
      <c r="L392" s="185">
        <f t="shared" si="120"/>
        <v>3500</v>
      </c>
      <c r="M392" s="215">
        <f t="shared" si="120"/>
        <v>81.25</v>
      </c>
      <c r="N392" s="296">
        <f t="shared" si="120"/>
        <v>0</v>
      </c>
      <c r="O392" s="239">
        <f t="shared" si="120"/>
        <v>3581.25</v>
      </c>
      <c r="P392" s="123">
        <f t="shared" si="120"/>
        <v>0</v>
      </c>
      <c r="Q392" s="81">
        <f t="shared" si="120"/>
        <v>3581.25</v>
      </c>
    </row>
    <row r="393" spans="1:17" ht="12.75">
      <c r="A393" s="13" t="s">
        <v>27</v>
      </c>
      <c r="B393" s="59"/>
      <c r="C393" s="106"/>
      <c r="D393" s="75"/>
      <c r="E393" s="168"/>
      <c r="F393" s="198"/>
      <c r="G393" s="211"/>
      <c r="H393" s="235"/>
      <c r="I393" s="181"/>
      <c r="J393" s="181"/>
      <c r="K393" s="276"/>
      <c r="L393" s="181"/>
      <c r="M393" s="211"/>
      <c r="N393" s="292"/>
      <c r="O393" s="235"/>
      <c r="P393" s="112"/>
      <c r="Q393" s="46"/>
    </row>
    <row r="394" spans="1:17" ht="12.75" hidden="1">
      <c r="A394" s="11" t="s">
        <v>97</v>
      </c>
      <c r="B394" s="59"/>
      <c r="C394" s="106"/>
      <c r="D394" s="75"/>
      <c r="E394" s="168"/>
      <c r="F394" s="198">
        <f>C394+D394+E394</f>
        <v>0</v>
      </c>
      <c r="G394" s="211"/>
      <c r="H394" s="235"/>
      <c r="I394" s="181">
        <f>F394+G394+H394</f>
        <v>0</v>
      </c>
      <c r="J394" s="181"/>
      <c r="K394" s="276"/>
      <c r="L394" s="181">
        <f>I394+J394+K394</f>
        <v>0</v>
      </c>
      <c r="M394" s="211"/>
      <c r="N394" s="292"/>
      <c r="O394" s="235">
        <f>L394+M394+N394</f>
        <v>0</v>
      </c>
      <c r="P394" s="112"/>
      <c r="Q394" s="46">
        <f>O394+P394</f>
        <v>0</v>
      </c>
    </row>
    <row r="395" spans="1:17" ht="12.75">
      <c r="A395" s="14" t="s">
        <v>60</v>
      </c>
      <c r="B395" s="62"/>
      <c r="C395" s="132"/>
      <c r="D395" s="83">
        <f>3500</f>
        <v>3500</v>
      </c>
      <c r="E395" s="192"/>
      <c r="F395" s="203">
        <f>C395+D395+E395</f>
        <v>3500</v>
      </c>
      <c r="G395" s="217"/>
      <c r="H395" s="233"/>
      <c r="I395" s="187">
        <f>F395+G395+H395</f>
        <v>3500</v>
      </c>
      <c r="J395" s="187"/>
      <c r="K395" s="282"/>
      <c r="L395" s="187">
        <f>I395+J395+K395</f>
        <v>3500</v>
      </c>
      <c r="M395" s="217">
        <f>81.25</f>
        <v>81.25</v>
      </c>
      <c r="N395" s="298"/>
      <c r="O395" s="233">
        <f>L395+M395+N395</f>
        <v>3581.25</v>
      </c>
      <c r="P395" s="112"/>
      <c r="Q395" s="46">
        <f>O395+P395</f>
        <v>3581.25</v>
      </c>
    </row>
    <row r="396" spans="1:17" ht="12.75" hidden="1">
      <c r="A396" s="14" t="s">
        <v>85</v>
      </c>
      <c r="B396" s="62"/>
      <c r="C396" s="132"/>
      <c r="D396" s="83">
        <f>342.09-342.09</f>
        <v>0</v>
      </c>
      <c r="E396" s="192"/>
      <c r="F396" s="203">
        <f>C396+D396+E396</f>
        <v>0</v>
      </c>
      <c r="G396" s="217"/>
      <c r="H396" s="233"/>
      <c r="I396" s="187">
        <f>F396+G396+H396</f>
        <v>0</v>
      </c>
      <c r="J396" s="181"/>
      <c r="K396" s="276"/>
      <c r="L396" s="181">
        <f>I396+J396+K396</f>
        <v>0</v>
      </c>
      <c r="M396" s="211"/>
      <c r="N396" s="292"/>
      <c r="O396" s="235">
        <f>L396+M396+N396</f>
        <v>0</v>
      </c>
      <c r="P396" s="112"/>
      <c r="Q396" s="46">
        <f>O396+P396</f>
        <v>0</v>
      </c>
    </row>
    <row r="397" spans="1:17" ht="12.75">
      <c r="A397" s="12" t="s">
        <v>202</v>
      </c>
      <c r="B397" s="63"/>
      <c r="C397" s="113">
        <f>C398+C410</f>
        <v>10860</v>
      </c>
      <c r="D397" s="74">
        <f aca="true" t="shared" si="121" ref="D397:Q397">D398+D410</f>
        <v>19685.129999999997</v>
      </c>
      <c r="E397" s="167">
        <f t="shared" si="121"/>
        <v>2622.4</v>
      </c>
      <c r="F397" s="179">
        <f t="shared" si="121"/>
        <v>33167.53</v>
      </c>
      <c r="G397" s="210">
        <f t="shared" si="121"/>
        <v>642.8699999999999</v>
      </c>
      <c r="H397" s="234">
        <f t="shared" si="121"/>
        <v>877.53</v>
      </c>
      <c r="I397" s="182">
        <f t="shared" si="121"/>
        <v>34687.92999999999</v>
      </c>
      <c r="J397" s="182">
        <f t="shared" si="121"/>
        <v>-357.29999999999995</v>
      </c>
      <c r="K397" s="275">
        <f t="shared" si="121"/>
        <v>3950</v>
      </c>
      <c r="L397" s="182">
        <f t="shared" si="121"/>
        <v>38280.63</v>
      </c>
      <c r="M397" s="210">
        <f t="shared" si="121"/>
        <v>8991.2</v>
      </c>
      <c r="N397" s="291">
        <f t="shared" si="121"/>
        <v>0</v>
      </c>
      <c r="O397" s="234">
        <f t="shared" si="121"/>
        <v>47271.83</v>
      </c>
      <c r="P397" s="98">
        <f t="shared" si="121"/>
        <v>0</v>
      </c>
      <c r="Q397" s="73">
        <f t="shared" si="121"/>
        <v>37480.06</v>
      </c>
    </row>
    <row r="398" spans="1:17" ht="12.75">
      <c r="A398" s="17" t="s">
        <v>54</v>
      </c>
      <c r="B398" s="63"/>
      <c r="C398" s="131">
        <f>SUM(C400:C409)</f>
        <v>9360</v>
      </c>
      <c r="D398" s="82">
        <f aca="true" t="shared" si="122" ref="D398:Q398">SUM(D400:D409)</f>
        <v>2249.85</v>
      </c>
      <c r="E398" s="171">
        <f t="shared" si="122"/>
        <v>2622.4</v>
      </c>
      <c r="F398" s="201">
        <f t="shared" si="122"/>
        <v>14232.25</v>
      </c>
      <c r="G398" s="215">
        <f t="shared" si="122"/>
        <v>1642.87</v>
      </c>
      <c r="H398" s="239">
        <f t="shared" si="122"/>
        <v>877.53</v>
      </c>
      <c r="I398" s="185">
        <f t="shared" si="122"/>
        <v>16752.649999999998</v>
      </c>
      <c r="J398" s="185">
        <f t="shared" si="122"/>
        <v>-690.05</v>
      </c>
      <c r="K398" s="280">
        <f t="shared" si="122"/>
        <v>1950</v>
      </c>
      <c r="L398" s="185">
        <f t="shared" si="122"/>
        <v>18012.6</v>
      </c>
      <c r="M398" s="215">
        <f t="shared" si="122"/>
        <v>1491.1999999999998</v>
      </c>
      <c r="N398" s="296">
        <f t="shared" si="122"/>
        <v>0</v>
      </c>
      <c r="O398" s="239">
        <f t="shared" si="122"/>
        <v>19503.8</v>
      </c>
      <c r="P398" s="123">
        <f t="shared" si="122"/>
        <v>0</v>
      </c>
      <c r="Q398" s="81">
        <f t="shared" si="122"/>
        <v>17212.03</v>
      </c>
    </row>
    <row r="399" spans="1:17" ht="12.75">
      <c r="A399" s="13" t="s">
        <v>27</v>
      </c>
      <c r="B399" s="59"/>
      <c r="C399" s="106"/>
      <c r="D399" s="75"/>
      <c r="E399" s="168"/>
      <c r="F399" s="179"/>
      <c r="G399" s="211"/>
      <c r="H399" s="235"/>
      <c r="I399" s="182"/>
      <c r="J399" s="181"/>
      <c r="K399" s="276"/>
      <c r="L399" s="182"/>
      <c r="M399" s="211"/>
      <c r="N399" s="292"/>
      <c r="O399" s="234"/>
      <c r="P399" s="112"/>
      <c r="Q399" s="46"/>
    </row>
    <row r="400" spans="1:17" ht="12.75">
      <c r="A400" s="11" t="s">
        <v>56</v>
      </c>
      <c r="B400" s="59"/>
      <c r="C400" s="106">
        <v>9360</v>
      </c>
      <c r="D400" s="75">
        <f>1857.7+70.1</f>
        <v>1927.8</v>
      </c>
      <c r="E400" s="168"/>
      <c r="F400" s="198">
        <f aca="true" t="shared" si="123" ref="F400:F409">C400+D400+E400</f>
        <v>11287.8</v>
      </c>
      <c r="G400" s="211">
        <f>435</f>
        <v>435</v>
      </c>
      <c r="H400" s="235"/>
      <c r="I400" s="181">
        <f>F400+G400+H400</f>
        <v>11722.8</v>
      </c>
      <c r="J400" s="181">
        <f>-332.75+200</f>
        <v>-132.75</v>
      </c>
      <c r="K400" s="276">
        <f>750</f>
        <v>750</v>
      </c>
      <c r="L400" s="181">
        <f>I400+J400+K400</f>
        <v>12340.05</v>
      </c>
      <c r="M400" s="211">
        <f>-429</f>
        <v>-429</v>
      </c>
      <c r="N400" s="292"/>
      <c r="O400" s="235">
        <f>L400+M400+N400</f>
        <v>11911.05</v>
      </c>
      <c r="P400" s="112"/>
      <c r="Q400" s="46">
        <f>O400+P400</f>
        <v>11911.05</v>
      </c>
    </row>
    <row r="401" spans="1:17" ht="12.75">
      <c r="A401" s="15" t="s">
        <v>354</v>
      </c>
      <c r="B401" s="59"/>
      <c r="C401" s="106"/>
      <c r="D401" s="75"/>
      <c r="E401" s="168"/>
      <c r="F401" s="198">
        <f t="shared" si="123"/>
        <v>0</v>
      </c>
      <c r="G401" s="211"/>
      <c r="H401" s="235"/>
      <c r="I401" s="181">
        <f aca="true" t="shared" si="124" ref="I401:I409">F401+G401+H401</f>
        <v>0</v>
      </c>
      <c r="J401" s="181"/>
      <c r="K401" s="276">
        <f>1200</f>
        <v>1200</v>
      </c>
      <c r="L401" s="181">
        <f aca="true" t="shared" si="125" ref="L401:L409">I401+J401+K401</f>
        <v>1200</v>
      </c>
      <c r="M401" s="211"/>
      <c r="N401" s="292"/>
      <c r="O401" s="235">
        <f aca="true" t="shared" si="126" ref="O401:O409">L401+M401+N401</f>
        <v>1200</v>
      </c>
      <c r="P401" s="112"/>
      <c r="Q401" s="46">
        <f>O401+P401</f>
        <v>1200</v>
      </c>
    </row>
    <row r="402" spans="1:17" ht="12.75" hidden="1">
      <c r="A402" s="15" t="s">
        <v>228</v>
      </c>
      <c r="B402" s="59"/>
      <c r="C402" s="106"/>
      <c r="D402" s="75"/>
      <c r="E402" s="168"/>
      <c r="F402" s="198">
        <f t="shared" si="123"/>
        <v>0</v>
      </c>
      <c r="G402" s="211"/>
      <c r="H402" s="235"/>
      <c r="I402" s="181">
        <f t="shared" si="124"/>
        <v>0</v>
      </c>
      <c r="J402" s="181"/>
      <c r="K402" s="276"/>
      <c r="L402" s="181">
        <f t="shared" si="125"/>
        <v>0</v>
      </c>
      <c r="M402" s="211"/>
      <c r="N402" s="292"/>
      <c r="O402" s="235"/>
      <c r="P402" s="112"/>
      <c r="Q402" s="46"/>
    </row>
    <row r="403" spans="1:17" ht="12.75" hidden="1">
      <c r="A403" s="15" t="s">
        <v>231</v>
      </c>
      <c r="B403" s="59">
        <v>1400</v>
      </c>
      <c r="C403" s="106"/>
      <c r="D403" s="86"/>
      <c r="E403" s="168"/>
      <c r="F403" s="198">
        <f t="shared" si="123"/>
        <v>0</v>
      </c>
      <c r="G403" s="211"/>
      <c r="H403" s="235"/>
      <c r="I403" s="181">
        <f t="shared" si="124"/>
        <v>0</v>
      </c>
      <c r="J403" s="181"/>
      <c r="K403" s="276"/>
      <c r="L403" s="181">
        <f t="shared" si="125"/>
        <v>0</v>
      </c>
      <c r="M403" s="211"/>
      <c r="N403" s="292"/>
      <c r="O403" s="235"/>
      <c r="P403" s="112"/>
      <c r="Q403" s="46"/>
    </row>
    <row r="404" spans="1:17" ht="12.75">
      <c r="A404" s="11" t="s">
        <v>85</v>
      </c>
      <c r="B404" s="59"/>
      <c r="C404" s="106"/>
      <c r="D404" s="97">
        <f>13.32+158.73</f>
        <v>172.04999999999998</v>
      </c>
      <c r="E404" s="168">
        <v>2622.4</v>
      </c>
      <c r="F404" s="198">
        <f t="shared" si="123"/>
        <v>2794.4500000000003</v>
      </c>
      <c r="G404" s="211"/>
      <c r="H404" s="235">
        <f>877.53</f>
        <v>877.53</v>
      </c>
      <c r="I404" s="181">
        <f t="shared" si="124"/>
        <v>3671.9800000000005</v>
      </c>
      <c r="J404" s="181">
        <f>-557.3</f>
        <v>-557.3</v>
      </c>
      <c r="K404" s="276"/>
      <c r="L404" s="181">
        <f t="shared" si="125"/>
        <v>3114.6800000000003</v>
      </c>
      <c r="M404" s="211">
        <f>557.3+429</f>
        <v>986.3</v>
      </c>
      <c r="N404" s="292"/>
      <c r="O404" s="235">
        <f t="shared" si="126"/>
        <v>4100.9800000000005</v>
      </c>
      <c r="P404" s="112"/>
      <c r="Q404" s="46">
        <f>O404+P404</f>
        <v>4100.9800000000005</v>
      </c>
    </row>
    <row r="405" spans="1:17" ht="12.75" hidden="1">
      <c r="A405" s="11" t="s">
        <v>70</v>
      </c>
      <c r="B405" s="59"/>
      <c r="C405" s="106"/>
      <c r="D405" s="75"/>
      <c r="E405" s="168"/>
      <c r="F405" s="198">
        <f t="shared" si="123"/>
        <v>0</v>
      </c>
      <c r="G405" s="211"/>
      <c r="H405" s="235"/>
      <c r="I405" s="181">
        <f t="shared" si="124"/>
        <v>0</v>
      </c>
      <c r="J405" s="189"/>
      <c r="K405" s="276"/>
      <c r="L405" s="181">
        <f t="shared" si="125"/>
        <v>0</v>
      </c>
      <c r="M405" s="211"/>
      <c r="N405" s="292"/>
      <c r="O405" s="235">
        <f t="shared" si="126"/>
        <v>0</v>
      </c>
      <c r="P405" s="112"/>
      <c r="Q405" s="46">
        <f>O405+P405</f>
        <v>0</v>
      </c>
    </row>
    <row r="406" spans="1:17" ht="12.75" hidden="1">
      <c r="A406" s="11" t="s">
        <v>171</v>
      </c>
      <c r="B406" s="59"/>
      <c r="C406" s="106"/>
      <c r="D406" s="75"/>
      <c r="E406" s="168"/>
      <c r="F406" s="198">
        <f t="shared" si="123"/>
        <v>0</v>
      </c>
      <c r="G406" s="211"/>
      <c r="H406" s="235"/>
      <c r="I406" s="181">
        <f t="shared" si="124"/>
        <v>0</v>
      </c>
      <c r="J406" s="189"/>
      <c r="K406" s="276"/>
      <c r="L406" s="181">
        <f t="shared" si="125"/>
        <v>0</v>
      </c>
      <c r="M406" s="211"/>
      <c r="N406" s="292"/>
      <c r="O406" s="235">
        <f t="shared" si="126"/>
        <v>0</v>
      </c>
      <c r="P406" s="112"/>
      <c r="Q406" s="46">
        <f>O406+P406</f>
        <v>0</v>
      </c>
    </row>
    <row r="407" spans="1:17" ht="12.75">
      <c r="A407" s="11" t="s">
        <v>297</v>
      </c>
      <c r="B407" s="59">
        <v>98035</v>
      </c>
      <c r="C407" s="106"/>
      <c r="D407" s="75">
        <v>150</v>
      </c>
      <c r="E407" s="168"/>
      <c r="F407" s="198">
        <f t="shared" si="123"/>
        <v>150</v>
      </c>
      <c r="G407" s="211"/>
      <c r="H407" s="235"/>
      <c r="I407" s="181">
        <f t="shared" si="124"/>
        <v>150</v>
      </c>
      <c r="J407" s="189"/>
      <c r="K407" s="276"/>
      <c r="L407" s="181">
        <f t="shared" si="125"/>
        <v>150</v>
      </c>
      <c r="M407" s="211"/>
      <c r="N407" s="292"/>
      <c r="O407" s="235">
        <f t="shared" si="126"/>
        <v>150</v>
      </c>
      <c r="P407" s="112"/>
      <c r="Q407" s="46"/>
    </row>
    <row r="408" spans="1:17" ht="12.75">
      <c r="A408" s="11" t="s">
        <v>265</v>
      </c>
      <c r="B408" s="119" t="s">
        <v>266</v>
      </c>
      <c r="C408" s="106"/>
      <c r="D408" s="75"/>
      <c r="E408" s="168"/>
      <c r="F408" s="198">
        <f t="shared" si="123"/>
        <v>0</v>
      </c>
      <c r="G408" s="211">
        <f>846.6</f>
        <v>846.6</v>
      </c>
      <c r="H408" s="235"/>
      <c r="I408" s="181">
        <f t="shared" si="124"/>
        <v>846.6</v>
      </c>
      <c r="J408" s="189"/>
      <c r="K408" s="276"/>
      <c r="L408" s="181">
        <f t="shared" si="125"/>
        <v>846.6</v>
      </c>
      <c r="M408" s="211">
        <f>933.9</f>
        <v>933.9</v>
      </c>
      <c r="N408" s="292"/>
      <c r="O408" s="235">
        <f t="shared" si="126"/>
        <v>1780.5</v>
      </c>
      <c r="P408" s="112"/>
      <c r="Q408" s="46"/>
    </row>
    <row r="409" spans="1:17" ht="12.75">
      <c r="A409" s="11" t="s">
        <v>264</v>
      </c>
      <c r="B409" s="59">
        <v>33064</v>
      </c>
      <c r="C409" s="106"/>
      <c r="D409" s="75"/>
      <c r="E409" s="168"/>
      <c r="F409" s="198">
        <f t="shared" si="123"/>
        <v>0</v>
      </c>
      <c r="G409" s="211">
        <f>361.27</f>
        <v>361.27</v>
      </c>
      <c r="H409" s="235"/>
      <c r="I409" s="181">
        <f t="shared" si="124"/>
        <v>361.27</v>
      </c>
      <c r="J409" s="189"/>
      <c r="K409" s="276"/>
      <c r="L409" s="181">
        <f t="shared" si="125"/>
        <v>361.27</v>
      </c>
      <c r="M409" s="211"/>
      <c r="N409" s="292"/>
      <c r="O409" s="235">
        <f t="shared" si="126"/>
        <v>361.27</v>
      </c>
      <c r="P409" s="112"/>
      <c r="Q409" s="46"/>
    </row>
    <row r="410" spans="1:17" ht="12.75">
      <c r="A410" s="17" t="s">
        <v>59</v>
      </c>
      <c r="B410" s="63"/>
      <c r="C410" s="131">
        <f>SUM(C412:C418)</f>
        <v>1500</v>
      </c>
      <c r="D410" s="82">
        <f aca="true" t="shared" si="127" ref="D410:Q410">SUM(D412:D418)</f>
        <v>17435.28</v>
      </c>
      <c r="E410" s="171">
        <f t="shared" si="127"/>
        <v>0</v>
      </c>
      <c r="F410" s="201">
        <f t="shared" si="127"/>
        <v>18935.28</v>
      </c>
      <c r="G410" s="215">
        <f t="shared" si="127"/>
        <v>-1000</v>
      </c>
      <c r="H410" s="239">
        <f t="shared" si="127"/>
        <v>0</v>
      </c>
      <c r="I410" s="185">
        <f t="shared" si="127"/>
        <v>17935.28</v>
      </c>
      <c r="J410" s="185">
        <f t="shared" si="127"/>
        <v>332.75</v>
      </c>
      <c r="K410" s="280">
        <f t="shared" si="127"/>
        <v>2000</v>
      </c>
      <c r="L410" s="185">
        <f t="shared" si="127"/>
        <v>20268.03</v>
      </c>
      <c r="M410" s="215">
        <f t="shared" si="127"/>
        <v>7500</v>
      </c>
      <c r="N410" s="296">
        <f t="shared" si="127"/>
        <v>0</v>
      </c>
      <c r="O410" s="239">
        <f t="shared" si="127"/>
        <v>27768.03</v>
      </c>
      <c r="P410" s="123">
        <f t="shared" si="127"/>
        <v>0</v>
      </c>
      <c r="Q410" s="81">
        <f t="shared" si="127"/>
        <v>20268.03</v>
      </c>
    </row>
    <row r="411" spans="1:17" ht="12.75">
      <c r="A411" s="13" t="s">
        <v>27</v>
      </c>
      <c r="B411" s="59"/>
      <c r="C411" s="106"/>
      <c r="D411" s="75"/>
      <c r="E411" s="168"/>
      <c r="F411" s="198"/>
      <c r="G411" s="211"/>
      <c r="H411" s="235"/>
      <c r="I411" s="181"/>
      <c r="J411" s="181"/>
      <c r="K411" s="276"/>
      <c r="L411" s="181"/>
      <c r="M411" s="211"/>
      <c r="N411" s="292"/>
      <c r="O411" s="235"/>
      <c r="P411" s="112"/>
      <c r="Q411" s="46"/>
    </row>
    <row r="412" spans="1:17" ht="12.75">
      <c r="A412" s="15" t="s">
        <v>74</v>
      </c>
      <c r="B412" s="59"/>
      <c r="C412" s="106"/>
      <c r="D412" s="75">
        <f>2000</f>
        <v>2000</v>
      </c>
      <c r="E412" s="168"/>
      <c r="F412" s="198">
        <f aca="true" t="shared" si="128" ref="F412:F418">C412+D412+E412</f>
        <v>2000</v>
      </c>
      <c r="G412" s="211"/>
      <c r="H412" s="235"/>
      <c r="I412" s="181">
        <f aca="true" t="shared" si="129" ref="I412:I418">F412+G412+H412</f>
        <v>2000</v>
      </c>
      <c r="J412" s="181"/>
      <c r="K412" s="276"/>
      <c r="L412" s="181">
        <f aca="true" t="shared" si="130" ref="L412:L418">I412+J412+K412</f>
        <v>2000</v>
      </c>
      <c r="M412" s="211"/>
      <c r="N412" s="292"/>
      <c r="O412" s="235">
        <f aca="true" t="shared" si="131" ref="O412:O418">L412+M412+N412</f>
        <v>2000</v>
      </c>
      <c r="P412" s="112"/>
      <c r="Q412" s="46">
        <f>O412+P412</f>
        <v>2000</v>
      </c>
    </row>
    <row r="413" spans="1:17" ht="12.75">
      <c r="A413" s="11" t="s">
        <v>359</v>
      </c>
      <c r="B413" s="59"/>
      <c r="C413" s="106"/>
      <c r="D413" s="75"/>
      <c r="E413" s="168"/>
      <c r="F413" s="198">
        <f t="shared" si="128"/>
        <v>0</v>
      </c>
      <c r="G413" s="211"/>
      <c r="H413" s="235"/>
      <c r="I413" s="181">
        <f t="shared" si="129"/>
        <v>0</v>
      </c>
      <c r="J413" s="181"/>
      <c r="K413" s="276"/>
      <c r="L413" s="181">
        <f t="shared" si="130"/>
        <v>0</v>
      </c>
      <c r="M413" s="211">
        <f>7500</f>
        <v>7500</v>
      </c>
      <c r="N413" s="292"/>
      <c r="O413" s="235">
        <f t="shared" si="131"/>
        <v>7500</v>
      </c>
      <c r="P413" s="112"/>
      <c r="Q413" s="46"/>
    </row>
    <row r="414" spans="1:17" ht="12.75" hidden="1">
      <c r="A414" s="15" t="s">
        <v>215</v>
      </c>
      <c r="B414" s="59"/>
      <c r="C414" s="106"/>
      <c r="D414" s="75"/>
      <c r="E414" s="168"/>
      <c r="F414" s="198">
        <f t="shared" si="128"/>
        <v>0</v>
      </c>
      <c r="G414" s="211"/>
      <c r="H414" s="235"/>
      <c r="I414" s="181">
        <f t="shared" si="129"/>
        <v>0</v>
      </c>
      <c r="J414" s="181"/>
      <c r="K414" s="276"/>
      <c r="L414" s="181">
        <f t="shared" si="130"/>
        <v>0</v>
      </c>
      <c r="M414" s="211"/>
      <c r="N414" s="292"/>
      <c r="O414" s="235">
        <f t="shared" si="131"/>
        <v>0</v>
      </c>
      <c r="P414" s="112"/>
      <c r="Q414" s="46"/>
    </row>
    <row r="415" spans="1:17" ht="12.75" hidden="1">
      <c r="A415" s="15" t="s">
        <v>203</v>
      </c>
      <c r="B415" s="59"/>
      <c r="C415" s="106"/>
      <c r="D415" s="75"/>
      <c r="E415" s="168"/>
      <c r="F415" s="198">
        <f t="shared" si="128"/>
        <v>0</v>
      </c>
      <c r="G415" s="211"/>
      <c r="H415" s="235"/>
      <c r="I415" s="181">
        <f t="shared" si="129"/>
        <v>0</v>
      </c>
      <c r="J415" s="181"/>
      <c r="K415" s="276"/>
      <c r="L415" s="181">
        <f t="shared" si="130"/>
        <v>0</v>
      </c>
      <c r="M415" s="211"/>
      <c r="N415" s="292"/>
      <c r="O415" s="235">
        <f t="shared" si="131"/>
        <v>0</v>
      </c>
      <c r="P415" s="112"/>
      <c r="Q415" s="46"/>
    </row>
    <row r="416" spans="1:17" ht="12.75">
      <c r="A416" s="11" t="s">
        <v>60</v>
      </c>
      <c r="B416" s="59"/>
      <c r="C416" s="106">
        <v>1500</v>
      </c>
      <c r="D416" s="75">
        <f>1000</f>
        <v>1000</v>
      </c>
      <c r="E416" s="168"/>
      <c r="F416" s="198">
        <f t="shared" si="128"/>
        <v>2500</v>
      </c>
      <c r="G416" s="211">
        <f>-1000</f>
        <v>-1000</v>
      </c>
      <c r="H416" s="235"/>
      <c r="I416" s="181">
        <f t="shared" si="129"/>
        <v>1500</v>
      </c>
      <c r="J416" s="181">
        <f>332.75</f>
        <v>332.75</v>
      </c>
      <c r="K416" s="276"/>
      <c r="L416" s="181">
        <f t="shared" si="130"/>
        <v>1832.75</v>
      </c>
      <c r="M416" s="211"/>
      <c r="N416" s="292"/>
      <c r="O416" s="235">
        <f t="shared" si="131"/>
        <v>1832.75</v>
      </c>
      <c r="P416" s="112"/>
      <c r="Q416" s="46">
        <f>O416+P416</f>
        <v>1832.75</v>
      </c>
    </row>
    <row r="417" spans="1:17" ht="12.75">
      <c r="A417" s="14" t="s">
        <v>85</v>
      </c>
      <c r="B417" s="62"/>
      <c r="C417" s="132"/>
      <c r="D417" s="83">
        <f>14435.28</f>
        <v>14435.28</v>
      </c>
      <c r="E417" s="192"/>
      <c r="F417" s="203">
        <f t="shared" si="128"/>
        <v>14435.28</v>
      </c>
      <c r="G417" s="217"/>
      <c r="H417" s="233"/>
      <c r="I417" s="187">
        <f t="shared" si="129"/>
        <v>14435.28</v>
      </c>
      <c r="J417" s="187"/>
      <c r="K417" s="282">
        <f>2000</f>
        <v>2000</v>
      </c>
      <c r="L417" s="187">
        <f t="shared" si="130"/>
        <v>16435.28</v>
      </c>
      <c r="M417" s="217"/>
      <c r="N417" s="298"/>
      <c r="O417" s="233">
        <f t="shared" si="131"/>
        <v>16435.28</v>
      </c>
      <c r="P417" s="112"/>
      <c r="Q417" s="46">
        <f>O417+P417</f>
        <v>16435.28</v>
      </c>
    </row>
    <row r="418" spans="1:17" ht="12.75" hidden="1">
      <c r="A418" s="21" t="s">
        <v>204</v>
      </c>
      <c r="B418" s="62"/>
      <c r="C418" s="132"/>
      <c r="D418" s="83"/>
      <c r="E418" s="192"/>
      <c r="F418" s="203">
        <f t="shared" si="128"/>
        <v>0</v>
      </c>
      <c r="G418" s="217"/>
      <c r="H418" s="233"/>
      <c r="I418" s="187">
        <f t="shared" si="129"/>
        <v>0</v>
      </c>
      <c r="J418" s="187"/>
      <c r="K418" s="282"/>
      <c r="L418" s="187">
        <f t="shared" si="130"/>
        <v>0</v>
      </c>
      <c r="M418" s="217"/>
      <c r="N418" s="298"/>
      <c r="O418" s="233">
        <f t="shared" si="131"/>
        <v>0</v>
      </c>
      <c r="P418" s="270"/>
      <c r="Q418" s="48">
        <f>O418+P418</f>
        <v>0</v>
      </c>
    </row>
    <row r="419" spans="1:17" ht="12.75">
      <c r="A419" s="8" t="s">
        <v>107</v>
      </c>
      <c r="B419" s="63"/>
      <c r="C419" s="113">
        <f>C420+C423</f>
        <v>3304.9</v>
      </c>
      <c r="D419" s="74">
        <f aca="true" t="shared" si="132" ref="D419:Q419">D420+D423</f>
        <v>0</v>
      </c>
      <c r="E419" s="167">
        <f t="shared" si="132"/>
        <v>0</v>
      </c>
      <c r="F419" s="179">
        <f t="shared" si="132"/>
        <v>3304.9</v>
      </c>
      <c r="G419" s="210">
        <f t="shared" si="132"/>
        <v>0</v>
      </c>
      <c r="H419" s="234">
        <f t="shared" si="132"/>
        <v>0</v>
      </c>
      <c r="I419" s="182">
        <f t="shared" si="132"/>
        <v>3304.9</v>
      </c>
      <c r="J419" s="182">
        <f t="shared" si="132"/>
        <v>0</v>
      </c>
      <c r="K419" s="275">
        <f t="shared" si="132"/>
        <v>0</v>
      </c>
      <c r="L419" s="182">
        <f t="shared" si="132"/>
        <v>3304.9</v>
      </c>
      <c r="M419" s="210">
        <f t="shared" si="132"/>
        <v>0</v>
      </c>
      <c r="N419" s="291">
        <f t="shared" si="132"/>
        <v>0</v>
      </c>
      <c r="O419" s="234">
        <f t="shared" si="132"/>
        <v>3304.9</v>
      </c>
      <c r="P419" s="98">
        <f t="shared" si="132"/>
        <v>0</v>
      </c>
      <c r="Q419" s="73">
        <f t="shared" si="132"/>
        <v>3304.9</v>
      </c>
    </row>
    <row r="420" spans="1:17" ht="12.75">
      <c r="A420" s="17" t="s">
        <v>54</v>
      </c>
      <c r="B420" s="63"/>
      <c r="C420" s="131">
        <f>SUM(C422:C422)</f>
        <v>3304.9</v>
      </c>
      <c r="D420" s="82">
        <f aca="true" t="shared" si="133" ref="D420:Q420">SUM(D422:D422)</f>
        <v>0</v>
      </c>
      <c r="E420" s="171">
        <f t="shared" si="133"/>
        <v>0</v>
      </c>
      <c r="F420" s="201">
        <f t="shared" si="133"/>
        <v>3304.9</v>
      </c>
      <c r="G420" s="215">
        <f t="shared" si="133"/>
        <v>0</v>
      </c>
      <c r="H420" s="239">
        <f t="shared" si="133"/>
        <v>0</v>
      </c>
      <c r="I420" s="185">
        <f t="shared" si="133"/>
        <v>3304.9</v>
      </c>
      <c r="J420" s="185">
        <f t="shared" si="133"/>
        <v>0</v>
      </c>
      <c r="K420" s="280">
        <f t="shared" si="133"/>
        <v>0</v>
      </c>
      <c r="L420" s="185">
        <f t="shared" si="133"/>
        <v>3304.9</v>
      </c>
      <c r="M420" s="215">
        <f t="shared" si="133"/>
        <v>0</v>
      </c>
      <c r="N420" s="296">
        <f t="shared" si="133"/>
        <v>0</v>
      </c>
      <c r="O420" s="239">
        <f t="shared" si="133"/>
        <v>3304.9</v>
      </c>
      <c r="P420" s="123">
        <f t="shared" si="133"/>
        <v>0</v>
      </c>
      <c r="Q420" s="81">
        <f t="shared" si="133"/>
        <v>3304.9</v>
      </c>
    </row>
    <row r="421" spans="1:17" ht="12.75">
      <c r="A421" s="13" t="s">
        <v>27</v>
      </c>
      <c r="B421" s="59"/>
      <c r="C421" s="106"/>
      <c r="D421" s="75"/>
      <c r="E421" s="168"/>
      <c r="F421" s="179"/>
      <c r="G421" s="211"/>
      <c r="H421" s="235"/>
      <c r="I421" s="182"/>
      <c r="J421" s="181"/>
      <c r="K421" s="276"/>
      <c r="L421" s="182"/>
      <c r="M421" s="211"/>
      <c r="N421" s="292"/>
      <c r="O421" s="234"/>
      <c r="P421" s="112"/>
      <c r="Q421" s="46"/>
    </row>
    <row r="422" spans="1:17" ht="13.5" thickBot="1">
      <c r="A422" s="327" t="s">
        <v>56</v>
      </c>
      <c r="B422" s="103"/>
      <c r="C422" s="328">
        <v>3304.9</v>
      </c>
      <c r="D422" s="104"/>
      <c r="E422" s="193"/>
      <c r="F422" s="204">
        <f>C422+D422+E422</f>
        <v>3304.9</v>
      </c>
      <c r="G422" s="317"/>
      <c r="H422" s="318"/>
      <c r="I422" s="319">
        <f>F422+G422+H422</f>
        <v>3304.9</v>
      </c>
      <c r="J422" s="319"/>
      <c r="K422" s="320"/>
      <c r="L422" s="319">
        <f>I422+J422+K422</f>
        <v>3304.9</v>
      </c>
      <c r="M422" s="317"/>
      <c r="N422" s="321"/>
      <c r="O422" s="318">
        <f>L422+M422+N422</f>
        <v>3304.9</v>
      </c>
      <c r="P422" s="112"/>
      <c r="Q422" s="46">
        <f>O422+P422</f>
        <v>3304.9</v>
      </c>
    </row>
    <row r="423" spans="1:17" ht="12.75" hidden="1">
      <c r="A423" s="17" t="s">
        <v>59</v>
      </c>
      <c r="B423" s="63"/>
      <c r="C423" s="131">
        <f aca="true" t="shared" si="134" ref="C423:Q423">SUM(C425:C425)</f>
        <v>0</v>
      </c>
      <c r="D423" s="82">
        <f t="shared" si="134"/>
        <v>0</v>
      </c>
      <c r="E423" s="171">
        <f t="shared" si="134"/>
        <v>0</v>
      </c>
      <c r="F423" s="201">
        <f t="shared" si="134"/>
        <v>0</v>
      </c>
      <c r="G423" s="215">
        <f t="shared" si="134"/>
        <v>0</v>
      </c>
      <c r="H423" s="239">
        <f t="shared" si="134"/>
        <v>0</v>
      </c>
      <c r="I423" s="185">
        <f t="shared" si="134"/>
        <v>0</v>
      </c>
      <c r="J423" s="185">
        <f t="shared" si="134"/>
        <v>0</v>
      </c>
      <c r="K423" s="280">
        <f t="shared" si="134"/>
        <v>0</v>
      </c>
      <c r="L423" s="185">
        <f t="shared" si="134"/>
        <v>0</v>
      </c>
      <c r="M423" s="215">
        <f t="shared" si="134"/>
        <v>0</v>
      </c>
      <c r="N423" s="296">
        <f t="shared" si="134"/>
        <v>0</v>
      </c>
      <c r="O423" s="239">
        <f t="shared" si="134"/>
        <v>0</v>
      </c>
      <c r="P423" s="123">
        <f t="shared" si="134"/>
        <v>0</v>
      </c>
      <c r="Q423" s="81">
        <f t="shared" si="134"/>
        <v>0</v>
      </c>
    </row>
    <row r="424" spans="1:17" ht="12.75" hidden="1">
      <c r="A424" s="13" t="s">
        <v>27</v>
      </c>
      <c r="B424" s="59"/>
      <c r="C424" s="106"/>
      <c r="D424" s="75"/>
      <c r="E424" s="168"/>
      <c r="F424" s="198"/>
      <c r="G424" s="211"/>
      <c r="H424" s="235"/>
      <c r="I424" s="181"/>
      <c r="J424" s="181"/>
      <c r="K424" s="276"/>
      <c r="L424" s="181"/>
      <c r="M424" s="211"/>
      <c r="N424" s="292"/>
      <c r="O424" s="235"/>
      <c r="P424" s="112"/>
      <c r="Q424" s="46"/>
    </row>
    <row r="425" spans="1:17" ht="12.75" hidden="1">
      <c r="A425" s="14" t="s">
        <v>60</v>
      </c>
      <c r="B425" s="62"/>
      <c r="C425" s="132"/>
      <c r="D425" s="83"/>
      <c r="E425" s="192"/>
      <c r="F425" s="203">
        <f>C425+D425+E425</f>
        <v>0</v>
      </c>
      <c r="G425" s="217"/>
      <c r="H425" s="233"/>
      <c r="I425" s="187">
        <f>F425+G425+H425</f>
        <v>0</v>
      </c>
      <c r="J425" s="187"/>
      <c r="K425" s="282"/>
      <c r="L425" s="187">
        <f>I425+J425+K425</f>
        <v>0</v>
      </c>
      <c r="M425" s="217"/>
      <c r="N425" s="298"/>
      <c r="O425" s="233">
        <f>L425+M425+N425</f>
        <v>0</v>
      </c>
      <c r="P425" s="270"/>
      <c r="Q425" s="48">
        <f>O425+P425</f>
        <v>0</v>
      </c>
    </row>
    <row r="426" spans="1:17" ht="12.75">
      <c r="A426" s="8" t="s">
        <v>108</v>
      </c>
      <c r="B426" s="63"/>
      <c r="C426" s="113">
        <f aca="true" t="shared" si="135" ref="C426:Q426">C427</f>
        <v>39482.44</v>
      </c>
      <c r="D426" s="74">
        <f t="shared" si="135"/>
        <v>25118.32</v>
      </c>
      <c r="E426" s="167">
        <f t="shared" si="135"/>
        <v>0</v>
      </c>
      <c r="F426" s="179">
        <f t="shared" si="135"/>
        <v>64600.759999999995</v>
      </c>
      <c r="G426" s="210">
        <f t="shared" si="135"/>
        <v>-1564</v>
      </c>
      <c r="H426" s="234">
        <f t="shared" si="135"/>
        <v>582.71</v>
      </c>
      <c r="I426" s="182">
        <f t="shared" si="135"/>
        <v>63619.47</v>
      </c>
      <c r="J426" s="182">
        <f t="shared" si="135"/>
        <v>-1817.12</v>
      </c>
      <c r="K426" s="275">
        <f t="shared" si="135"/>
        <v>0</v>
      </c>
      <c r="L426" s="182">
        <f t="shared" si="135"/>
        <v>61802.35</v>
      </c>
      <c r="M426" s="210">
        <f t="shared" si="135"/>
        <v>0</v>
      </c>
      <c r="N426" s="291">
        <f t="shared" si="135"/>
        <v>0</v>
      </c>
      <c r="O426" s="234">
        <f t="shared" si="135"/>
        <v>61802.35</v>
      </c>
      <c r="P426" s="98">
        <f t="shared" si="135"/>
        <v>0</v>
      </c>
      <c r="Q426" s="73">
        <f t="shared" si="135"/>
        <v>61802.35</v>
      </c>
    </row>
    <row r="427" spans="1:17" ht="12.75">
      <c r="A427" s="17" t="s">
        <v>54</v>
      </c>
      <c r="B427" s="63"/>
      <c r="C427" s="131">
        <f>SUM(C429:C432)</f>
        <v>39482.44</v>
      </c>
      <c r="D427" s="82">
        <f aca="true" t="shared" si="136" ref="D427:Q427">SUM(D429:D432)</f>
        <v>25118.32</v>
      </c>
      <c r="E427" s="171">
        <f t="shared" si="136"/>
        <v>0</v>
      </c>
      <c r="F427" s="201">
        <f t="shared" si="136"/>
        <v>64600.759999999995</v>
      </c>
      <c r="G427" s="215">
        <f t="shared" si="136"/>
        <v>-1564</v>
      </c>
      <c r="H427" s="239">
        <f t="shared" si="136"/>
        <v>582.71</v>
      </c>
      <c r="I427" s="185">
        <f t="shared" si="136"/>
        <v>63619.47</v>
      </c>
      <c r="J427" s="185">
        <f t="shared" si="136"/>
        <v>-1817.12</v>
      </c>
      <c r="K427" s="280">
        <f t="shared" si="136"/>
        <v>0</v>
      </c>
      <c r="L427" s="185">
        <f t="shared" si="136"/>
        <v>61802.35</v>
      </c>
      <c r="M427" s="215">
        <f t="shared" si="136"/>
        <v>0</v>
      </c>
      <c r="N427" s="296">
        <f t="shared" si="136"/>
        <v>0</v>
      </c>
      <c r="O427" s="239">
        <f t="shared" si="136"/>
        <v>61802.35</v>
      </c>
      <c r="P427" s="123">
        <f t="shared" si="136"/>
        <v>0</v>
      </c>
      <c r="Q427" s="81">
        <f t="shared" si="136"/>
        <v>61802.35</v>
      </c>
    </row>
    <row r="428" spans="1:17" ht="12.75">
      <c r="A428" s="13" t="s">
        <v>27</v>
      </c>
      <c r="B428" s="59"/>
      <c r="C428" s="113"/>
      <c r="D428" s="74"/>
      <c r="E428" s="167"/>
      <c r="F428" s="179"/>
      <c r="G428" s="210"/>
      <c r="H428" s="234"/>
      <c r="I428" s="182"/>
      <c r="J428" s="182"/>
      <c r="K428" s="275"/>
      <c r="L428" s="182"/>
      <c r="M428" s="210"/>
      <c r="N428" s="291"/>
      <c r="O428" s="234"/>
      <c r="P428" s="112"/>
      <c r="Q428" s="46"/>
    </row>
    <row r="429" spans="1:17" ht="12.75">
      <c r="A429" s="60" t="s">
        <v>216</v>
      </c>
      <c r="B429" s="59"/>
      <c r="C429" s="106">
        <v>10000</v>
      </c>
      <c r="D429" s="75"/>
      <c r="E429" s="168"/>
      <c r="F429" s="198">
        <f>C429+D429+E429</f>
        <v>10000</v>
      </c>
      <c r="G429" s="211">
        <f>-600-40-408-516</f>
        <v>-1564</v>
      </c>
      <c r="H429" s="235">
        <f>582.71</f>
        <v>582.71</v>
      </c>
      <c r="I429" s="181">
        <f>F429+G429+H429</f>
        <v>9018.71</v>
      </c>
      <c r="J429" s="189">
        <f>-1379.25-437.87</f>
        <v>-1817.12</v>
      </c>
      <c r="K429" s="276"/>
      <c r="L429" s="181">
        <f>I429+J429+K429</f>
        <v>7201.589999999999</v>
      </c>
      <c r="M429" s="211"/>
      <c r="N429" s="292"/>
      <c r="O429" s="235">
        <f>L429+M429+N429</f>
        <v>7201.589999999999</v>
      </c>
      <c r="P429" s="112"/>
      <c r="Q429" s="46">
        <f>O429+P429</f>
        <v>7201.589999999999</v>
      </c>
    </row>
    <row r="430" spans="1:17" ht="12.75">
      <c r="A430" s="60" t="s">
        <v>109</v>
      </c>
      <c r="B430" s="59"/>
      <c r="C430" s="106"/>
      <c r="D430" s="86">
        <f>19085.93</f>
        <v>19085.93</v>
      </c>
      <c r="E430" s="168"/>
      <c r="F430" s="198">
        <f>C430+D430+E430</f>
        <v>19085.93</v>
      </c>
      <c r="G430" s="211"/>
      <c r="H430" s="235"/>
      <c r="I430" s="181">
        <f>F430+G430+H430</f>
        <v>19085.93</v>
      </c>
      <c r="J430" s="181"/>
      <c r="K430" s="276"/>
      <c r="L430" s="181">
        <f>I430+J430+K430</f>
        <v>19085.93</v>
      </c>
      <c r="M430" s="211"/>
      <c r="N430" s="292"/>
      <c r="O430" s="235">
        <f>L430+M430+N430</f>
        <v>19085.93</v>
      </c>
      <c r="P430" s="112"/>
      <c r="Q430" s="46">
        <f>O430+P430</f>
        <v>19085.93</v>
      </c>
    </row>
    <row r="431" spans="1:17" ht="12.75">
      <c r="A431" s="60" t="s">
        <v>110</v>
      </c>
      <c r="B431" s="59"/>
      <c r="C431" s="106"/>
      <c r="D431" s="75">
        <f>6032.39</f>
        <v>6032.39</v>
      </c>
      <c r="E431" s="168"/>
      <c r="F431" s="198">
        <f>C431+D431+E431</f>
        <v>6032.39</v>
      </c>
      <c r="G431" s="211"/>
      <c r="H431" s="235"/>
      <c r="I431" s="181">
        <f>F431+G431+H431</f>
        <v>6032.39</v>
      </c>
      <c r="J431" s="181"/>
      <c r="K431" s="276"/>
      <c r="L431" s="181">
        <f>I431+J431+K431</f>
        <v>6032.39</v>
      </c>
      <c r="M431" s="211"/>
      <c r="N431" s="292"/>
      <c r="O431" s="235">
        <f>L431+M431+N431</f>
        <v>6032.39</v>
      </c>
      <c r="P431" s="112"/>
      <c r="Q431" s="46">
        <f>O431+P431</f>
        <v>6032.39</v>
      </c>
    </row>
    <row r="432" spans="1:17" ht="12.75">
      <c r="A432" s="14" t="s">
        <v>56</v>
      </c>
      <c r="B432" s="62"/>
      <c r="C432" s="132">
        <v>29482.44</v>
      </c>
      <c r="D432" s="83"/>
      <c r="E432" s="192"/>
      <c r="F432" s="203">
        <f>C432+D432+E432</f>
        <v>29482.44</v>
      </c>
      <c r="G432" s="217"/>
      <c r="H432" s="233"/>
      <c r="I432" s="187">
        <f>F432+G432+H432</f>
        <v>29482.44</v>
      </c>
      <c r="J432" s="187"/>
      <c r="K432" s="282"/>
      <c r="L432" s="187">
        <f>I432+J432+K432</f>
        <v>29482.44</v>
      </c>
      <c r="M432" s="217"/>
      <c r="N432" s="298"/>
      <c r="O432" s="233">
        <f>L432+M432+N432</f>
        <v>29482.44</v>
      </c>
      <c r="P432" s="270"/>
      <c r="Q432" s="48">
        <f>O432+P432</f>
        <v>29482.44</v>
      </c>
    </row>
    <row r="433" spans="1:17" ht="12.75">
      <c r="A433" s="8" t="s">
        <v>181</v>
      </c>
      <c r="B433" s="63"/>
      <c r="C433" s="113">
        <f aca="true" t="shared" si="137" ref="C433:Q433">C434+C448</f>
        <v>101456.4</v>
      </c>
      <c r="D433" s="74">
        <f t="shared" si="137"/>
        <v>81260.92</v>
      </c>
      <c r="E433" s="167">
        <f t="shared" si="137"/>
        <v>3100</v>
      </c>
      <c r="F433" s="179">
        <f t="shared" si="137"/>
        <v>185817.32</v>
      </c>
      <c r="G433" s="210">
        <f t="shared" si="137"/>
        <v>33518</v>
      </c>
      <c r="H433" s="234">
        <f t="shared" si="137"/>
        <v>0</v>
      </c>
      <c r="I433" s="182">
        <f t="shared" si="137"/>
        <v>219335.32</v>
      </c>
      <c r="J433" s="182">
        <f t="shared" si="137"/>
        <v>9546.029999999999</v>
      </c>
      <c r="K433" s="275">
        <f t="shared" si="137"/>
        <v>1249.9999999999998</v>
      </c>
      <c r="L433" s="182">
        <f t="shared" si="137"/>
        <v>230131.34999999998</v>
      </c>
      <c r="M433" s="210">
        <f t="shared" si="137"/>
        <v>1571.1799999999998</v>
      </c>
      <c r="N433" s="291">
        <f t="shared" si="137"/>
        <v>0</v>
      </c>
      <c r="O433" s="234">
        <f t="shared" si="137"/>
        <v>231702.53</v>
      </c>
      <c r="P433" s="98">
        <f t="shared" si="137"/>
        <v>0</v>
      </c>
      <c r="Q433" s="73">
        <f t="shared" si="137"/>
        <v>0</v>
      </c>
    </row>
    <row r="434" spans="1:17" ht="12.75">
      <c r="A434" s="17" t="s">
        <v>54</v>
      </c>
      <c r="B434" s="63"/>
      <c r="C434" s="131">
        <f>SUM(C436:C447)</f>
        <v>66631.4</v>
      </c>
      <c r="D434" s="82">
        <f>SUM(D436:D447)</f>
        <v>24807.72</v>
      </c>
      <c r="E434" s="171">
        <f>SUM(E435:E447)</f>
        <v>-250</v>
      </c>
      <c r="F434" s="201">
        <f>SUM(F436:F447)</f>
        <v>91189.12</v>
      </c>
      <c r="G434" s="215">
        <f aca="true" t="shared" si="138" ref="G434:Q434">SUM(G435:G447)</f>
        <v>1981.5</v>
      </c>
      <c r="H434" s="239">
        <f t="shared" si="138"/>
        <v>0</v>
      </c>
      <c r="I434" s="185">
        <f t="shared" si="138"/>
        <v>93170.62</v>
      </c>
      <c r="J434" s="185">
        <f t="shared" si="138"/>
        <v>6530.03</v>
      </c>
      <c r="K434" s="280">
        <f t="shared" si="138"/>
        <v>-1473.2</v>
      </c>
      <c r="L434" s="185">
        <f t="shared" si="138"/>
        <v>98227.45</v>
      </c>
      <c r="M434" s="215">
        <f t="shared" si="138"/>
        <v>465.13999999999993</v>
      </c>
      <c r="N434" s="296">
        <f t="shared" si="138"/>
        <v>0</v>
      </c>
      <c r="O434" s="239">
        <f t="shared" si="138"/>
        <v>98692.59</v>
      </c>
      <c r="P434" s="123">
        <f t="shared" si="138"/>
        <v>0</v>
      </c>
      <c r="Q434" s="81">
        <f t="shared" si="138"/>
        <v>0</v>
      </c>
    </row>
    <row r="435" spans="1:17" ht="12.75">
      <c r="A435" s="13" t="s">
        <v>27</v>
      </c>
      <c r="B435" s="59"/>
      <c r="C435" s="106"/>
      <c r="D435" s="75"/>
      <c r="E435" s="168"/>
      <c r="F435" s="198"/>
      <c r="G435" s="211"/>
      <c r="H435" s="235"/>
      <c r="I435" s="181"/>
      <c r="J435" s="181"/>
      <c r="K435" s="276"/>
      <c r="L435" s="181"/>
      <c r="M435" s="211"/>
      <c r="N435" s="292"/>
      <c r="O435" s="235"/>
      <c r="P435" s="112"/>
      <c r="Q435" s="46"/>
    </row>
    <row r="436" spans="1:17" ht="12.75">
      <c r="A436" s="11" t="s">
        <v>292</v>
      </c>
      <c r="B436" s="59">
        <v>1202</v>
      </c>
      <c r="C436" s="106">
        <v>4025</v>
      </c>
      <c r="D436" s="75">
        <f>485.09-205</f>
        <v>280.09</v>
      </c>
      <c r="E436" s="168"/>
      <c r="F436" s="198">
        <f aca="true" t="shared" si="139" ref="F436:F447">C436+D436+E436</f>
        <v>4305.09</v>
      </c>
      <c r="G436" s="211">
        <f>4.15</f>
        <v>4.15</v>
      </c>
      <c r="H436" s="235"/>
      <c r="I436" s="181">
        <f>F436+G436+H436</f>
        <v>4309.24</v>
      </c>
      <c r="J436" s="181"/>
      <c r="K436" s="276"/>
      <c r="L436" s="181">
        <f>I436+J436+K436</f>
        <v>4309.24</v>
      </c>
      <c r="M436" s="211">
        <f>68.39</f>
        <v>68.39</v>
      </c>
      <c r="N436" s="292"/>
      <c r="O436" s="235">
        <f>L436+M436+N436</f>
        <v>4377.63</v>
      </c>
      <c r="P436" s="112"/>
      <c r="Q436" s="46"/>
    </row>
    <row r="437" spans="1:17" ht="12.75">
      <c r="A437" s="11" t="s">
        <v>209</v>
      </c>
      <c r="B437" s="59">
        <v>1208</v>
      </c>
      <c r="C437" s="106">
        <v>2500</v>
      </c>
      <c r="D437" s="75">
        <f>18</f>
        <v>18</v>
      </c>
      <c r="E437" s="168"/>
      <c r="F437" s="198">
        <f t="shared" si="139"/>
        <v>2518</v>
      </c>
      <c r="G437" s="211"/>
      <c r="H437" s="235"/>
      <c r="I437" s="181">
        <f aca="true" t="shared" si="140" ref="I437:I447">F437+G437+H437</f>
        <v>2518</v>
      </c>
      <c r="J437" s="181"/>
      <c r="K437" s="276"/>
      <c r="L437" s="181">
        <f aca="true" t="shared" si="141" ref="L437:L447">I437+J437+K437</f>
        <v>2518</v>
      </c>
      <c r="M437" s="211"/>
      <c r="N437" s="292"/>
      <c r="O437" s="235">
        <f aca="true" t="shared" si="142" ref="O437:O447">L437+M437+N437</f>
        <v>2518</v>
      </c>
      <c r="P437" s="112"/>
      <c r="Q437" s="46"/>
    </row>
    <row r="438" spans="1:17" ht="12.75">
      <c r="A438" s="11" t="s">
        <v>210</v>
      </c>
      <c r="B438" s="59">
        <v>1207</v>
      </c>
      <c r="C438" s="106">
        <v>5420</v>
      </c>
      <c r="D438" s="75">
        <f>250.66</f>
        <v>250.66</v>
      </c>
      <c r="E438" s="168"/>
      <c r="F438" s="198">
        <f t="shared" si="139"/>
        <v>5670.66</v>
      </c>
      <c r="G438" s="211">
        <f>2287.4</f>
        <v>2287.4</v>
      </c>
      <c r="H438" s="235"/>
      <c r="I438" s="181">
        <f t="shared" si="140"/>
        <v>7958.0599999999995</v>
      </c>
      <c r="J438" s="181"/>
      <c r="K438" s="276"/>
      <c r="L438" s="181">
        <f t="shared" si="141"/>
        <v>7958.0599999999995</v>
      </c>
      <c r="M438" s="211">
        <f>36</f>
        <v>36</v>
      </c>
      <c r="N438" s="292"/>
      <c r="O438" s="235">
        <f t="shared" si="142"/>
        <v>7994.0599999999995</v>
      </c>
      <c r="P438" s="112"/>
      <c r="Q438" s="46"/>
    </row>
    <row r="439" spans="1:17" ht="12.75">
      <c r="A439" s="11" t="s">
        <v>240</v>
      </c>
      <c r="B439" s="59">
        <v>1209</v>
      </c>
      <c r="C439" s="106">
        <v>2860</v>
      </c>
      <c r="D439" s="75">
        <f>65.68</f>
        <v>65.68</v>
      </c>
      <c r="E439" s="168"/>
      <c r="F439" s="198">
        <f t="shared" si="139"/>
        <v>2925.68</v>
      </c>
      <c r="G439" s="211"/>
      <c r="H439" s="235"/>
      <c r="I439" s="181">
        <f t="shared" si="140"/>
        <v>2925.68</v>
      </c>
      <c r="J439" s="181"/>
      <c r="K439" s="276"/>
      <c r="L439" s="181">
        <f t="shared" si="141"/>
        <v>2925.68</v>
      </c>
      <c r="M439" s="211"/>
      <c r="N439" s="292"/>
      <c r="O439" s="235">
        <f t="shared" si="142"/>
        <v>2925.68</v>
      </c>
      <c r="P439" s="112"/>
      <c r="Q439" s="46"/>
    </row>
    <row r="440" spans="1:17" ht="12.75">
      <c r="A440" s="11" t="s">
        <v>211</v>
      </c>
      <c r="B440" s="59">
        <v>1211</v>
      </c>
      <c r="C440" s="106">
        <v>4779</v>
      </c>
      <c r="D440" s="86">
        <f>88.16</f>
        <v>88.16</v>
      </c>
      <c r="E440" s="173"/>
      <c r="F440" s="198">
        <f t="shared" si="139"/>
        <v>4867.16</v>
      </c>
      <c r="G440" s="211"/>
      <c r="H440" s="235"/>
      <c r="I440" s="181">
        <f t="shared" si="140"/>
        <v>4867.16</v>
      </c>
      <c r="J440" s="181"/>
      <c r="K440" s="276"/>
      <c r="L440" s="181">
        <f t="shared" si="141"/>
        <v>4867.16</v>
      </c>
      <c r="M440" s="211">
        <f>141.49</f>
        <v>141.49</v>
      </c>
      <c r="N440" s="292"/>
      <c r="O440" s="235">
        <f t="shared" si="142"/>
        <v>5008.65</v>
      </c>
      <c r="P440" s="112"/>
      <c r="Q440" s="46"/>
    </row>
    <row r="441" spans="1:17" ht="12.75">
      <c r="A441" s="11" t="s">
        <v>272</v>
      </c>
      <c r="B441" s="59">
        <v>1214</v>
      </c>
      <c r="C441" s="106">
        <v>1409</v>
      </c>
      <c r="D441" s="86">
        <f>21+185</f>
        <v>206</v>
      </c>
      <c r="E441" s="168"/>
      <c r="F441" s="198">
        <f t="shared" si="139"/>
        <v>1615</v>
      </c>
      <c r="G441" s="211"/>
      <c r="H441" s="235"/>
      <c r="I441" s="181">
        <f t="shared" si="140"/>
        <v>1615</v>
      </c>
      <c r="J441" s="181"/>
      <c r="K441" s="276"/>
      <c r="L441" s="181">
        <f t="shared" si="141"/>
        <v>1615</v>
      </c>
      <c r="M441" s="211">
        <f>9.87</f>
        <v>9.87</v>
      </c>
      <c r="N441" s="292"/>
      <c r="O441" s="235">
        <f t="shared" si="142"/>
        <v>1624.87</v>
      </c>
      <c r="P441" s="112"/>
      <c r="Q441" s="46"/>
    </row>
    <row r="442" spans="1:17" ht="12.75">
      <c r="A442" s="11" t="s">
        <v>273</v>
      </c>
      <c r="B442" s="59">
        <v>1213</v>
      </c>
      <c r="C442" s="106">
        <v>641</v>
      </c>
      <c r="D442" s="86">
        <f>500+38.27</f>
        <v>538.27</v>
      </c>
      <c r="E442" s="168"/>
      <c r="F442" s="198">
        <f t="shared" si="139"/>
        <v>1179.27</v>
      </c>
      <c r="G442" s="211"/>
      <c r="H442" s="235"/>
      <c r="I442" s="181">
        <f t="shared" si="140"/>
        <v>1179.27</v>
      </c>
      <c r="J442" s="181"/>
      <c r="K442" s="276"/>
      <c r="L442" s="181">
        <f t="shared" si="141"/>
        <v>1179.27</v>
      </c>
      <c r="M442" s="211">
        <f>7.12</f>
        <v>7.12</v>
      </c>
      <c r="N442" s="292"/>
      <c r="O442" s="235">
        <f t="shared" si="142"/>
        <v>1186.3899999999999</v>
      </c>
      <c r="P442" s="112"/>
      <c r="Q442" s="46"/>
    </row>
    <row r="443" spans="1:17" ht="12.75">
      <c r="A443" s="11" t="s">
        <v>289</v>
      </c>
      <c r="B443" s="59">
        <v>1216</v>
      </c>
      <c r="C443" s="106">
        <v>11190</v>
      </c>
      <c r="D443" s="75">
        <f>822.07+1000</f>
        <v>1822.0700000000002</v>
      </c>
      <c r="E443" s="168"/>
      <c r="F443" s="198">
        <f t="shared" si="139"/>
        <v>13012.07</v>
      </c>
      <c r="G443" s="211">
        <f>2</f>
        <v>2</v>
      </c>
      <c r="H443" s="235"/>
      <c r="I443" s="181">
        <f t="shared" si="140"/>
        <v>13014.07</v>
      </c>
      <c r="J443" s="181"/>
      <c r="K443" s="276"/>
      <c r="L443" s="181">
        <f t="shared" si="141"/>
        <v>13014.07</v>
      </c>
      <c r="M443" s="211"/>
      <c r="N443" s="292"/>
      <c r="O443" s="235">
        <f t="shared" si="142"/>
        <v>13014.07</v>
      </c>
      <c r="P443" s="112"/>
      <c r="Q443" s="46"/>
    </row>
    <row r="444" spans="1:17" ht="12.75">
      <c r="A444" s="11" t="s">
        <v>212</v>
      </c>
      <c r="B444" s="59">
        <v>1239</v>
      </c>
      <c r="C444" s="106">
        <v>5269.7</v>
      </c>
      <c r="D444" s="75">
        <f>2709.79</f>
        <v>2709.79</v>
      </c>
      <c r="E444" s="168"/>
      <c r="F444" s="198">
        <f t="shared" si="139"/>
        <v>7979.49</v>
      </c>
      <c r="G444" s="211">
        <f>-4431.9+2.45</f>
        <v>-4429.45</v>
      </c>
      <c r="H444" s="235"/>
      <c r="I444" s="181">
        <f t="shared" si="140"/>
        <v>3550.04</v>
      </c>
      <c r="J444" s="181"/>
      <c r="K444" s="276"/>
      <c r="L444" s="181">
        <f t="shared" si="141"/>
        <v>3550.04</v>
      </c>
      <c r="M444" s="211">
        <f>81.45</f>
        <v>81.45</v>
      </c>
      <c r="N444" s="292"/>
      <c r="O444" s="235">
        <f t="shared" si="142"/>
        <v>3631.49</v>
      </c>
      <c r="P444" s="112"/>
      <c r="Q444" s="46"/>
    </row>
    <row r="445" spans="1:17" ht="12.75">
      <c r="A445" s="11" t="s">
        <v>232</v>
      </c>
      <c r="B445" s="59">
        <v>1300</v>
      </c>
      <c r="C445" s="106">
        <v>14025.7</v>
      </c>
      <c r="D445" s="75">
        <f>3710.03+15034</f>
        <v>18744.03</v>
      </c>
      <c r="E445" s="168">
        <v>-250</v>
      </c>
      <c r="F445" s="198">
        <f t="shared" si="139"/>
        <v>32519.729999999996</v>
      </c>
      <c r="G445" s="219">
        <f>4984.4</f>
        <v>4984.4</v>
      </c>
      <c r="H445" s="235"/>
      <c r="I445" s="181">
        <f t="shared" si="140"/>
        <v>37504.13</v>
      </c>
      <c r="J445" s="181">
        <f>-60+2000+4590.03</f>
        <v>6530.03</v>
      </c>
      <c r="K445" s="276"/>
      <c r="L445" s="181">
        <f t="shared" si="141"/>
        <v>44034.159999999996</v>
      </c>
      <c r="M445" s="211">
        <f>-688.7+750+20</f>
        <v>81.29999999999995</v>
      </c>
      <c r="N445" s="292"/>
      <c r="O445" s="235">
        <f t="shared" si="142"/>
        <v>44115.46</v>
      </c>
      <c r="P445" s="112"/>
      <c r="Q445" s="46"/>
    </row>
    <row r="446" spans="1:17" ht="12.75">
      <c r="A446" s="11" t="s">
        <v>213</v>
      </c>
      <c r="B446" s="59">
        <v>1110</v>
      </c>
      <c r="C446" s="106">
        <v>14500</v>
      </c>
      <c r="D446" s="75"/>
      <c r="E446" s="168"/>
      <c r="F446" s="198">
        <f t="shared" si="139"/>
        <v>14500</v>
      </c>
      <c r="G446" s="211">
        <f>-873+6</f>
        <v>-867</v>
      </c>
      <c r="H446" s="235"/>
      <c r="I446" s="181">
        <f t="shared" si="140"/>
        <v>13633</v>
      </c>
      <c r="J446" s="181"/>
      <c r="K446" s="276">
        <f>-750-723.2</f>
        <v>-1473.2</v>
      </c>
      <c r="L446" s="181">
        <f t="shared" si="141"/>
        <v>12159.8</v>
      </c>
      <c r="M446" s="211">
        <f>39.52</f>
        <v>39.52</v>
      </c>
      <c r="N446" s="292"/>
      <c r="O446" s="235">
        <f t="shared" si="142"/>
        <v>12199.32</v>
      </c>
      <c r="P446" s="112"/>
      <c r="Q446" s="46"/>
    </row>
    <row r="447" spans="1:17" ht="12.75">
      <c r="A447" s="11" t="s">
        <v>290</v>
      </c>
      <c r="B447" s="59"/>
      <c r="C447" s="106">
        <v>12</v>
      </c>
      <c r="D447" s="75">
        <f>84.97</f>
        <v>84.97</v>
      </c>
      <c r="E447" s="168"/>
      <c r="F447" s="198">
        <f t="shared" si="139"/>
        <v>96.97</v>
      </c>
      <c r="G447" s="211"/>
      <c r="H447" s="235"/>
      <c r="I447" s="181">
        <f t="shared" si="140"/>
        <v>96.97</v>
      </c>
      <c r="J447" s="181"/>
      <c r="K447" s="276"/>
      <c r="L447" s="181">
        <f t="shared" si="141"/>
        <v>96.97</v>
      </c>
      <c r="M447" s="211"/>
      <c r="N447" s="292"/>
      <c r="O447" s="235">
        <f t="shared" si="142"/>
        <v>96.97</v>
      </c>
      <c r="P447" s="112"/>
      <c r="Q447" s="46"/>
    </row>
    <row r="448" spans="1:17" ht="12.75">
      <c r="A448" s="17" t="s">
        <v>59</v>
      </c>
      <c r="B448" s="63"/>
      <c r="C448" s="131">
        <f>SUM(C450:C455)</f>
        <v>34825</v>
      </c>
      <c r="D448" s="82">
        <f aca="true" t="shared" si="143" ref="D448:Q448">SUM(D450:D455)</f>
        <v>56453.2</v>
      </c>
      <c r="E448" s="171">
        <f t="shared" si="143"/>
        <v>3350</v>
      </c>
      <c r="F448" s="201">
        <f t="shared" si="143"/>
        <v>94628.20000000001</v>
      </c>
      <c r="G448" s="215">
        <f t="shared" si="143"/>
        <v>31536.5</v>
      </c>
      <c r="H448" s="239">
        <f t="shared" si="143"/>
        <v>0</v>
      </c>
      <c r="I448" s="185">
        <f t="shared" si="143"/>
        <v>126164.7</v>
      </c>
      <c r="J448" s="185">
        <f t="shared" si="143"/>
        <v>3016</v>
      </c>
      <c r="K448" s="280">
        <f t="shared" si="143"/>
        <v>2723.2</v>
      </c>
      <c r="L448" s="185">
        <f t="shared" si="143"/>
        <v>131903.9</v>
      </c>
      <c r="M448" s="215">
        <f t="shared" si="143"/>
        <v>1106.04</v>
      </c>
      <c r="N448" s="296">
        <f t="shared" si="143"/>
        <v>0</v>
      </c>
      <c r="O448" s="239">
        <f t="shared" si="143"/>
        <v>133009.94</v>
      </c>
      <c r="P448" s="123">
        <f t="shared" si="143"/>
        <v>0</v>
      </c>
      <c r="Q448" s="81">
        <f t="shared" si="143"/>
        <v>0</v>
      </c>
    </row>
    <row r="449" spans="1:17" ht="12.75">
      <c r="A449" s="13" t="s">
        <v>27</v>
      </c>
      <c r="B449" s="59"/>
      <c r="C449" s="106"/>
      <c r="D449" s="75"/>
      <c r="E449" s="168"/>
      <c r="F449" s="198"/>
      <c r="G449" s="211"/>
      <c r="H449" s="235"/>
      <c r="I449" s="181"/>
      <c r="J449" s="181"/>
      <c r="K449" s="276"/>
      <c r="L449" s="181"/>
      <c r="M449" s="211"/>
      <c r="N449" s="292"/>
      <c r="O449" s="235"/>
      <c r="P449" s="112"/>
      <c r="Q449" s="46"/>
    </row>
    <row r="450" spans="1:17" ht="12.75">
      <c r="A450" s="15" t="s">
        <v>224</v>
      </c>
      <c r="B450" s="59">
        <v>1239</v>
      </c>
      <c r="C450" s="106"/>
      <c r="D450" s="75">
        <f>1914+28000</f>
        <v>29914</v>
      </c>
      <c r="E450" s="168"/>
      <c r="F450" s="198">
        <f aca="true" t="shared" si="144" ref="F450:F455">C450+D450+E450</f>
        <v>29914</v>
      </c>
      <c r="G450" s="211">
        <f>4431.9+3000</f>
        <v>7431.9</v>
      </c>
      <c r="H450" s="235"/>
      <c r="I450" s="181">
        <f aca="true" t="shared" si="145" ref="I450:I455">F450+G450+H450</f>
        <v>37345.9</v>
      </c>
      <c r="J450" s="181"/>
      <c r="K450" s="276"/>
      <c r="L450" s="181">
        <f aca="true" t="shared" si="146" ref="L450:L455">I450+J450+K450</f>
        <v>37345.9</v>
      </c>
      <c r="M450" s="211">
        <f>250.77</f>
        <v>250.77</v>
      </c>
      <c r="N450" s="292"/>
      <c r="O450" s="235">
        <f aca="true" t="shared" si="147" ref="O450:O455">L450+M450+N450</f>
        <v>37596.67</v>
      </c>
      <c r="P450" s="112"/>
      <c r="Q450" s="46"/>
    </row>
    <row r="451" spans="1:17" ht="12.75" hidden="1">
      <c r="A451" s="15" t="s">
        <v>121</v>
      </c>
      <c r="B451" s="59">
        <v>1214</v>
      </c>
      <c r="C451" s="106"/>
      <c r="D451" s="75"/>
      <c r="E451" s="168"/>
      <c r="F451" s="198">
        <f t="shared" si="144"/>
        <v>0</v>
      </c>
      <c r="G451" s="211"/>
      <c r="H451" s="235"/>
      <c r="I451" s="181">
        <f t="shared" si="145"/>
        <v>0</v>
      </c>
      <c r="J451" s="181"/>
      <c r="K451" s="276"/>
      <c r="L451" s="181">
        <f t="shared" si="146"/>
        <v>0</v>
      </c>
      <c r="M451" s="211"/>
      <c r="N451" s="292"/>
      <c r="O451" s="235">
        <f t="shared" si="147"/>
        <v>0</v>
      </c>
      <c r="P451" s="112"/>
      <c r="Q451" s="46"/>
    </row>
    <row r="452" spans="1:17" ht="12.75">
      <c r="A452" s="15" t="s">
        <v>291</v>
      </c>
      <c r="B452" s="59">
        <v>1209</v>
      </c>
      <c r="C452" s="106">
        <v>600</v>
      </c>
      <c r="D452" s="75"/>
      <c r="E452" s="168"/>
      <c r="F452" s="198">
        <f t="shared" si="144"/>
        <v>600</v>
      </c>
      <c r="G452" s="211"/>
      <c r="H452" s="235"/>
      <c r="I452" s="181">
        <f t="shared" si="145"/>
        <v>600</v>
      </c>
      <c r="J452" s="181"/>
      <c r="K452" s="276"/>
      <c r="L452" s="181">
        <f t="shared" si="146"/>
        <v>600</v>
      </c>
      <c r="M452" s="211"/>
      <c r="N452" s="292"/>
      <c r="O452" s="235">
        <f t="shared" si="147"/>
        <v>600</v>
      </c>
      <c r="P452" s="112"/>
      <c r="Q452" s="46"/>
    </row>
    <row r="453" spans="1:17" ht="12.75">
      <c r="A453" s="15" t="s">
        <v>176</v>
      </c>
      <c r="B453" s="59">
        <v>1202</v>
      </c>
      <c r="C453" s="106"/>
      <c r="D453" s="75">
        <f>205</f>
        <v>205</v>
      </c>
      <c r="E453" s="168"/>
      <c r="F453" s="198">
        <f t="shared" si="144"/>
        <v>205</v>
      </c>
      <c r="G453" s="211"/>
      <c r="H453" s="235"/>
      <c r="I453" s="181">
        <f t="shared" si="145"/>
        <v>205</v>
      </c>
      <c r="J453" s="181"/>
      <c r="K453" s="276"/>
      <c r="L453" s="181">
        <f t="shared" si="146"/>
        <v>205</v>
      </c>
      <c r="M453" s="211">
        <f>43.57</f>
        <v>43.57</v>
      </c>
      <c r="N453" s="292"/>
      <c r="O453" s="235">
        <f t="shared" si="147"/>
        <v>248.57</v>
      </c>
      <c r="P453" s="112"/>
      <c r="Q453" s="46"/>
    </row>
    <row r="454" spans="1:17" ht="12.75">
      <c r="A454" s="15" t="s">
        <v>238</v>
      </c>
      <c r="B454" s="59">
        <v>1300</v>
      </c>
      <c r="C454" s="106">
        <v>4225</v>
      </c>
      <c r="D454" s="75">
        <f>1000+8748.4</f>
        <v>9748.4</v>
      </c>
      <c r="E454" s="168">
        <v>3350</v>
      </c>
      <c r="F454" s="198">
        <f t="shared" si="144"/>
        <v>17323.4</v>
      </c>
      <c r="G454" s="219">
        <f>1000+22231.6</f>
        <v>23231.6</v>
      </c>
      <c r="H454" s="235"/>
      <c r="I454" s="181">
        <f t="shared" si="145"/>
        <v>40555</v>
      </c>
      <c r="J454" s="181">
        <f>3016</f>
        <v>3016</v>
      </c>
      <c r="K454" s="276">
        <f>2000</f>
        <v>2000</v>
      </c>
      <c r="L454" s="181">
        <f t="shared" si="146"/>
        <v>45571</v>
      </c>
      <c r="M454" s="211">
        <f>688.7+123</f>
        <v>811.7</v>
      </c>
      <c r="N454" s="292"/>
      <c r="O454" s="235">
        <f t="shared" si="147"/>
        <v>46382.7</v>
      </c>
      <c r="P454" s="112"/>
      <c r="Q454" s="46"/>
    </row>
    <row r="455" spans="1:17" ht="12.75">
      <c r="A455" s="22" t="s">
        <v>90</v>
      </c>
      <c r="B455" s="62">
        <v>1110</v>
      </c>
      <c r="C455" s="132">
        <v>30000</v>
      </c>
      <c r="D455" s="83">
        <f>16585.8</f>
        <v>16585.8</v>
      </c>
      <c r="E455" s="192"/>
      <c r="F455" s="203">
        <f t="shared" si="144"/>
        <v>46585.8</v>
      </c>
      <c r="G455" s="217">
        <f>873</f>
        <v>873</v>
      </c>
      <c r="H455" s="233"/>
      <c r="I455" s="187">
        <f t="shared" si="145"/>
        <v>47458.8</v>
      </c>
      <c r="J455" s="187"/>
      <c r="K455" s="282">
        <f>723.2</f>
        <v>723.2</v>
      </c>
      <c r="L455" s="187">
        <f t="shared" si="146"/>
        <v>48182</v>
      </c>
      <c r="M455" s="217"/>
      <c r="N455" s="298"/>
      <c r="O455" s="233">
        <f t="shared" si="147"/>
        <v>48182</v>
      </c>
      <c r="P455" s="112"/>
      <c r="Q455" s="46"/>
    </row>
    <row r="456" spans="1:17" ht="12.75">
      <c r="A456" s="8" t="s">
        <v>154</v>
      </c>
      <c r="B456" s="63"/>
      <c r="C456" s="113">
        <f aca="true" t="shared" si="148" ref="C456:Q456">C457</f>
        <v>1</v>
      </c>
      <c r="D456" s="74">
        <f t="shared" si="148"/>
        <v>7280.35</v>
      </c>
      <c r="E456" s="167">
        <f t="shared" si="148"/>
        <v>0</v>
      </c>
      <c r="F456" s="179">
        <f t="shared" si="148"/>
        <v>7281.35</v>
      </c>
      <c r="G456" s="210">
        <f t="shared" si="148"/>
        <v>0</v>
      </c>
      <c r="H456" s="234">
        <f t="shared" si="148"/>
        <v>0</v>
      </c>
      <c r="I456" s="182">
        <f t="shared" si="148"/>
        <v>7281.35</v>
      </c>
      <c r="J456" s="182">
        <f t="shared" si="148"/>
        <v>-2000</v>
      </c>
      <c r="K456" s="275">
        <f t="shared" si="148"/>
        <v>0</v>
      </c>
      <c r="L456" s="182">
        <f t="shared" si="148"/>
        <v>5281.35</v>
      </c>
      <c r="M456" s="210">
        <f t="shared" si="148"/>
        <v>0</v>
      </c>
      <c r="N456" s="291">
        <f t="shared" si="148"/>
        <v>0</v>
      </c>
      <c r="O456" s="234">
        <f t="shared" si="148"/>
        <v>5281.35</v>
      </c>
      <c r="P456" s="98">
        <f t="shared" si="148"/>
        <v>0</v>
      </c>
      <c r="Q456" s="73">
        <f t="shared" si="148"/>
        <v>5281.35</v>
      </c>
    </row>
    <row r="457" spans="1:17" ht="12.75">
      <c r="A457" s="17" t="s">
        <v>54</v>
      </c>
      <c r="B457" s="63"/>
      <c r="C457" s="131">
        <f>C459</f>
        <v>1</v>
      </c>
      <c r="D457" s="82">
        <f aca="true" t="shared" si="149" ref="D457:Q457">D459</f>
        <v>7280.35</v>
      </c>
      <c r="E457" s="171">
        <f t="shared" si="149"/>
        <v>0</v>
      </c>
      <c r="F457" s="201">
        <f t="shared" si="149"/>
        <v>7281.35</v>
      </c>
      <c r="G457" s="215">
        <f t="shared" si="149"/>
        <v>0</v>
      </c>
      <c r="H457" s="239">
        <f t="shared" si="149"/>
        <v>0</v>
      </c>
      <c r="I457" s="185">
        <f t="shared" si="149"/>
        <v>7281.35</v>
      </c>
      <c r="J457" s="185">
        <f t="shared" si="149"/>
        <v>-2000</v>
      </c>
      <c r="K457" s="280">
        <f t="shared" si="149"/>
        <v>0</v>
      </c>
      <c r="L457" s="185">
        <f t="shared" si="149"/>
        <v>5281.35</v>
      </c>
      <c r="M457" s="215">
        <f t="shared" si="149"/>
        <v>0</v>
      </c>
      <c r="N457" s="296">
        <f t="shared" si="149"/>
        <v>0</v>
      </c>
      <c r="O457" s="239">
        <f t="shared" si="149"/>
        <v>5281.35</v>
      </c>
      <c r="P457" s="123">
        <f t="shared" si="149"/>
        <v>0</v>
      </c>
      <c r="Q457" s="81">
        <f t="shared" si="149"/>
        <v>5281.35</v>
      </c>
    </row>
    <row r="458" spans="1:17" ht="12.75">
      <c r="A458" s="13" t="s">
        <v>27</v>
      </c>
      <c r="B458" s="59"/>
      <c r="C458" s="106"/>
      <c r="D458" s="75"/>
      <c r="E458" s="168"/>
      <c r="F458" s="198"/>
      <c r="G458" s="211"/>
      <c r="H458" s="235"/>
      <c r="I458" s="181"/>
      <c r="J458" s="181"/>
      <c r="K458" s="276"/>
      <c r="L458" s="181"/>
      <c r="M458" s="211"/>
      <c r="N458" s="292"/>
      <c r="O458" s="235"/>
      <c r="P458" s="112"/>
      <c r="Q458" s="46"/>
    </row>
    <row r="459" spans="1:17" ht="12.75">
      <c r="A459" s="14" t="s">
        <v>56</v>
      </c>
      <c r="B459" s="62"/>
      <c r="C459" s="132">
        <v>1</v>
      </c>
      <c r="D459" s="83">
        <v>7280.35</v>
      </c>
      <c r="E459" s="192"/>
      <c r="F459" s="203">
        <f>C459+D459+E459</f>
        <v>7281.35</v>
      </c>
      <c r="G459" s="217"/>
      <c r="H459" s="233"/>
      <c r="I459" s="187">
        <f>F459+G459+H459</f>
        <v>7281.35</v>
      </c>
      <c r="J459" s="187">
        <f>-2000</f>
        <v>-2000</v>
      </c>
      <c r="K459" s="282"/>
      <c r="L459" s="187">
        <f>I459+J459+K459</f>
        <v>5281.35</v>
      </c>
      <c r="M459" s="217"/>
      <c r="N459" s="298"/>
      <c r="O459" s="233">
        <f>L459+M459+N459</f>
        <v>5281.35</v>
      </c>
      <c r="P459" s="270"/>
      <c r="Q459" s="48">
        <f>O459+P459</f>
        <v>5281.35</v>
      </c>
    </row>
    <row r="460" spans="1:17" ht="12.75">
      <c r="A460" s="8" t="s">
        <v>111</v>
      </c>
      <c r="B460" s="63"/>
      <c r="C460" s="113">
        <f>C462+C463</f>
        <v>500010</v>
      </c>
      <c r="D460" s="74">
        <f aca="true" t="shared" si="150" ref="D460:Q460">D462+D463</f>
        <v>417149.95</v>
      </c>
      <c r="E460" s="167">
        <f t="shared" si="150"/>
        <v>78219.54</v>
      </c>
      <c r="F460" s="179">
        <f t="shared" si="150"/>
        <v>995379.49</v>
      </c>
      <c r="G460" s="210">
        <f t="shared" si="150"/>
        <v>1241.0799999999995</v>
      </c>
      <c r="H460" s="234">
        <f t="shared" si="150"/>
        <v>25500</v>
      </c>
      <c r="I460" s="182">
        <f t="shared" si="150"/>
        <v>1022120.5700000001</v>
      </c>
      <c r="J460" s="182">
        <f t="shared" si="150"/>
        <v>-20270.680000000004</v>
      </c>
      <c r="K460" s="275">
        <f t="shared" si="150"/>
        <v>0</v>
      </c>
      <c r="L460" s="182">
        <f t="shared" si="150"/>
        <v>1001849.89</v>
      </c>
      <c r="M460" s="210">
        <f t="shared" si="150"/>
        <v>-1258.3499999999985</v>
      </c>
      <c r="N460" s="291">
        <f t="shared" si="150"/>
        <v>0</v>
      </c>
      <c r="O460" s="234">
        <f t="shared" si="150"/>
        <v>1000591.5399999999</v>
      </c>
      <c r="P460" s="98">
        <f t="shared" si="150"/>
        <v>0</v>
      </c>
      <c r="Q460" s="73">
        <f t="shared" si="150"/>
        <v>995751.19</v>
      </c>
    </row>
    <row r="461" spans="1:17" ht="12.75">
      <c r="A461" s="10" t="s">
        <v>27</v>
      </c>
      <c r="B461" s="59"/>
      <c r="C461" s="113"/>
      <c r="D461" s="74"/>
      <c r="E461" s="167"/>
      <c r="F461" s="179"/>
      <c r="G461" s="210"/>
      <c r="H461" s="234"/>
      <c r="I461" s="182"/>
      <c r="J461" s="182"/>
      <c r="K461" s="275"/>
      <c r="L461" s="182"/>
      <c r="M461" s="210"/>
      <c r="N461" s="291"/>
      <c r="O461" s="234"/>
      <c r="P461" s="98"/>
      <c r="Q461" s="73"/>
    </row>
    <row r="462" spans="1:17" ht="12.75">
      <c r="A462" s="8" t="s">
        <v>54</v>
      </c>
      <c r="B462" s="63"/>
      <c r="C462" s="100">
        <f>C477+C479+C491+C493+C498+C503+C494+C484+C505+C486+C509</f>
        <v>193060</v>
      </c>
      <c r="D462" s="78">
        <f aca="true" t="shared" si="151" ref="D462:Q462">D477+D479+D491+D493+D498+D503+D494+D484+D505+D486+D509</f>
        <v>6865.51</v>
      </c>
      <c r="E462" s="169">
        <f t="shared" si="151"/>
        <v>1160</v>
      </c>
      <c r="F462" s="199">
        <f t="shared" si="151"/>
        <v>201085.51</v>
      </c>
      <c r="G462" s="213">
        <f t="shared" si="151"/>
        <v>3615</v>
      </c>
      <c r="H462" s="237">
        <f t="shared" si="151"/>
        <v>0</v>
      </c>
      <c r="I462" s="183">
        <f t="shared" si="151"/>
        <v>204700.51</v>
      </c>
      <c r="J462" s="183">
        <f t="shared" si="151"/>
        <v>-27493.230000000003</v>
      </c>
      <c r="K462" s="278">
        <f t="shared" si="151"/>
        <v>0</v>
      </c>
      <c r="L462" s="183">
        <f t="shared" si="151"/>
        <v>177207.28000000003</v>
      </c>
      <c r="M462" s="213">
        <f t="shared" si="151"/>
        <v>-5230.939999999999</v>
      </c>
      <c r="N462" s="294">
        <f t="shared" si="151"/>
        <v>0</v>
      </c>
      <c r="O462" s="237">
        <f t="shared" si="151"/>
        <v>171976.34</v>
      </c>
      <c r="P462" s="121">
        <f t="shared" si="151"/>
        <v>0</v>
      </c>
      <c r="Q462" s="77">
        <f t="shared" si="151"/>
        <v>167235.99</v>
      </c>
    </row>
    <row r="463" spans="1:17" ht="12.75">
      <c r="A463" s="8" t="s">
        <v>59</v>
      </c>
      <c r="B463" s="63"/>
      <c r="C463" s="100">
        <f>C466+C467+C469+C470+C472+C474+C475+C476+C480+C481+C483+C485+C487+C489+C490+C492+C495+C497+C499+C500+C502+C504+C506+C508</f>
        <v>306950</v>
      </c>
      <c r="D463" s="78">
        <f aca="true" t="shared" si="152" ref="D463:Q463">D466+D467+D469+D470+D472+D474+D475+D476+D480+D481+D483+D485+D487+D489+D490+D492+D495+D497+D499+D500+D502+D504+D506+D508</f>
        <v>410284.44</v>
      </c>
      <c r="E463" s="169">
        <f t="shared" si="152"/>
        <v>77059.54</v>
      </c>
      <c r="F463" s="199">
        <f t="shared" si="152"/>
        <v>794293.98</v>
      </c>
      <c r="G463" s="213">
        <f t="shared" si="152"/>
        <v>-2373.9200000000005</v>
      </c>
      <c r="H463" s="237">
        <f t="shared" si="152"/>
        <v>25500</v>
      </c>
      <c r="I463" s="183">
        <f t="shared" si="152"/>
        <v>817420.06</v>
      </c>
      <c r="J463" s="183">
        <f t="shared" si="152"/>
        <v>7222.55</v>
      </c>
      <c r="K463" s="278">
        <f t="shared" si="152"/>
        <v>0</v>
      </c>
      <c r="L463" s="183">
        <f t="shared" si="152"/>
        <v>824642.61</v>
      </c>
      <c r="M463" s="213">
        <f t="shared" si="152"/>
        <v>3972.59</v>
      </c>
      <c r="N463" s="294">
        <f t="shared" si="152"/>
        <v>0</v>
      </c>
      <c r="O463" s="237">
        <f t="shared" si="152"/>
        <v>828615.2</v>
      </c>
      <c r="P463" s="121">
        <f t="shared" si="152"/>
        <v>0</v>
      </c>
      <c r="Q463" s="77">
        <f t="shared" si="152"/>
        <v>828515.2</v>
      </c>
    </row>
    <row r="464" spans="1:17" ht="12.75">
      <c r="A464" s="9" t="s">
        <v>112</v>
      </c>
      <c r="B464" s="59"/>
      <c r="C464" s="113"/>
      <c r="D464" s="74"/>
      <c r="E464" s="167"/>
      <c r="F464" s="179"/>
      <c r="G464" s="210"/>
      <c r="H464" s="234"/>
      <c r="I464" s="182"/>
      <c r="J464" s="182"/>
      <c r="K464" s="275"/>
      <c r="L464" s="182"/>
      <c r="M464" s="210"/>
      <c r="N464" s="291"/>
      <c r="O464" s="234"/>
      <c r="P464" s="112"/>
      <c r="Q464" s="46"/>
    </row>
    <row r="465" spans="1:17" ht="12.75" hidden="1">
      <c r="A465" s="10" t="s">
        <v>113</v>
      </c>
      <c r="B465" s="59">
        <v>18</v>
      </c>
      <c r="C465" s="106">
        <f>C466+C467</f>
        <v>0</v>
      </c>
      <c r="D465" s="75">
        <f aca="true" t="shared" si="153" ref="D465:Q465">D466+D467</f>
        <v>0</v>
      </c>
      <c r="E465" s="168">
        <f t="shared" si="153"/>
        <v>0</v>
      </c>
      <c r="F465" s="198">
        <f t="shared" si="153"/>
        <v>0</v>
      </c>
      <c r="G465" s="211">
        <f t="shared" si="153"/>
        <v>0</v>
      </c>
      <c r="H465" s="235">
        <f t="shared" si="153"/>
        <v>0</v>
      </c>
      <c r="I465" s="181">
        <f t="shared" si="153"/>
        <v>0</v>
      </c>
      <c r="J465" s="181">
        <f t="shared" si="153"/>
        <v>0</v>
      </c>
      <c r="K465" s="276">
        <f t="shared" si="153"/>
        <v>0</v>
      </c>
      <c r="L465" s="181">
        <f t="shared" si="153"/>
        <v>0</v>
      </c>
      <c r="M465" s="211">
        <f t="shared" si="153"/>
        <v>0</v>
      </c>
      <c r="N465" s="292">
        <f t="shared" si="153"/>
        <v>0</v>
      </c>
      <c r="O465" s="235">
        <f t="shared" si="153"/>
        <v>0</v>
      </c>
      <c r="P465" s="120">
        <f t="shared" si="153"/>
        <v>0</v>
      </c>
      <c r="Q465" s="76">
        <f t="shared" si="153"/>
        <v>0</v>
      </c>
    </row>
    <row r="466" spans="1:17" ht="12.75" hidden="1">
      <c r="A466" s="10" t="s">
        <v>114</v>
      </c>
      <c r="B466" s="59"/>
      <c r="C466" s="106"/>
      <c r="D466" s="75">
        <f>1000-1000</f>
        <v>0</v>
      </c>
      <c r="E466" s="168"/>
      <c r="F466" s="198">
        <f aca="true" t="shared" si="154" ref="F466:F512">C466+D466+E466</f>
        <v>0</v>
      </c>
      <c r="G466" s="211"/>
      <c r="H466" s="234"/>
      <c r="I466" s="181">
        <f>F466+G466+H466</f>
        <v>0</v>
      </c>
      <c r="J466" s="181"/>
      <c r="K466" s="275"/>
      <c r="L466" s="181">
        <f>I466+J466+K466</f>
        <v>0</v>
      </c>
      <c r="M466" s="211"/>
      <c r="N466" s="291"/>
      <c r="O466" s="235">
        <f>L466+M466+N466</f>
        <v>0</v>
      </c>
      <c r="P466" s="112"/>
      <c r="Q466" s="46">
        <f>O466+P466</f>
        <v>0</v>
      </c>
    </row>
    <row r="467" spans="1:17" ht="12.75" hidden="1">
      <c r="A467" s="10" t="s">
        <v>115</v>
      </c>
      <c r="B467" s="59"/>
      <c r="C467" s="106"/>
      <c r="D467" s="75"/>
      <c r="E467" s="168"/>
      <c r="F467" s="198">
        <f t="shared" si="154"/>
        <v>0</v>
      </c>
      <c r="G467" s="211"/>
      <c r="H467" s="234"/>
      <c r="I467" s="181">
        <f>F467+G467+H467</f>
        <v>0</v>
      </c>
      <c r="J467" s="181"/>
      <c r="K467" s="275"/>
      <c r="L467" s="181">
        <f>I467+J467+K467</f>
        <v>0</v>
      </c>
      <c r="M467" s="211"/>
      <c r="N467" s="291"/>
      <c r="O467" s="235">
        <f>L467+M467+N467</f>
        <v>0</v>
      </c>
      <c r="P467" s="112"/>
      <c r="Q467" s="46">
        <f>O467+P467</f>
        <v>0</v>
      </c>
    </row>
    <row r="468" spans="1:17" ht="12.75">
      <c r="A468" s="60" t="s">
        <v>293</v>
      </c>
      <c r="B468" s="59">
        <v>19</v>
      </c>
      <c r="C468" s="106">
        <f>C469+C470</f>
        <v>22500</v>
      </c>
      <c r="D468" s="75">
        <f aca="true" t="shared" si="155" ref="D468:Q468">D469+D470</f>
        <v>13458.31</v>
      </c>
      <c r="E468" s="168">
        <f t="shared" si="155"/>
        <v>0</v>
      </c>
      <c r="F468" s="198">
        <f t="shared" si="155"/>
        <v>35958.31</v>
      </c>
      <c r="G468" s="211">
        <f t="shared" si="155"/>
        <v>0</v>
      </c>
      <c r="H468" s="235">
        <f t="shared" si="155"/>
        <v>0</v>
      </c>
      <c r="I468" s="181">
        <f t="shared" si="155"/>
        <v>35958.31</v>
      </c>
      <c r="J468" s="181">
        <f t="shared" si="155"/>
        <v>110.1</v>
      </c>
      <c r="K468" s="276">
        <f t="shared" si="155"/>
        <v>0</v>
      </c>
      <c r="L468" s="181">
        <f t="shared" si="155"/>
        <v>36068.409999999996</v>
      </c>
      <c r="M468" s="211">
        <f t="shared" si="155"/>
        <v>-105</v>
      </c>
      <c r="N468" s="292">
        <f t="shared" si="155"/>
        <v>0</v>
      </c>
      <c r="O468" s="235">
        <f t="shared" si="155"/>
        <v>35963.409999999996</v>
      </c>
      <c r="P468" s="120">
        <f t="shared" si="155"/>
        <v>0</v>
      </c>
      <c r="Q468" s="76">
        <f t="shared" si="155"/>
        <v>35963.409999999996</v>
      </c>
    </row>
    <row r="469" spans="1:17" ht="12.75">
      <c r="A469" s="10" t="s">
        <v>114</v>
      </c>
      <c r="B469" s="59"/>
      <c r="C469" s="106">
        <v>22500</v>
      </c>
      <c r="D469" s="75">
        <f>6018+2750+90+1000+3300</f>
        <v>13158</v>
      </c>
      <c r="E469" s="168"/>
      <c r="F469" s="198">
        <f t="shared" si="154"/>
        <v>35658</v>
      </c>
      <c r="G469" s="211"/>
      <c r="H469" s="234"/>
      <c r="I469" s="181">
        <f>F469+G469+H469</f>
        <v>35658</v>
      </c>
      <c r="J469" s="181">
        <f>110.1</f>
        <v>110.1</v>
      </c>
      <c r="K469" s="275"/>
      <c r="L469" s="181">
        <f>I469+J469+K469</f>
        <v>35768.1</v>
      </c>
      <c r="M469" s="211">
        <f>250-105</f>
        <v>145</v>
      </c>
      <c r="N469" s="291"/>
      <c r="O469" s="235">
        <f>L469+M469+N469</f>
        <v>35913.1</v>
      </c>
      <c r="P469" s="112"/>
      <c r="Q469" s="46">
        <f>O469+P469</f>
        <v>35913.1</v>
      </c>
    </row>
    <row r="470" spans="1:17" ht="12.75">
      <c r="A470" s="10" t="s">
        <v>115</v>
      </c>
      <c r="B470" s="59"/>
      <c r="C470" s="106"/>
      <c r="D470" s="75">
        <f>390.31-90</f>
        <v>300.31</v>
      </c>
      <c r="E470" s="168"/>
      <c r="F470" s="198">
        <f t="shared" si="154"/>
        <v>300.31</v>
      </c>
      <c r="G470" s="211"/>
      <c r="H470" s="234"/>
      <c r="I470" s="181">
        <f>F470+G470+H470</f>
        <v>300.31</v>
      </c>
      <c r="J470" s="181"/>
      <c r="K470" s="275"/>
      <c r="L470" s="181">
        <f>I470+J470+K470</f>
        <v>300.31</v>
      </c>
      <c r="M470" s="211">
        <f>-250</f>
        <v>-250</v>
      </c>
      <c r="N470" s="291"/>
      <c r="O470" s="235">
        <f>L470+M470+N470</f>
        <v>50.31</v>
      </c>
      <c r="P470" s="112"/>
      <c r="Q470" s="46">
        <f>O470+P470</f>
        <v>50.31</v>
      </c>
    </row>
    <row r="471" spans="1:17" ht="12.75" hidden="1">
      <c r="A471" s="11" t="s">
        <v>176</v>
      </c>
      <c r="B471" s="59">
        <v>2</v>
      </c>
      <c r="C471" s="106">
        <f>C472</f>
        <v>0</v>
      </c>
      <c r="D471" s="75">
        <f aca="true" t="shared" si="156" ref="D471:O471">D472</f>
        <v>0</v>
      </c>
      <c r="E471" s="168">
        <f t="shared" si="156"/>
        <v>0</v>
      </c>
      <c r="F471" s="198">
        <f t="shared" si="156"/>
        <v>0</v>
      </c>
      <c r="G471" s="211">
        <f t="shared" si="156"/>
        <v>0</v>
      </c>
      <c r="H471" s="235">
        <f t="shared" si="156"/>
        <v>0</v>
      </c>
      <c r="I471" s="181">
        <f t="shared" si="156"/>
        <v>0</v>
      </c>
      <c r="J471" s="181">
        <f t="shared" si="156"/>
        <v>0</v>
      </c>
      <c r="K471" s="276">
        <f t="shared" si="156"/>
        <v>0</v>
      </c>
      <c r="L471" s="181">
        <f t="shared" si="156"/>
        <v>0</v>
      </c>
      <c r="M471" s="211">
        <f t="shared" si="156"/>
        <v>0</v>
      </c>
      <c r="N471" s="292">
        <f t="shared" si="156"/>
        <v>0</v>
      </c>
      <c r="O471" s="235">
        <f t="shared" si="156"/>
        <v>0</v>
      </c>
      <c r="P471" s="112"/>
      <c r="Q471" s="46"/>
    </row>
    <row r="472" spans="1:17" ht="12.75" hidden="1">
      <c r="A472" s="11" t="s">
        <v>177</v>
      </c>
      <c r="B472" s="59"/>
      <c r="C472" s="106"/>
      <c r="D472" s="75"/>
      <c r="E472" s="168"/>
      <c r="F472" s="198">
        <f t="shared" si="154"/>
        <v>0</v>
      </c>
      <c r="G472" s="211"/>
      <c r="H472" s="234"/>
      <c r="I472" s="181"/>
      <c r="J472" s="181"/>
      <c r="K472" s="275"/>
      <c r="L472" s="181"/>
      <c r="M472" s="211"/>
      <c r="N472" s="291"/>
      <c r="O472" s="235"/>
      <c r="P472" s="112"/>
      <c r="Q472" s="46"/>
    </row>
    <row r="473" spans="1:17" ht="12.75">
      <c r="A473" s="10" t="s">
        <v>116</v>
      </c>
      <c r="B473" s="59">
        <v>10</v>
      </c>
      <c r="C473" s="106">
        <f>SUM(C474:C477)</f>
        <v>150000</v>
      </c>
      <c r="D473" s="75">
        <f aca="true" t="shared" si="157" ref="D473:Q473">SUM(D474:D477)</f>
        <v>17657.870000000006</v>
      </c>
      <c r="E473" s="168">
        <f t="shared" si="157"/>
        <v>78219.54</v>
      </c>
      <c r="F473" s="198">
        <f t="shared" si="157"/>
        <v>245877.41</v>
      </c>
      <c r="G473" s="211">
        <f t="shared" si="157"/>
        <v>0</v>
      </c>
      <c r="H473" s="235">
        <f t="shared" si="157"/>
        <v>25500</v>
      </c>
      <c r="I473" s="181">
        <f t="shared" si="157"/>
        <v>271377.41</v>
      </c>
      <c r="J473" s="181">
        <f t="shared" si="157"/>
        <v>-34920</v>
      </c>
      <c r="K473" s="276">
        <f t="shared" si="157"/>
        <v>0</v>
      </c>
      <c r="L473" s="181">
        <f t="shared" si="157"/>
        <v>236457.40999999997</v>
      </c>
      <c r="M473" s="211">
        <f t="shared" si="157"/>
        <v>0</v>
      </c>
      <c r="N473" s="292">
        <f t="shared" si="157"/>
        <v>0</v>
      </c>
      <c r="O473" s="235">
        <f t="shared" si="157"/>
        <v>236457.40999999997</v>
      </c>
      <c r="P473" s="120">
        <f t="shared" si="157"/>
        <v>0</v>
      </c>
      <c r="Q473" s="76">
        <f t="shared" si="157"/>
        <v>236457.40999999997</v>
      </c>
    </row>
    <row r="474" spans="1:17" ht="12.75">
      <c r="A474" s="10" t="s">
        <v>117</v>
      </c>
      <c r="B474" s="59"/>
      <c r="C474" s="106"/>
      <c r="D474" s="75"/>
      <c r="E474" s="168"/>
      <c r="F474" s="198">
        <f t="shared" si="154"/>
        <v>0</v>
      </c>
      <c r="G474" s="211"/>
      <c r="H474" s="235"/>
      <c r="I474" s="181">
        <f>F474+G474+H474</f>
        <v>0</v>
      </c>
      <c r="J474" s="181"/>
      <c r="K474" s="276"/>
      <c r="L474" s="181">
        <f>I474+J474+K474</f>
        <v>0</v>
      </c>
      <c r="M474" s="211"/>
      <c r="N474" s="292"/>
      <c r="O474" s="235">
        <f>L474+M474+N474</f>
        <v>0</v>
      </c>
      <c r="P474" s="112"/>
      <c r="Q474" s="46">
        <f>O474+P474</f>
        <v>0</v>
      </c>
    </row>
    <row r="475" spans="1:17" ht="12.75">
      <c r="A475" s="10" t="s">
        <v>118</v>
      </c>
      <c r="B475" s="59"/>
      <c r="C475" s="106"/>
      <c r="D475" s="86">
        <f>39934.19</f>
        <v>39934.19</v>
      </c>
      <c r="E475" s="173">
        <v>78219.54</v>
      </c>
      <c r="F475" s="198">
        <f t="shared" si="154"/>
        <v>118153.73</v>
      </c>
      <c r="G475" s="211"/>
      <c r="H475" s="235">
        <f>25500</f>
        <v>25500</v>
      </c>
      <c r="I475" s="181">
        <f>F475+G475+H475</f>
        <v>143653.72999999998</v>
      </c>
      <c r="J475" s="181">
        <v>-5800</v>
      </c>
      <c r="K475" s="276"/>
      <c r="L475" s="181">
        <f>I475+J475+K475</f>
        <v>137853.72999999998</v>
      </c>
      <c r="M475" s="211"/>
      <c r="N475" s="292"/>
      <c r="O475" s="235">
        <f>L475+M475+N475</f>
        <v>137853.72999999998</v>
      </c>
      <c r="P475" s="112"/>
      <c r="Q475" s="46">
        <f>O475+P475</f>
        <v>137853.72999999998</v>
      </c>
    </row>
    <row r="476" spans="1:17" ht="12.75">
      <c r="A476" s="10" t="s">
        <v>115</v>
      </c>
      <c r="B476" s="59"/>
      <c r="C476" s="106"/>
      <c r="D476" s="75">
        <f>1000+164.8</f>
        <v>1164.8</v>
      </c>
      <c r="E476" s="168"/>
      <c r="F476" s="198">
        <f t="shared" si="154"/>
        <v>1164.8</v>
      </c>
      <c r="G476" s="211"/>
      <c r="H476" s="235"/>
      <c r="I476" s="181">
        <f>F476+G476+H476</f>
        <v>1164.8</v>
      </c>
      <c r="J476" s="181"/>
      <c r="K476" s="276"/>
      <c r="L476" s="181">
        <f>I476+J476+K476</f>
        <v>1164.8</v>
      </c>
      <c r="M476" s="211"/>
      <c r="N476" s="292"/>
      <c r="O476" s="235">
        <f>L476+M476+N476</f>
        <v>1164.8</v>
      </c>
      <c r="P476" s="112"/>
      <c r="Q476" s="46">
        <f>O476+P476</f>
        <v>1164.8</v>
      </c>
    </row>
    <row r="477" spans="1:17" ht="12.75">
      <c r="A477" s="11" t="s">
        <v>144</v>
      </c>
      <c r="B477" s="59"/>
      <c r="C477" s="106">
        <v>150000</v>
      </c>
      <c r="D477" s="102">
        <f>-23441.12</f>
        <v>-23441.12</v>
      </c>
      <c r="E477" s="168"/>
      <c r="F477" s="198">
        <f t="shared" si="154"/>
        <v>126558.88</v>
      </c>
      <c r="G477" s="211"/>
      <c r="H477" s="235"/>
      <c r="I477" s="181">
        <f>F477+G477+H477</f>
        <v>126558.88</v>
      </c>
      <c r="J477" s="181">
        <v>-29120</v>
      </c>
      <c r="K477" s="276"/>
      <c r="L477" s="181">
        <f>I477+J477+K477</f>
        <v>97438.88</v>
      </c>
      <c r="M477" s="211"/>
      <c r="N477" s="292"/>
      <c r="O477" s="235">
        <f>L477+M477+N477</f>
        <v>97438.88</v>
      </c>
      <c r="P477" s="112"/>
      <c r="Q477" s="46">
        <f>O477+P477</f>
        <v>97438.88</v>
      </c>
    </row>
    <row r="478" spans="1:17" ht="12.75">
      <c r="A478" s="10" t="s">
        <v>119</v>
      </c>
      <c r="B478" s="59">
        <v>12</v>
      </c>
      <c r="C478" s="106">
        <f aca="true" t="shared" si="158" ref="C478:Q478">C479+C480+C481</f>
        <v>32500</v>
      </c>
      <c r="D478" s="75">
        <f t="shared" si="158"/>
        <v>53799.600000000006</v>
      </c>
      <c r="E478" s="168">
        <f t="shared" si="158"/>
        <v>0</v>
      </c>
      <c r="F478" s="198">
        <f t="shared" si="158"/>
        <v>86299.6</v>
      </c>
      <c r="G478" s="211">
        <f t="shared" si="158"/>
        <v>-2800</v>
      </c>
      <c r="H478" s="235">
        <f t="shared" si="158"/>
        <v>0</v>
      </c>
      <c r="I478" s="181">
        <f t="shared" si="158"/>
        <v>83499.6</v>
      </c>
      <c r="J478" s="181">
        <f t="shared" si="158"/>
        <v>-1587.15</v>
      </c>
      <c r="K478" s="276">
        <f t="shared" si="158"/>
        <v>0</v>
      </c>
      <c r="L478" s="181">
        <f t="shared" si="158"/>
        <v>81912.45</v>
      </c>
      <c r="M478" s="211">
        <f t="shared" si="158"/>
        <v>0</v>
      </c>
      <c r="N478" s="292">
        <f t="shared" si="158"/>
        <v>0</v>
      </c>
      <c r="O478" s="235">
        <f t="shared" si="158"/>
        <v>81912.45</v>
      </c>
      <c r="P478" s="120">
        <f t="shared" si="158"/>
        <v>0</v>
      </c>
      <c r="Q478" s="76">
        <f t="shared" si="158"/>
        <v>81912.45</v>
      </c>
    </row>
    <row r="479" spans="1:17" ht="12.75">
      <c r="A479" s="10" t="s">
        <v>120</v>
      </c>
      <c r="B479" s="59"/>
      <c r="C479" s="106">
        <v>1500</v>
      </c>
      <c r="D479" s="75">
        <f>2132.41-600</f>
        <v>1532.4099999999999</v>
      </c>
      <c r="E479" s="168"/>
      <c r="F479" s="198">
        <f t="shared" si="154"/>
        <v>3032.41</v>
      </c>
      <c r="G479" s="211">
        <f>-300</f>
        <v>-300</v>
      </c>
      <c r="H479" s="235"/>
      <c r="I479" s="181">
        <f>F479+G479+H479</f>
        <v>2732.41</v>
      </c>
      <c r="J479" s="181">
        <f>108.65-467-195.8</f>
        <v>-554.1500000000001</v>
      </c>
      <c r="K479" s="276"/>
      <c r="L479" s="181">
        <f>I479+J479+K479</f>
        <v>2178.2599999999998</v>
      </c>
      <c r="M479" s="211">
        <f>-50</f>
        <v>-50</v>
      </c>
      <c r="N479" s="292"/>
      <c r="O479" s="235">
        <f>L479+M479+N479</f>
        <v>2128.2599999999998</v>
      </c>
      <c r="P479" s="112"/>
      <c r="Q479" s="46">
        <f>O479+P479</f>
        <v>2128.2599999999998</v>
      </c>
    </row>
    <row r="480" spans="1:17" ht="12.75">
      <c r="A480" s="10" t="s">
        <v>118</v>
      </c>
      <c r="B480" s="59"/>
      <c r="C480" s="106">
        <v>31000</v>
      </c>
      <c r="D480" s="75">
        <f>20000+31167.19+1100</f>
        <v>52267.19</v>
      </c>
      <c r="E480" s="168"/>
      <c r="F480" s="198">
        <f t="shared" si="154"/>
        <v>83267.19</v>
      </c>
      <c r="G480" s="211">
        <f>-2500</f>
        <v>-2500</v>
      </c>
      <c r="H480" s="235"/>
      <c r="I480" s="181">
        <f>F480+G480+H480</f>
        <v>80767.19</v>
      </c>
      <c r="J480" s="189">
        <f>467-3000+1500</f>
        <v>-1033</v>
      </c>
      <c r="K480" s="276"/>
      <c r="L480" s="181">
        <f>I480+J480+K480</f>
        <v>79734.19</v>
      </c>
      <c r="M480" s="211">
        <f>50</f>
        <v>50</v>
      </c>
      <c r="N480" s="292"/>
      <c r="O480" s="235">
        <f>L480+M480+N480</f>
        <v>79784.19</v>
      </c>
      <c r="P480" s="112"/>
      <c r="Q480" s="46">
        <f>O480+P480</f>
        <v>79784.19</v>
      </c>
    </row>
    <row r="481" spans="1:17" ht="12.75" customHeight="1" hidden="1">
      <c r="A481" s="10" t="s">
        <v>115</v>
      </c>
      <c r="B481" s="59"/>
      <c r="C481" s="106"/>
      <c r="D481" s="75"/>
      <c r="E481" s="168"/>
      <c r="F481" s="198">
        <f t="shared" si="154"/>
        <v>0</v>
      </c>
      <c r="G481" s="211"/>
      <c r="H481" s="235"/>
      <c r="I481" s="181">
        <f>F481+G481+H481</f>
        <v>0</v>
      </c>
      <c r="J481" s="181"/>
      <c r="K481" s="276"/>
      <c r="L481" s="181">
        <f>I481+J481+K481</f>
        <v>0</v>
      </c>
      <c r="M481" s="211"/>
      <c r="N481" s="292"/>
      <c r="O481" s="235">
        <f>L481+M481+N481</f>
        <v>0</v>
      </c>
      <c r="P481" s="112"/>
      <c r="Q481" s="46">
        <f>O481+P481</f>
        <v>0</v>
      </c>
    </row>
    <row r="482" spans="1:17" ht="12.75">
      <c r="A482" s="10" t="s">
        <v>121</v>
      </c>
      <c r="B482" s="59">
        <v>14</v>
      </c>
      <c r="C482" s="106">
        <f>SUM(C483:C487)</f>
        <v>92000</v>
      </c>
      <c r="D482" s="75">
        <f aca="true" t="shared" si="159" ref="D482:Q482">SUM(D483:D487)</f>
        <v>35526.1</v>
      </c>
      <c r="E482" s="168">
        <f t="shared" si="159"/>
        <v>0</v>
      </c>
      <c r="F482" s="198">
        <f t="shared" si="159"/>
        <v>127526.1</v>
      </c>
      <c r="G482" s="211">
        <f t="shared" si="159"/>
        <v>4609.39</v>
      </c>
      <c r="H482" s="235">
        <f t="shared" si="159"/>
        <v>0</v>
      </c>
      <c r="I482" s="181">
        <f t="shared" si="159"/>
        <v>132135.49</v>
      </c>
      <c r="J482" s="181">
        <f t="shared" si="159"/>
        <v>6565.28</v>
      </c>
      <c r="K482" s="276">
        <f t="shared" si="159"/>
        <v>0</v>
      </c>
      <c r="L482" s="181">
        <f t="shared" si="159"/>
        <v>138700.77000000002</v>
      </c>
      <c r="M482" s="211">
        <f t="shared" si="159"/>
        <v>0</v>
      </c>
      <c r="N482" s="292">
        <f t="shared" si="159"/>
        <v>0</v>
      </c>
      <c r="O482" s="235">
        <f t="shared" si="159"/>
        <v>138700.77000000002</v>
      </c>
      <c r="P482" s="120">
        <f t="shared" si="159"/>
        <v>0</v>
      </c>
      <c r="Q482" s="76">
        <f t="shared" si="159"/>
        <v>138700.77000000002</v>
      </c>
    </row>
    <row r="483" spans="1:17" ht="12.75">
      <c r="A483" s="10" t="s">
        <v>122</v>
      </c>
      <c r="B483" s="59"/>
      <c r="C483" s="106">
        <v>57300</v>
      </c>
      <c r="D483" s="86">
        <f>18532+4700</f>
        <v>23232</v>
      </c>
      <c r="E483" s="173"/>
      <c r="F483" s="198">
        <f t="shared" si="154"/>
        <v>80532</v>
      </c>
      <c r="G483" s="211">
        <f>1569.39+2397</f>
        <v>3966.3900000000003</v>
      </c>
      <c r="H483" s="235"/>
      <c r="I483" s="181">
        <f>F483+G483+H483</f>
        <v>84498.39</v>
      </c>
      <c r="J483" s="181">
        <f>-2379.5+6544.21</f>
        <v>4164.71</v>
      </c>
      <c r="K483" s="276"/>
      <c r="L483" s="181">
        <f>I483+J483+K483</f>
        <v>88663.1</v>
      </c>
      <c r="M483" s="211">
        <f>-4404.7+180.77-450</f>
        <v>-4673.929999999999</v>
      </c>
      <c r="N483" s="292"/>
      <c r="O483" s="235">
        <f>L483+M483+N483</f>
        <v>83989.17000000001</v>
      </c>
      <c r="P483" s="112"/>
      <c r="Q483" s="46">
        <f aca="true" t="shared" si="160" ref="Q483:Q523">O483+P483</f>
        <v>83989.17000000001</v>
      </c>
    </row>
    <row r="484" spans="1:17" ht="12.75">
      <c r="A484" s="10" t="s">
        <v>123</v>
      </c>
      <c r="B484" s="59"/>
      <c r="C484" s="106">
        <v>27050</v>
      </c>
      <c r="D484" s="75">
        <f>4191+650+55.1</f>
        <v>4896.1</v>
      </c>
      <c r="E484" s="168"/>
      <c r="F484" s="198">
        <f t="shared" si="154"/>
        <v>31946.1</v>
      </c>
      <c r="G484" s="211">
        <f>1840+603</f>
        <v>2443</v>
      </c>
      <c r="H484" s="235"/>
      <c r="I484" s="181">
        <f>F484+G484+H484</f>
        <v>34389.1</v>
      </c>
      <c r="J484" s="181">
        <f>1029.5+144</f>
        <v>1173.5</v>
      </c>
      <c r="K484" s="276"/>
      <c r="L484" s="181">
        <f>I484+J484+K484</f>
        <v>35562.6</v>
      </c>
      <c r="M484" s="211">
        <f>1704.7-42.77+450</f>
        <v>2111.9300000000003</v>
      </c>
      <c r="N484" s="292"/>
      <c r="O484" s="235">
        <f>L484+M484+N484</f>
        <v>37674.53</v>
      </c>
      <c r="P484" s="112"/>
      <c r="Q484" s="46">
        <f t="shared" si="160"/>
        <v>37674.53</v>
      </c>
    </row>
    <row r="485" spans="1:17" ht="13.5" customHeight="1">
      <c r="A485" s="10" t="s">
        <v>124</v>
      </c>
      <c r="B485" s="59"/>
      <c r="C485" s="106">
        <v>2000</v>
      </c>
      <c r="D485" s="75">
        <f>12948-33-200</f>
        <v>12715</v>
      </c>
      <c r="E485" s="168"/>
      <c r="F485" s="198">
        <f t="shared" si="154"/>
        <v>14715</v>
      </c>
      <c r="G485" s="211">
        <f>-2000</f>
        <v>-2000</v>
      </c>
      <c r="H485" s="235"/>
      <c r="I485" s="181">
        <f>F485+G485+H485</f>
        <v>12715</v>
      </c>
      <c r="J485" s="181">
        <f>949.73-46.73</f>
        <v>903</v>
      </c>
      <c r="K485" s="276"/>
      <c r="L485" s="181">
        <f>I485+J485+K485</f>
        <v>13618</v>
      </c>
      <c r="M485" s="211">
        <f>2700-138</f>
        <v>2562</v>
      </c>
      <c r="N485" s="292"/>
      <c r="O485" s="235">
        <f>L485+M485+N485</f>
        <v>16180</v>
      </c>
      <c r="P485" s="112"/>
      <c r="Q485" s="46">
        <f t="shared" si="160"/>
        <v>16180</v>
      </c>
    </row>
    <row r="486" spans="1:17" ht="13.5" customHeight="1">
      <c r="A486" s="11" t="s">
        <v>144</v>
      </c>
      <c r="B486" s="59"/>
      <c r="C486" s="106">
        <v>300</v>
      </c>
      <c r="D486" s="75">
        <f>33</f>
        <v>33</v>
      </c>
      <c r="E486" s="168"/>
      <c r="F486" s="198">
        <f t="shared" si="154"/>
        <v>333</v>
      </c>
      <c r="G486" s="211">
        <f>200</f>
        <v>200</v>
      </c>
      <c r="H486" s="235"/>
      <c r="I486" s="181">
        <f>F486+G486+H486</f>
        <v>533</v>
      </c>
      <c r="J486" s="181">
        <f>400.27-76.2</f>
        <v>324.07</v>
      </c>
      <c r="K486" s="276"/>
      <c r="L486" s="181">
        <f>I486+J486+K486</f>
        <v>857.0699999999999</v>
      </c>
      <c r="M486" s="211"/>
      <c r="N486" s="292"/>
      <c r="O486" s="235">
        <f>L486+M486+N486</f>
        <v>857.0699999999999</v>
      </c>
      <c r="P486" s="112"/>
      <c r="Q486" s="46">
        <f t="shared" si="160"/>
        <v>857.0699999999999</v>
      </c>
    </row>
    <row r="487" spans="1:17" ht="12.75">
      <c r="A487" s="10" t="s">
        <v>125</v>
      </c>
      <c r="B487" s="59"/>
      <c r="C487" s="106">
        <v>5350</v>
      </c>
      <c r="D487" s="75">
        <f>-5350</f>
        <v>-5350</v>
      </c>
      <c r="E487" s="168"/>
      <c r="F487" s="198">
        <f t="shared" si="154"/>
        <v>0</v>
      </c>
      <c r="G487" s="211"/>
      <c r="H487" s="235"/>
      <c r="I487" s="181">
        <f>F487+G487+H487</f>
        <v>0</v>
      </c>
      <c r="J487" s="181"/>
      <c r="K487" s="276"/>
      <c r="L487" s="181">
        <f>I487+J487+K487</f>
        <v>0</v>
      </c>
      <c r="M487" s="211"/>
      <c r="N487" s="292"/>
      <c r="O487" s="235">
        <f>L487+M487+N487</f>
        <v>0</v>
      </c>
      <c r="P487" s="112"/>
      <c r="Q487" s="46">
        <f t="shared" si="160"/>
        <v>0</v>
      </c>
    </row>
    <row r="488" spans="1:17" ht="12.75">
      <c r="A488" s="10" t="s">
        <v>126</v>
      </c>
      <c r="B488" s="59">
        <v>15</v>
      </c>
      <c r="C488" s="106">
        <f>SUM(C489:C495)</f>
        <v>150000</v>
      </c>
      <c r="D488" s="75">
        <f aca="true" t="shared" si="161" ref="D488:Q488">SUM(D489:D495)</f>
        <v>244780.86</v>
      </c>
      <c r="E488" s="168">
        <f t="shared" si="161"/>
        <v>0</v>
      </c>
      <c r="F488" s="198">
        <f t="shared" si="161"/>
        <v>394780.86</v>
      </c>
      <c r="G488" s="211">
        <f t="shared" si="161"/>
        <v>-260</v>
      </c>
      <c r="H488" s="235">
        <f t="shared" si="161"/>
        <v>0</v>
      </c>
      <c r="I488" s="181">
        <f t="shared" si="161"/>
        <v>394520.86</v>
      </c>
      <c r="J488" s="181">
        <f t="shared" si="161"/>
        <v>0</v>
      </c>
      <c r="K488" s="276">
        <f t="shared" si="161"/>
        <v>0</v>
      </c>
      <c r="L488" s="181">
        <f t="shared" si="161"/>
        <v>394520.86</v>
      </c>
      <c r="M488" s="211">
        <f t="shared" si="161"/>
        <v>-1258.3500000000004</v>
      </c>
      <c r="N488" s="292">
        <f t="shared" si="161"/>
        <v>0</v>
      </c>
      <c r="O488" s="235">
        <f t="shared" si="161"/>
        <v>393262.51</v>
      </c>
      <c r="P488" s="120">
        <f t="shared" si="161"/>
        <v>0</v>
      </c>
      <c r="Q488" s="76">
        <f t="shared" si="161"/>
        <v>393262.51</v>
      </c>
    </row>
    <row r="489" spans="1:17" ht="12.75">
      <c r="A489" s="10" t="s">
        <v>127</v>
      </c>
      <c r="B489" s="59"/>
      <c r="C489" s="106">
        <v>124380</v>
      </c>
      <c r="D489" s="75">
        <f>-500+192468.93</f>
        <v>191968.93</v>
      </c>
      <c r="E489" s="168">
        <v>385</v>
      </c>
      <c r="F489" s="198">
        <f t="shared" si="154"/>
        <v>316733.93</v>
      </c>
      <c r="G489" s="211">
        <f>90</f>
        <v>90</v>
      </c>
      <c r="H489" s="235">
        <f>1114.42</f>
        <v>1114.42</v>
      </c>
      <c r="I489" s="181">
        <f aca="true" t="shared" si="162" ref="I489:I495">F489+G489+H489</f>
        <v>317938.35</v>
      </c>
      <c r="J489" s="181">
        <f>-320</f>
        <v>-320</v>
      </c>
      <c r="K489" s="276"/>
      <c r="L489" s="181">
        <f aca="true" t="shared" si="163" ref="L489:L495">I489+J489+K489</f>
        <v>317618.35</v>
      </c>
      <c r="M489" s="211">
        <f>7292.87-8258.35+7000</f>
        <v>6034.5199999999995</v>
      </c>
      <c r="N489" s="292"/>
      <c r="O489" s="235">
        <f aca="true" t="shared" si="164" ref="O489:O495">L489+M489+N489</f>
        <v>323652.87</v>
      </c>
      <c r="P489" s="112"/>
      <c r="Q489" s="46">
        <f t="shared" si="160"/>
        <v>323652.87</v>
      </c>
    </row>
    <row r="490" spans="1:17" ht="12.75" hidden="1">
      <c r="A490" s="10" t="s">
        <v>128</v>
      </c>
      <c r="B490" s="59"/>
      <c r="C490" s="106"/>
      <c r="D490" s="75"/>
      <c r="E490" s="168"/>
      <c r="F490" s="198">
        <f t="shared" si="154"/>
        <v>0</v>
      </c>
      <c r="G490" s="211"/>
      <c r="H490" s="235"/>
      <c r="I490" s="181">
        <f t="shared" si="162"/>
        <v>0</v>
      </c>
      <c r="J490" s="181"/>
      <c r="K490" s="276"/>
      <c r="L490" s="181">
        <f t="shared" si="163"/>
        <v>0</v>
      </c>
      <c r="M490" s="211"/>
      <c r="N490" s="292"/>
      <c r="O490" s="235">
        <f t="shared" si="164"/>
        <v>0</v>
      </c>
      <c r="P490" s="112"/>
      <c r="Q490" s="46">
        <f t="shared" si="160"/>
        <v>0</v>
      </c>
    </row>
    <row r="491" spans="1:17" ht="12.75" hidden="1">
      <c r="A491" s="10" t="s">
        <v>129</v>
      </c>
      <c r="B491" s="59"/>
      <c r="C491" s="106"/>
      <c r="D491" s="86"/>
      <c r="E491" s="173"/>
      <c r="F491" s="198">
        <f t="shared" si="154"/>
        <v>0</v>
      </c>
      <c r="G491" s="211"/>
      <c r="H491" s="235"/>
      <c r="I491" s="181">
        <f t="shared" si="162"/>
        <v>0</v>
      </c>
      <c r="J491" s="181"/>
      <c r="K491" s="276"/>
      <c r="L491" s="181">
        <f t="shared" si="163"/>
        <v>0</v>
      </c>
      <c r="M491" s="211"/>
      <c r="N491" s="292"/>
      <c r="O491" s="235">
        <f t="shared" si="164"/>
        <v>0</v>
      </c>
      <c r="P491" s="112"/>
      <c r="Q491" s="46">
        <f t="shared" si="160"/>
        <v>0</v>
      </c>
    </row>
    <row r="492" spans="1:17" ht="12.75">
      <c r="A492" s="10" t="s">
        <v>130</v>
      </c>
      <c r="B492" s="59"/>
      <c r="C492" s="106">
        <v>17100</v>
      </c>
      <c r="D492" s="75">
        <f>28807.16</f>
        <v>28807.16</v>
      </c>
      <c r="E492" s="168"/>
      <c r="F492" s="198">
        <f t="shared" si="154"/>
        <v>45907.16</v>
      </c>
      <c r="G492" s="211">
        <f>-1822</f>
        <v>-1822</v>
      </c>
      <c r="H492" s="235"/>
      <c r="I492" s="181">
        <f t="shared" si="162"/>
        <v>44085.16</v>
      </c>
      <c r="J492" s="181"/>
      <c r="K492" s="276"/>
      <c r="L492" s="181">
        <f t="shared" si="163"/>
        <v>44085.16</v>
      </c>
      <c r="M492" s="211"/>
      <c r="N492" s="292"/>
      <c r="O492" s="235">
        <f t="shared" si="164"/>
        <v>44085.16</v>
      </c>
      <c r="P492" s="112"/>
      <c r="Q492" s="46">
        <f t="shared" si="160"/>
        <v>44085.16</v>
      </c>
    </row>
    <row r="493" spans="1:17" ht="12.75">
      <c r="A493" s="10" t="s">
        <v>131</v>
      </c>
      <c r="B493" s="59"/>
      <c r="C493" s="106"/>
      <c r="D493" s="75">
        <f>5444.91+757</f>
        <v>6201.91</v>
      </c>
      <c r="E493" s="168"/>
      <c r="F493" s="198">
        <f t="shared" si="154"/>
        <v>6201.91</v>
      </c>
      <c r="G493" s="211">
        <f>1822-350</f>
        <v>1472</v>
      </c>
      <c r="H493" s="235"/>
      <c r="I493" s="181">
        <f t="shared" si="162"/>
        <v>7673.91</v>
      </c>
      <c r="J493" s="189"/>
      <c r="K493" s="276"/>
      <c r="L493" s="181">
        <f t="shared" si="163"/>
        <v>7673.91</v>
      </c>
      <c r="M493" s="211"/>
      <c r="N493" s="292"/>
      <c r="O493" s="235">
        <f t="shared" si="164"/>
        <v>7673.91</v>
      </c>
      <c r="P493" s="112"/>
      <c r="Q493" s="46">
        <f t="shared" si="160"/>
        <v>7673.91</v>
      </c>
    </row>
    <row r="494" spans="1:17" ht="12.75">
      <c r="A494" s="10" t="s">
        <v>132</v>
      </c>
      <c r="B494" s="59"/>
      <c r="C494" s="106">
        <v>8520</v>
      </c>
      <c r="D494" s="75">
        <f>500+12213.21</f>
        <v>12713.21</v>
      </c>
      <c r="E494" s="168">
        <v>1160</v>
      </c>
      <c r="F494" s="198">
        <f t="shared" si="154"/>
        <v>22393.21</v>
      </c>
      <c r="G494" s="211"/>
      <c r="H494" s="235"/>
      <c r="I494" s="181">
        <f t="shared" si="162"/>
        <v>22393.21</v>
      </c>
      <c r="J494" s="181">
        <f>753</f>
        <v>753</v>
      </c>
      <c r="K494" s="276"/>
      <c r="L494" s="181">
        <f t="shared" si="163"/>
        <v>23146.21</v>
      </c>
      <c r="M494" s="211">
        <f>-7292.87</f>
        <v>-7292.87</v>
      </c>
      <c r="N494" s="292"/>
      <c r="O494" s="235">
        <f t="shared" si="164"/>
        <v>15853.34</v>
      </c>
      <c r="P494" s="112"/>
      <c r="Q494" s="46">
        <f t="shared" si="160"/>
        <v>15853.34</v>
      </c>
    </row>
    <row r="495" spans="1:17" ht="13.5" thickBot="1">
      <c r="A495" s="329" t="s">
        <v>125</v>
      </c>
      <c r="B495" s="103"/>
      <c r="C495" s="134"/>
      <c r="D495" s="104">
        <f>5089.65</f>
        <v>5089.65</v>
      </c>
      <c r="E495" s="193">
        <v>-1545</v>
      </c>
      <c r="F495" s="204">
        <f t="shared" si="154"/>
        <v>3544.6499999999996</v>
      </c>
      <c r="G495" s="317"/>
      <c r="H495" s="318">
        <f>-1114.42</f>
        <v>-1114.42</v>
      </c>
      <c r="I495" s="319">
        <f t="shared" si="162"/>
        <v>2430.2299999999996</v>
      </c>
      <c r="J495" s="319">
        <f>-433</f>
        <v>-433</v>
      </c>
      <c r="K495" s="320"/>
      <c r="L495" s="319">
        <f t="shared" si="163"/>
        <v>1997.2299999999996</v>
      </c>
      <c r="M495" s="317"/>
      <c r="N495" s="321"/>
      <c r="O495" s="318">
        <f t="shared" si="164"/>
        <v>1997.2299999999996</v>
      </c>
      <c r="P495" s="112"/>
      <c r="Q495" s="46">
        <f t="shared" si="160"/>
        <v>1997.2299999999996</v>
      </c>
    </row>
    <row r="496" spans="1:17" ht="12.75">
      <c r="A496" s="10" t="s">
        <v>133</v>
      </c>
      <c r="B496" s="59">
        <v>16</v>
      </c>
      <c r="C496" s="106">
        <f>SUM(C497:C500)</f>
        <v>3000</v>
      </c>
      <c r="D496" s="75">
        <f aca="true" t="shared" si="165" ref="D496:Q496">SUM(D497:D500)</f>
        <v>22983.289999999997</v>
      </c>
      <c r="E496" s="168">
        <f t="shared" si="165"/>
        <v>0</v>
      </c>
      <c r="F496" s="198">
        <f t="shared" si="165"/>
        <v>25983.289999999997</v>
      </c>
      <c r="G496" s="211">
        <f t="shared" si="165"/>
        <v>0</v>
      </c>
      <c r="H496" s="235">
        <f t="shared" si="165"/>
        <v>0</v>
      </c>
      <c r="I496" s="181">
        <f t="shared" si="165"/>
        <v>25983.289999999997</v>
      </c>
      <c r="J496" s="181">
        <f t="shared" si="165"/>
        <v>-60</v>
      </c>
      <c r="K496" s="276">
        <f t="shared" si="165"/>
        <v>0</v>
      </c>
      <c r="L496" s="181">
        <f t="shared" si="165"/>
        <v>25923.289999999997</v>
      </c>
      <c r="M496" s="211">
        <f t="shared" si="165"/>
        <v>105</v>
      </c>
      <c r="N496" s="292">
        <f t="shared" si="165"/>
        <v>0</v>
      </c>
      <c r="O496" s="235">
        <f t="shared" si="165"/>
        <v>26028.289999999997</v>
      </c>
      <c r="P496" s="120">
        <f t="shared" si="165"/>
        <v>0</v>
      </c>
      <c r="Q496" s="76">
        <f t="shared" si="165"/>
        <v>26028.289999999997</v>
      </c>
    </row>
    <row r="497" spans="1:17" ht="12.75">
      <c r="A497" s="10" t="s">
        <v>122</v>
      </c>
      <c r="B497" s="59"/>
      <c r="C497" s="106">
        <v>1870</v>
      </c>
      <c r="D497" s="75">
        <f>478</f>
        <v>478</v>
      </c>
      <c r="E497" s="168"/>
      <c r="F497" s="198">
        <f t="shared" si="154"/>
        <v>2348</v>
      </c>
      <c r="G497" s="211"/>
      <c r="H497" s="235"/>
      <c r="I497" s="181">
        <f>F497+G497+H497</f>
        <v>2348</v>
      </c>
      <c r="J497" s="181">
        <v>300</v>
      </c>
      <c r="K497" s="276"/>
      <c r="L497" s="181">
        <f>I497+J497+K497</f>
        <v>2648</v>
      </c>
      <c r="M497" s="211">
        <f>105</f>
        <v>105</v>
      </c>
      <c r="N497" s="292"/>
      <c r="O497" s="235">
        <f>L497+M497+N497</f>
        <v>2753</v>
      </c>
      <c r="P497" s="112"/>
      <c r="Q497" s="46">
        <f t="shared" si="160"/>
        <v>2753</v>
      </c>
    </row>
    <row r="498" spans="1:17" ht="12.75">
      <c r="A498" s="10" t="s">
        <v>123</v>
      </c>
      <c r="B498" s="59"/>
      <c r="C498" s="106">
        <v>1080</v>
      </c>
      <c r="D498" s="75">
        <f>-70</f>
        <v>-70</v>
      </c>
      <c r="E498" s="168"/>
      <c r="F498" s="198">
        <f t="shared" si="154"/>
        <v>1010</v>
      </c>
      <c r="G498" s="211"/>
      <c r="H498" s="235"/>
      <c r="I498" s="181">
        <f>F498+G498+H498</f>
        <v>1010</v>
      </c>
      <c r="J498" s="181"/>
      <c r="K498" s="276"/>
      <c r="L498" s="181">
        <f>I498+J498+K498</f>
        <v>1010</v>
      </c>
      <c r="M498" s="211"/>
      <c r="N498" s="292"/>
      <c r="O498" s="235">
        <f>L498+M498+N498</f>
        <v>1010</v>
      </c>
      <c r="P498" s="112"/>
      <c r="Q498" s="46">
        <f t="shared" si="160"/>
        <v>1010</v>
      </c>
    </row>
    <row r="499" spans="1:17" ht="12.75">
      <c r="A499" s="10" t="s">
        <v>124</v>
      </c>
      <c r="B499" s="59"/>
      <c r="C499" s="106"/>
      <c r="D499" s="75">
        <f>2872.96-861.34+20000</f>
        <v>22011.62</v>
      </c>
      <c r="E499" s="168"/>
      <c r="F499" s="198">
        <f t="shared" si="154"/>
        <v>22011.62</v>
      </c>
      <c r="G499" s="211"/>
      <c r="H499" s="235"/>
      <c r="I499" s="181">
        <f>F499+G499+H499</f>
        <v>22011.62</v>
      </c>
      <c r="J499" s="181">
        <v>-360</v>
      </c>
      <c r="K499" s="276"/>
      <c r="L499" s="181">
        <f>I499+J499+K499</f>
        <v>21651.62</v>
      </c>
      <c r="M499" s="211"/>
      <c r="N499" s="292"/>
      <c r="O499" s="235">
        <f>L499+M499+N499</f>
        <v>21651.62</v>
      </c>
      <c r="P499" s="112"/>
      <c r="Q499" s="46">
        <f t="shared" si="160"/>
        <v>21651.62</v>
      </c>
    </row>
    <row r="500" spans="1:17" ht="12.75">
      <c r="A500" s="10" t="s">
        <v>125</v>
      </c>
      <c r="B500" s="59"/>
      <c r="C500" s="106">
        <v>50</v>
      </c>
      <c r="D500" s="75">
        <f>563.67</f>
        <v>563.67</v>
      </c>
      <c r="E500" s="168"/>
      <c r="F500" s="198">
        <f t="shared" si="154"/>
        <v>613.67</v>
      </c>
      <c r="G500" s="211"/>
      <c r="H500" s="235"/>
      <c r="I500" s="181">
        <f>F500+G500+H500</f>
        <v>613.67</v>
      </c>
      <c r="J500" s="181"/>
      <c r="K500" s="276"/>
      <c r="L500" s="181">
        <f>I500+J500+K500</f>
        <v>613.67</v>
      </c>
      <c r="M500" s="211">
        <f>-105+105</f>
        <v>0</v>
      </c>
      <c r="N500" s="292"/>
      <c r="O500" s="235">
        <f>L500+M500+N500</f>
        <v>613.67</v>
      </c>
      <c r="P500" s="112"/>
      <c r="Q500" s="46">
        <f t="shared" si="160"/>
        <v>613.67</v>
      </c>
    </row>
    <row r="501" spans="1:17" ht="12.75">
      <c r="A501" s="10" t="s">
        <v>134</v>
      </c>
      <c r="B501" s="59">
        <v>28</v>
      </c>
      <c r="C501" s="106">
        <f>SUM(C502:C506)</f>
        <v>50000</v>
      </c>
      <c r="D501" s="75">
        <f aca="true" t="shared" si="166" ref="D501:Q501">SUM(D502:D506)</f>
        <v>23426.350000000002</v>
      </c>
      <c r="E501" s="168">
        <f t="shared" si="166"/>
        <v>0</v>
      </c>
      <c r="F501" s="198">
        <f t="shared" si="166"/>
        <v>73426.35</v>
      </c>
      <c r="G501" s="211">
        <f t="shared" si="166"/>
        <v>0</v>
      </c>
      <c r="H501" s="235">
        <f t="shared" si="166"/>
        <v>0</v>
      </c>
      <c r="I501" s="181">
        <f t="shared" si="166"/>
        <v>73426.35</v>
      </c>
      <c r="J501" s="181">
        <f t="shared" si="166"/>
        <v>10000</v>
      </c>
      <c r="K501" s="276">
        <f t="shared" si="166"/>
        <v>0</v>
      </c>
      <c r="L501" s="181">
        <f t="shared" si="166"/>
        <v>83426.35</v>
      </c>
      <c r="M501" s="211">
        <f t="shared" si="166"/>
        <v>0</v>
      </c>
      <c r="N501" s="292">
        <f t="shared" si="166"/>
        <v>0</v>
      </c>
      <c r="O501" s="235">
        <f t="shared" si="166"/>
        <v>83426.34999999999</v>
      </c>
      <c r="P501" s="120">
        <f t="shared" si="166"/>
        <v>0</v>
      </c>
      <c r="Q501" s="76">
        <f t="shared" si="166"/>
        <v>83426.34999999999</v>
      </c>
    </row>
    <row r="502" spans="1:17" ht="12.75">
      <c r="A502" s="10" t="s">
        <v>122</v>
      </c>
      <c r="B502" s="59"/>
      <c r="C502" s="106">
        <v>2000</v>
      </c>
      <c r="D502" s="75">
        <f>8555.71</f>
        <v>8555.71</v>
      </c>
      <c r="E502" s="168"/>
      <c r="F502" s="198">
        <f t="shared" si="154"/>
        <v>10555.71</v>
      </c>
      <c r="G502" s="211">
        <f>-500</f>
        <v>-500</v>
      </c>
      <c r="H502" s="235"/>
      <c r="I502" s="181">
        <f>F502+G502+H502</f>
        <v>10055.71</v>
      </c>
      <c r="J502" s="181">
        <f>2300</f>
        <v>2300</v>
      </c>
      <c r="K502" s="276"/>
      <c r="L502" s="181">
        <f>I502+J502+K502</f>
        <v>12355.71</v>
      </c>
      <c r="M502" s="211">
        <f>-2000</f>
        <v>-2000</v>
      </c>
      <c r="N502" s="292"/>
      <c r="O502" s="235">
        <f>L502+M502+N502</f>
        <v>10355.71</v>
      </c>
      <c r="P502" s="112"/>
      <c r="Q502" s="46">
        <f t="shared" si="160"/>
        <v>10355.71</v>
      </c>
    </row>
    <row r="503" spans="1:17" ht="12.75">
      <c r="A503" s="10" t="s">
        <v>123</v>
      </c>
      <c r="B503" s="59"/>
      <c r="C503" s="106">
        <v>4600</v>
      </c>
      <c r="D503" s="75"/>
      <c r="E503" s="168"/>
      <c r="F503" s="198">
        <f t="shared" si="154"/>
        <v>4600</v>
      </c>
      <c r="G503" s="211"/>
      <c r="H503" s="235"/>
      <c r="I503" s="181">
        <f>F503+G503+H503</f>
        <v>4600</v>
      </c>
      <c r="J503" s="181"/>
      <c r="K503" s="276"/>
      <c r="L503" s="181">
        <f>I503+J503+K503</f>
        <v>4600</v>
      </c>
      <c r="M503" s="211">
        <f>-3600</f>
        <v>-3600</v>
      </c>
      <c r="N503" s="292"/>
      <c r="O503" s="235">
        <f>L503+M503+N503</f>
        <v>1000</v>
      </c>
      <c r="P503" s="112"/>
      <c r="Q503" s="46">
        <f t="shared" si="160"/>
        <v>1000</v>
      </c>
    </row>
    <row r="504" spans="1:17" ht="12.75">
      <c r="A504" s="10" t="s">
        <v>135</v>
      </c>
      <c r="B504" s="59"/>
      <c r="C504" s="106">
        <v>34500</v>
      </c>
      <c r="D504" s="75">
        <f>9685.65+500</f>
        <v>10185.65</v>
      </c>
      <c r="E504" s="168"/>
      <c r="F504" s="198">
        <f t="shared" si="154"/>
        <v>44685.65</v>
      </c>
      <c r="G504" s="211">
        <f>12500</f>
        <v>12500</v>
      </c>
      <c r="H504" s="235"/>
      <c r="I504" s="181">
        <f>F504+G504+H504</f>
        <v>57185.65</v>
      </c>
      <c r="J504" s="181">
        <f>6500</f>
        <v>6500</v>
      </c>
      <c r="K504" s="276"/>
      <c r="L504" s="181">
        <f>I504+J504+K504</f>
        <v>63685.65</v>
      </c>
      <c r="M504" s="211">
        <f>4000</f>
        <v>4000</v>
      </c>
      <c r="N504" s="292"/>
      <c r="O504" s="235">
        <f>L504+M504+N504</f>
        <v>67685.65</v>
      </c>
      <c r="P504" s="112"/>
      <c r="Q504" s="46">
        <f t="shared" si="160"/>
        <v>67685.65</v>
      </c>
    </row>
    <row r="505" spans="1:17" ht="12.75">
      <c r="A505" s="10" t="s">
        <v>132</v>
      </c>
      <c r="B505" s="59"/>
      <c r="C505" s="106"/>
      <c r="D505" s="75"/>
      <c r="E505" s="168"/>
      <c r="F505" s="198">
        <f t="shared" si="154"/>
        <v>0</v>
      </c>
      <c r="G505" s="211"/>
      <c r="H505" s="235"/>
      <c r="I505" s="181">
        <f>F505+G505+H505</f>
        <v>0</v>
      </c>
      <c r="J505" s="181"/>
      <c r="K505" s="276"/>
      <c r="L505" s="181">
        <f>I505+J505+K505</f>
        <v>0</v>
      </c>
      <c r="M505" s="211">
        <f>3600</f>
        <v>3600</v>
      </c>
      <c r="N505" s="292"/>
      <c r="O505" s="235">
        <f>L505+M505+N505</f>
        <v>3600</v>
      </c>
      <c r="P505" s="112"/>
      <c r="Q505" s="46">
        <f t="shared" si="160"/>
        <v>3600</v>
      </c>
    </row>
    <row r="506" spans="1:17" ht="12.75">
      <c r="A506" s="10" t="s">
        <v>125</v>
      </c>
      <c r="B506" s="59"/>
      <c r="C506" s="106">
        <v>8900</v>
      </c>
      <c r="D506" s="86">
        <f>5173.89-488.9</f>
        <v>4684.990000000001</v>
      </c>
      <c r="E506" s="168"/>
      <c r="F506" s="198">
        <f t="shared" si="154"/>
        <v>13584.990000000002</v>
      </c>
      <c r="G506" s="211">
        <f>-12000</f>
        <v>-12000</v>
      </c>
      <c r="H506" s="235"/>
      <c r="I506" s="181">
        <f>F506+G506+H506</f>
        <v>1584.9900000000016</v>
      </c>
      <c r="J506" s="181">
        <f>1200</f>
        <v>1200</v>
      </c>
      <c r="K506" s="276"/>
      <c r="L506" s="181">
        <f>I506+J506+K506</f>
        <v>2784.9900000000016</v>
      </c>
      <c r="M506" s="211">
        <f>-2000</f>
        <v>-2000</v>
      </c>
      <c r="N506" s="292"/>
      <c r="O506" s="235">
        <f>L506+M506+N506</f>
        <v>784.9900000000016</v>
      </c>
      <c r="P506" s="112"/>
      <c r="Q506" s="46">
        <f t="shared" si="160"/>
        <v>784.9900000000016</v>
      </c>
    </row>
    <row r="507" spans="1:17" ht="12.75">
      <c r="A507" s="11" t="s">
        <v>136</v>
      </c>
      <c r="B507" s="59"/>
      <c r="C507" s="106">
        <f>C508+C509</f>
        <v>10</v>
      </c>
      <c r="D507" s="75">
        <f aca="true" t="shared" si="167" ref="D507:Q507">D508+D509</f>
        <v>5517.57</v>
      </c>
      <c r="E507" s="168">
        <f t="shared" si="167"/>
        <v>0</v>
      </c>
      <c r="F507" s="198">
        <f t="shared" si="167"/>
        <v>5527.57</v>
      </c>
      <c r="G507" s="211">
        <f t="shared" si="167"/>
        <v>-308.31</v>
      </c>
      <c r="H507" s="235">
        <f t="shared" si="167"/>
        <v>0</v>
      </c>
      <c r="I507" s="181">
        <f t="shared" si="167"/>
        <v>5219.26</v>
      </c>
      <c r="J507" s="181">
        <f t="shared" si="167"/>
        <v>-378.90999999999997</v>
      </c>
      <c r="K507" s="276">
        <f t="shared" si="167"/>
        <v>0</v>
      </c>
      <c r="L507" s="181">
        <f t="shared" si="167"/>
        <v>4840.35</v>
      </c>
      <c r="M507" s="211">
        <f t="shared" si="167"/>
        <v>0</v>
      </c>
      <c r="N507" s="292">
        <f t="shared" si="167"/>
        <v>0</v>
      </c>
      <c r="O507" s="235">
        <f t="shared" si="167"/>
        <v>4840.35</v>
      </c>
      <c r="P507" s="107">
        <f t="shared" si="167"/>
        <v>0</v>
      </c>
      <c r="Q507" s="106">
        <f t="shared" si="167"/>
        <v>0</v>
      </c>
    </row>
    <row r="508" spans="1:17" ht="12.75">
      <c r="A508" s="11" t="s">
        <v>267</v>
      </c>
      <c r="B508" s="59"/>
      <c r="C508" s="106"/>
      <c r="D508" s="75">
        <f>517.57</f>
        <v>517.57</v>
      </c>
      <c r="E508" s="168"/>
      <c r="F508" s="198">
        <f t="shared" si="154"/>
        <v>517.57</v>
      </c>
      <c r="G508" s="211">
        <f>-200+91.69</f>
        <v>-108.31</v>
      </c>
      <c r="H508" s="235"/>
      <c r="I508" s="181">
        <f>F508+G508+H508</f>
        <v>409.26000000000005</v>
      </c>
      <c r="J508" s="181">
        <f>200-509.26</f>
        <v>-309.26</v>
      </c>
      <c r="K508" s="276"/>
      <c r="L508" s="181">
        <f>I508+J508+K508</f>
        <v>100.00000000000006</v>
      </c>
      <c r="M508" s="211"/>
      <c r="N508" s="292"/>
      <c r="O508" s="235">
        <f>L508+M508+N508</f>
        <v>100.00000000000006</v>
      </c>
      <c r="P508" s="112"/>
      <c r="Q508" s="46"/>
    </row>
    <row r="509" spans="1:17" ht="12.75">
      <c r="A509" s="14" t="s">
        <v>300</v>
      </c>
      <c r="B509" s="62"/>
      <c r="C509" s="132">
        <v>10</v>
      </c>
      <c r="D509" s="83">
        <f>5000</f>
        <v>5000</v>
      </c>
      <c r="E509" s="192"/>
      <c r="F509" s="203">
        <f t="shared" si="154"/>
        <v>5010</v>
      </c>
      <c r="G509" s="217">
        <f>-200</f>
        <v>-200</v>
      </c>
      <c r="H509" s="233"/>
      <c r="I509" s="187">
        <f>F509+G509+H509</f>
        <v>4810</v>
      </c>
      <c r="J509" s="187">
        <f>-108.65-200+195.8+43.2</f>
        <v>-69.64999999999996</v>
      </c>
      <c r="K509" s="217"/>
      <c r="L509" s="187">
        <f>I509+J509+K509</f>
        <v>4740.35</v>
      </c>
      <c r="M509" s="217"/>
      <c r="N509" s="298"/>
      <c r="O509" s="233">
        <f>L509+M509+N509</f>
        <v>4740.35</v>
      </c>
      <c r="P509" s="112"/>
      <c r="Q509" s="46"/>
    </row>
    <row r="510" spans="1:17" ht="13.5" thickBot="1">
      <c r="A510" s="25" t="s">
        <v>137</v>
      </c>
      <c r="B510" s="63"/>
      <c r="C510" s="100">
        <v>6618.08</v>
      </c>
      <c r="D510" s="78">
        <f>225.34+287.92</f>
        <v>513.26</v>
      </c>
      <c r="E510" s="169"/>
      <c r="F510" s="199">
        <f t="shared" si="154"/>
        <v>7131.34</v>
      </c>
      <c r="G510" s="213"/>
      <c r="H510" s="237">
        <f>2467.22</f>
        <v>2467.22</v>
      </c>
      <c r="I510" s="183">
        <f>SUM(F510:H510)</f>
        <v>9598.56</v>
      </c>
      <c r="J510" s="183">
        <f>35+11.11</f>
        <v>46.11</v>
      </c>
      <c r="K510" s="278"/>
      <c r="L510" s="183">
        <f>SUM(I510:K510)</f>
        <v>9644.67</v>
      </c>
      <c r="M510" s="213"/>
      <c r="N510" s="294"/>
      <c r="O510" s="237">
        <f>SUM(L510:N510)</f>
        <v>9644.67</v>
      </c>
      <c r="P510" s="269"/>
      <c r="Q510" s="7">
        <f>O510+P510</f>
        <v>9644.67</v>
      </c>
    </row>
    <row r="511" spans="1:17" ht="15.75" thickBot="1">
      <c r="A511" s="26" t="s">
        <v>138</v>
      </c>
      <c r="B511" s="66"/>
      <c r="C511" s="110">
        <f aca="true" t="shared" si="168" ref="C511:Q511">+C92+C112+C122+C140+C152+C180+C230+C249+C268+C286+C367+C397+C419+C426+C456+C460+C510+C433+C310</f>
        <v>4165163.4299999997</v>
      </c>
      <c r="D511" s="88">
        <f t="shared" si="168"/>
        <v>9632866.57</v>
      </c>
      <c r="E511" s="111">
        <f t="shared" si="168"/>
        <v>61319.539999999986</v>
      </c>
      <c r="F511" s="154">
        <f t="shared" si="168"/>
        <v>13859349.540000003</v>
      </c>
      <c r="G511" s="220">
        <f t="shared" si="168"/>
        <v>767416.51</v>
      </c>
      <c r="H511" s="243">
        <f t="shared" si="168"/>
        <v>48048.37</v>
      </c>
      <c r="I511" s="159">
        <f t="shared" si="168"/>
        <v>14674814.420000006</v>
      </c>
      <c r="J511" s="159">
        <f t="shared" si="168"/>
        <v>529506.22</v>
      </c>
      <c r="K511" s="262">
        <f t="shared" si="168"/>
        <v>11856.48</v>
      </c>
      <c r="L511" s="159">
        <f t="shared" si="168"/>
        <v>15216177.120000001</v>
      </c>
      <c r="M511" s="220">
        <f t="shared" si="168"/>
        <v>527783.0100000001</v>
      </c>
      <c r="N511" s="301">
        <f t="shared" si="168"/>
        <v>0</v>
      </c>
      <c r="O511" s="243">
        <f t="shared" si="168"/>
        <v>15743960.129999999</v>
      </c>
      <c r="P511" s="111">
        <f t="shared" si="168"/>
        <v>0</v>
      </c>
      <c r="Q511" s="110">
        <f t="shared" si="168"/>
        <v>11056750.770000001</v>
      </c>
    </row>
    <row r="512" spans="1:17" ht="13.5" thickBot="1">
      <c r="A512" s="27" t="s">
        <v>139</v>
      </c>
      <c r="B512" s="66"/>
      <c r="C512" s="135">
        <v>-6618.08</v>
      </c>
      <c r="D512" s="89">
        <f>-225.34-287.92</f>
        <v>-513.26</v>
      </c>
      <c r="E512" s="144"/>
      <c r="F512" s="149">
        <f t="shared" si="154"/>
        <v>-7131.34</v>
      </c>
      <c r="G512" s="221"/>
      <c r="H512" s="244"/>
      <c r="I512" s="183">
        <f>F512+G512+H512</f>
        <v>-7131.34</v>
      </c>
      <c r="J512" s="257">
        <f>-35-11.11</f>
        <v>-46.11</v>
      </c>
      <c r="K512" s="263"/>
      <c r="L512" s="183">
        <f>I512+J512+K512</f>
        <v>-7177.45</v>
      </c>
      <c r="M512" s="221"/>
      <c r="N512" s="302"/>
      <c r="O512" s="244">
        <f>L512+M512+N512</f>
        <v>-7177.45</v>
      </c>
      <c r="P512" s="144"/>
      <c r="Q512" s="135"/>
    </row>
    <row r="513" spans="1:17" ht="16.5" thickBot="1">
      <c r="A513" s="28" t="s">
        <v>140</v>
      </c>
      <c r="B513" s="66"/>
      <c r="C513" s="136">
        <f aca="true" t="shared" si="169" ref="C513:Q513">C511+C512</f>
        <v>4158545.3499999996</v>
      </c>
      <c r="D513" s="90">
        <f t="shared" si="169"/>
        <v>9632353.31</v>
      </c>
      <c r="E513" s="145">
        <f t="shared" si="169"/>
        <v>61319.539999999986</v>
      </c>
      <c r="F513" s="155">
        <f t="shared" si="169"/>
        <v>13852218.200000003</v>
      </c>
      <c r="G513" s="222">
        <f t="shared" si="169"/>
        <v>767416.51</v>
      </c>
      <c r="H513" s="245">
        <f t="shared" si="169"/>
        <v>48048.37</v>
      </c>
      <c r="I513" s="160">
        <f t="shared" si="169"/>
        <v>14667683.080000006</v>
      </c>
      <c r="J513" s="160">
        <f t="shared" si="169"/>
        <v>529460.11</v>
      </c>
      <c r="K513" s="264">
        <f t="shared" si="169"/>
        <v>11856.48</v>
      </c>
      <c r="L513" s="160">
        <f t="shared" si="169"/>
        <v>15208999.670000002</v>
      </c>
      <c r="M513" s="222">
        <f t="shared" si="169"/>
        <v>527783.0100000001</v>
      </c>
      <c r="N513" s="303">
        <f t="shared" si="169"/>
        <v>0</v>
      </c>
      <c r="O513" s="245">
        <f t="shared" si="169"/>
        <v>15736782.68</v>
      </c>
      <c r="P513" s="145">
        <f t="shared" si="169"/>
        <v>0</v>
      </c>
      <c r="Q513" s="136">
        <f t="shared" si="169"/>
        <v>11056750.770000001</v>
      </c>
    </row>
    <row r="514" spans="1:17" ht="15.75">
      <c r="A514" s="29" t="s">
        <v>27</v>
      </c>
      <c r="B514" s="67"/>
      <c r="C514" s="137"/>
      <c r="D514" s="91"/>
      <c r="E514" s="146"/>
      <c r="F514" s="156"/>
      <c r="G514" s="223"/>
      <c r="H514" s="246"/>
      <c r="I514" s="161"/>
      <c r="J514" s="161"/>
      <c r="K514" s="265"/>
      <c r="L514" s="161"/>
      <c r="M514" s="223"/>
      <c r="N514" s="304"/>
      <c r="O514" s="246"/>
      <c r="P514" s="146"/>
      <c r="Q514" s="137"/>
    </row>
    <row r="515" spans="1:17" ht="15.75">
      <c r="A515" s="30" t="s">
        <v>251</v>
      </c>
      <c r="B515" s="68"/>
      <c r="C515" s="138">
        <f aca="true" t="shared" si="170" ref="C515:Q515">+C93+C113+C123+C141+C153+C181+C231+C250+C269+C287+C368+C398+C420+C427+C457+C462+C510+C512+C434+C311</f>
        <v>3319817.7499999995</v>
      </c>
      <c r="D515" s="92">
        <f t="shared" si="170"/>
        <v>7432859.159999997</v>
      </c>
      <c r="E515" s="147">
        <f t="shared" si="170"/>
        <v>3565.07</v>
      </c>
      <c r="F515" s="157">
        <f t="shared" si="170"/>
        <v>10756241.979999999</v>
      </c>
      <c r="G515" s="224">
        <f t="shared" si="170"/>
        <v>273634.91</v>
      </c>
      <c r="H515" s="247">
        <f t="shared" si="170"/>
        <v>3927.46</v>
      </c>
      <c r="I515" s="162">
        <f t="shared" si="170"/>
        <v>11033804.350000001</v>
      </c>
      <c r="J515" s="162">
        <f t="shared" si="170"/>
        <v>232011.00999999998</v>
      </c>
      <c r="K515" s="266">
        <f t="shared" si="170"/>
        <v>571.18</v>
      </c>
      <c r="L515" s="162">
        <f t="shared" si="170"/>
        <v>11266386.540000001</v>
      </c>
      <c r="M515" s="224">
        <f t="shared" si="170"/>
        <v>213064.58000000002</v>
      </c>
      <c r="N515" s="305">
        <f t="shared" si="170"/>
        <v>0</v>
      </c>
      <c r="O515" s="247">
        <f t="shared" si="170"/>
        <v>11479451.120000003</v>
      </c>
      <c r="P515" s="147">
        <f t="shared" si="170"/>
        <v>0</v>
      </c>
      <c r="Q515" s="138">
        <f t="shared" si="170"/>
        <v>10024008.84</v>
      </c>
    </row>
    <row r="516" spans="1:17" ht="16.5" thickBot="1">
      <c r="A516" s="16" t="s">
        <v>252</v>
      </c>
      <c r="B516" s="69"/>
      <c r="C516" s="139">
        <f aca="true" t="shared" si="171" ref="C516:Q516">+C102+C119+C135+C146+C172+C221+C242+C261+C281+C306+C392+C410+C423+C463+C448+C336</f>
        <v>838727.6000000001</v>
      </c>
      <c r="D516" s="93">
        <f t="shared" si="171"/>
        <v>2199494.1500000004</v>
      </c>
      <c r="E516" s="148">
        <f t="shared" si="171"/>
        <v>57754.469999999994</v>
      </c>
      <c r="F516" s="158">
        <f t="shared" si="171"/>
        <v>3095976.2199999997</v>
      </c>
      <c r="G516" s="225">
        <f t="shared" si="171"/>
        <v>493781.6</v>
      </c>
      <c r="H516" s="248">
        <f t="shared" si="171"/>
        <v>44120.91</v>
      </c>
      <c r="I516" s="163">
        <f t="shared" si="171"/>
        <v>3633878.73</v>
      </c>
      <c r="J516" s="163">
        <f t="shared" si="171"/>
        <v>297449.10000000003</v>
      </c>
      <c r="K516" s="267">
        <f t="shared" si="171"/>
        <v>11285.300000000001</v>
      </c>
      <c r="L516" s="163">
        <f t="shared" si="171"/>
        <v>3942613.13</v>
      </c>
      <c r="M516" s="225">
        <f t="shared" si="171"/>
        <v>314718.4300000001</v>
      </c>
      <c r="N516" s="306">
        <f t="shared" si="171"/>
        <v>0</v>
      </c>
      <c r="O516" s="248">
        <f t="shared" si="171"/>
        <v>4257331.56</v>
      </c>
      <c r="P516" s="148">
        <f t="shared" si="171"/>
        <v>0</v>
      </c>
      <c r="Q516" s="139">
        <f t="shared" si="171"/>
        <v>1032741.9299999999</v>
      </c>
    </row>
    <row r="517" spans="1:17" ht="16.5" thickBot="1">
      <c r="A517" s="30" t="s">
        <v>245</v>
      </c>
      <c r="B517" s="68"/>
      <c r="C517" s="110">
        <f aca="true" t="shared" si="172" ref="C517:Q517">C90-C513</f>
        <v>162173.7000000002</v>
      </c>
      <c r="D517" s="88">
        <f t="shared" si="172"/>
        <v>-2435095.41</v>
      </c>
      <c r="E517" s="174">
        <f t="shared" si="172"/>
        <v>-61319.539999999986</v>
      </c>
      <c r="F517" s="154">
        <f t="shared" si="172"/>
        <v>-2334241.250000002</v>
      </c>
      <c r="G517" s="220">
        <f t="shared" si="172"/>
        <v>-1484.8200000000652</v>
      </c>
      <c r="H517" s="243">
        <f t="shared" si="172"/>
        <v>-20507.170000000002</v>
      </c>
      <c r="I517" s="159">
        <f t="shared" si="172"/>
        <v>-2356233.240000006</v>
      </c>
      <c r="J517" s="159">
        <f t="shared" si="172"/>
        <v>0</v>
      </c>
      <c r="K517" s="262">
        <f t="shared" si="172"/>
        <v>0</v>
      </c>
      <c r="L517" s="159">
        <f t="shared" si="172"/>
        <v>-2356233.240000002</v>
      </c>
      <c r="M517" s="220">
        <f t="shared" si="172"/>
        <v>0</v>
      </c>
      <c r="N517" s="301">
        <f t="shared" si="172"/>
        <v>0</v>
      </c>
      <c r="O517" s="243">
        <f t="shared" si="172"/>
        <v>-2356233.2399999984</v>
      </c>
      <c r="P517" s="111">
        <f t="shared" si="172"/>
        <v>0</v>
      </c>
      <c r="Q517" s="110">
        <f t="shared" si="172"/>
        <v>-2006337.210000001</v>
      </c>
    </row>
    <row r="518" spans="1:17" ht="15.75">
      <c r="A518" s="29" t="s">
        <v>253</v>
      </c>
      <c r="B518" s="67"/>
      <c r="C518" s="140">
        <f>SUM(C520:C523)</f>
        <v>-162173.7</v>
      </c>
      <c r="D518" s="94">
        <f aca="true" t="shared" si="173" ref="D518:Q518">SUM(D520:D523)</f>
        <v>2435095.41</v>
      </c>
      <c r="E518" s="175">
        <f t="shared" si="173"/>
        <v>61319.54</v>
      </c>
      <c r="F518" s="206">
        <f t="shared" si="173"/>
        <v>2334241.25</v>
      </c>
      <c r="G518" s="226">
        <f t="shared" si="173"/>
        <v>1484.8200000000002</v>
      </c>
      <c r="H518" s="249">
        <f t="shared" si="173"/>
        <v>20507.17</v>
      </c>
      <c r="I518" s="190">
        <f t="shared" si="173"/>
        <v>2356233.24</v>
      </c>
      <c r="J518" s="190">
        <f t="shared" si="173"/>
        <v>0</v>
      </c>
      <c r="K518" s="285">
        <f t="shared" si="173"/>
        <v>0</v>
      </c>
      <c r="L518" s="190">
        <f t="shared" si="173"/>
        <v>2356233.24</v>
      </c>
      <c r="M518" s="226">
        <f t="shared" si="173"/>
        <v>0</v>
      </c>
      <c r="N518" s="307">
        <f t="shared" si="173"/>
        <v>0</v>
      </c>
      <c r="O518" s="249">
        <f t="shared" si="173"/>
        <v>2356233.24</v>
      </c>
      <c r="P518" s="126">
        <f t="shared" si="173"/>
        <v>0</v>
      </c>
      <c r="Q518" s="99">
        <f t="shared" si="173"/>
        <v>2356233.24</v>
      </c>
    </row>
    <row r="519" spans="1:17" ht="12.75" customHeight="1">
      <c r="A519" s="31" t="s">
        <v>27</v>
      </c>
      <c r="B519" s="70"/>
      <c r="C519" s="141"/>
      <c r="D519" s="95"/>
      <c r="E519" s="195"/>
      <c r="F519" s="207"/>
      <c r="G519" s="227"/>
      <c r="H519" s="250"/>
      <c r="I519" s="191"/>
      <c r="J519" s="258"/>
      <c r="K519" s="286"/>
      <c r="L519" s="191"/>
      <c r="M519" s="227"/>
      <c r="N519" s="308"/>
      <c r="O519" s="251"/>
      <c r="P519" s="112"/>
      <c r="Q519" s="46"/>
    </row>
    <row r="520" spans="1:17" ht="15" hidden="1">
      <c r="A520" s="31" t="s">
        <v>141</v>
      </c>
      <c r="B520" s="70"/>
      <c r="C520" s="142"/>
      <c r="D520" s="117"/>
      <c r="E520" s="196"/>
      <c r="F520" s="208">
        <f>SUM(C520:E520)</f>
        <v>0</v>
      </c>
      <c r="G520" s="228"/>
      <c r="H520" s="251"/>
      <c r="I520" s="232">
        <f>SUM(F520:H520)</f>
        <v>0</v>
      </c>
      <c r="J520" s="191"/>
      <c r="K520" s="287"/>
      <c r="L520" s="289">
        <f>SUM(I520:K520)</f>
        <v>0</v>
      </c>
      <c r="M520" s="228"/>
      <c r="N520" s="309"/>
      <c r="O520" s="251">
        <f>SUM(L520:N520)</f>
        <v>0</v>
      </c>
      <c r="P520" s="112"/>
      <c r="Q520" s="46">
        <f t="shared" si="160"/>
        <v>0</v>
      </c>
    </row>
    <row r="521" spans="1:17" ht="15">
      <c r="A521" s="32" t="s">
        <v>149</v>
      </c>
      <c r="B521" s="70"/>
      <c r="C521" s="142">
        <v>-162173.7</v>
      </c>
      <c r="D521" s="117"/>
      <c r="E521" s="196"/>
      <c r="F521" s="208">
        <f>SUM(C521:E521)</f>
        <v>-162173.7</v>
      </c>
      <c r="G521" s="228"/>
      <c r="H521" s="251"/>
      <c r="I521" s="232">
        <f>SUM(F521:H521)</f>
        <v>-162173.7</v>
      </c>
      <c r="J521" s="191"/>
      <c r="K521" s="287"/>
      <c r="L521" s="289">
        <f>SUM(I521:K521)</f>
        <v>-162173.7</v>
      </c>
      <c r="M521" s="228"/>
      <c r="N521" s="309"/>
      <c r="O521" s="313">
        <f>SUM(L521:N521)</f>
        <v>-162173.7</v>
      </c>
      <c r="P521" s="112"/>
      <c r="Q521" s="46">
        <f t="shared" si="160"/>
        <v>-162173.7</v>
      </c>
    </row>
    <row r="522" spans="1:17" ht="15.75" thickBot="1">
      <c r="A522" s="32" t="s">
        <v>142</v>
      </c>
      <c r="B522" s="70"/>
      <c r="C522" s="142"/>
      <c r="D522" s="117">
        <f>7643.45+12546.26+20155.5+1200+25000+37641.68+374655.72+1098941.75+5000+748.61+32.5+500+4400+18957.44+3802.86+1285.67+4925.8+10196.03+2236+2311.1+13.32+134430.47+1452.22+315.76+36714.98+400+9223.46+178862.17+24692.41+1857.7+346.05+14435.28+3548.57+27404.54+35420.36+326517.4+7280.35</f>
        <v>2435095.41</v>
      </c>
      <c r="E522" s="196">
        <v>61319.54</v>
      </c>
      <c r="F522" s="208">
        <f>SUM(C522:E522)</f>
        <v>2496414.95</v>
      </c>
      <c r="G522" s="142">
        <f>1390.13+3+91.69</f>
        <v>1484.8200000000002</v>
      </c>
      <c r="H522" s="253">
        <f>20507.17-2467.22</f>
        <v>18039.949999999997</v>
      </c>
      <c r="I522" s="232">
        <f>SUM(F522:H522)</f>
        <v>2515939.72</v>
      </c>
      <c r="J522" s="191"/>
      <c r="K522" s="287"/>
      <c r="L522" s="289">
        <f>SUM(I522:K522)</f>
        <v>2515939.72</v>
      </c>
      <c r="M522" s="228"/>
      <c r="N522" s="309"/>
      <c r="O522" s="313">
        <f>SUM(L522:N522)</f>
        <v>2515939.72</v>
      </c>
      <c r="P522" s="271"/>
      <c r="Q522" s="47">
        <f t="shared" si="160"/>
        <v>2515939.72</v>
      </c>
    </row>
    <row r="523" spans="1:17" ht="15.75" thickBot="1">
      <c r="A523" s="40" t="s">
        <v>162</v>
      </c>
      <c r="B523" s="71"/>
      <c r="C523" s="143"/>
      <c r="D523" s="118" t="s">
        <v>221</v>
      </c>
      <c r="E523" s="197"/>
      <c r="F523" s="209">
        <f>SUM(C523:E523)</f>
        <v>0</v>
      </c>
      <c r="G523" s="229"/>
      <c r="H523" s="254">
        <v>2467.22</v>
      </c>
      <c r="I523" s="231">
        <f>SUM(F523:H523)</f>
        <v>2467.22</v>
      </c>
      <c r="J523" s="259">
        <v>0</v>
      </c>
      <c r="K523" s="288">
        <v>0</v>
      </c>
      <c r="L523" s="290">
        <f>SUM(I523:K523)</f>
        <v>2467.22</v>
      </c>
      <c r="M523" s="229"/>
      <c r="N523" s="310"/>
      <c r="O523" s="314">
        <f>SUM(L523:N523)</f>
        <v>2467.22</v>
      </c>
      <c r="P523" s="271"/>
      <c r="Q523" s="47">
        <f t="shared" si="160"/>
        <v>2467.22</v>
      </c>
    </row>
    <row r="524" spans="2:17" ht="12.75">
      <c r="B524" s="72"/>
      <c r="C524" s="87">
        <f aca="true" t="shared" si="174" ref="C524:Q524">C90+C518-C513</f>
        <v>0</v>
      </c>
      <c r="D524" s="87">
        <f t="shared" si="174"/>
        <v>0</v>
      </c>
      <c r="E524" s="87">
        <f t="shared" si="174"/>
        <v>0</v>
      </c>
      <c r="F524" s="87">
        <f t="shared" si="174"/>
        <v>0</v>
      </c>
      <c r="G524" s="109">
        <f t="shared" si="174"/>
        <v>0</v>
      </c>
      <c r="H524" s="109">
        <f t="shared" si="174"/>
        <v>0</v>
      </c>
      <c r="I524" s="109">
        <f t="shared" si="174"/>
        <v>0</v>
      </c>
      <c r="J524" s="109">
        <f t="shared" si="174"/>
        <v>0</v>
      </c>
      <c r="K524" s="109">
        <f t="shared" si="174"/>
        <v>0</v>
      </c>
      <c r="L524" s="109">
        <f t="shared" si="174"/>
        <v>0</v>
      </c>
      <c r="M524" s="109">
        <f t="shared" si="174"/>
        <v>0</v>
      </c>
      <c r="N524" s="109">
        <f t="shared" si="174"/>
        <v>0</v>
      </c>
      <c r="O524" s="109">
        <f t="shared" si="174"/>
        <v>0</v>
      </c>
      <c r="P524" s="39">
        <f t="shared" si="174"/>
        <v>0</v>
      </c>
      <c r="Q524" s="39">
        <f t="shared" si="174"/>
        <v>349896.02999999933</v>
      </c>
    </row>
    <row r="525" spans="2:16" ht="12.75">
      <c r="B525" s="72"/>
      <c r="J525" s="109"/>
      <c r="K525" s="109"/>
      <c r="L525" s="109"/>
      <c r="M525" s="109"/>
      <c r="N525" s="109"/>
      <c r="O525" s="109"/>
      <c r="P525" s="39"/>
    </row>
    <row r="526" spans="2:16" ht="12.75">
      <c r="B526" s="72"/>
      <c r="D526" s="109"/>
      <c r="J526" s="109"/>
      <c r="K526" s="109"/>
      <c r="L526" s="109"/>
      <c r="M526" s="109"/>
      <c r="N526" s="109"/>
      <c r="O526" s="109"/>
      <c r="P526" s="39"/>
    </row>
    <row r="527" spans="2:16" ht="12.75">
      <c r="B527" s="72"/>
      <c r="J527" s="109"/>
      <c r="K527" s="109"/>
      <c r="L527" s="109"/>
      <c r="M527" s="109"/>
      <c r="N527" s="109"/>
      <c r="O527" s="109"/>
      <c r="P527" s="39"/>
    </row>
    <row r="528" spans="2:16" ht="12.75">
      <c r="B528" s="72"/>
      <c r="J528" s="109"/>
      <c r="K528" s="109"/>
      <c r="L528" s="109"/>
      <c r="M528" s="109"/>
      <c r="N528" s="109"/>
      <c r="O528" s="109"/>
      <c r="P528" s="39"/>
    </row>
    <row r="529" spans="2:16" ht="12.75">
      <c r="B529" s="72"/>
      <c r="J529" s="109"/>
      <c r="K529" s="109"/>
      <c r="L529" s="109"/>
      <c r="M529" s="109"/>
      <c r="N529" s="109"/>
      <c r="O529" s="109"/>
      <c r="P529" s="39"/>
    </row>
    <row r="530" spans="2:16" ht="12.75">
      <c r="B530" s="72"/>
      <c r="J530" s="109"/>
      <c r="K530" s="109"/>
      <c r="L530" s="109"/>
      <c r="M530" s="109"/>
      <c r="N530" s="109"/>
      <c r="O530" s="109"/>
      <c r="P530" s="39"/>
    </row>
    <row r="531" spans="2:16" ht="12.75">
      <c r="B531" s="72"/>
      <c r="J531" s="109"/>
      <c r="K531" s="109"/>
      <c r="L531" s="109"/>
      <c r="M531" s="109"/>
      <c r="N531" s="109"/>
      <c r="O531" s="109"/>
      <c r="P531" s="39"/>
    </row>
    <row r="532" spans="2:16" ht="12.75">
      <c r="B532" s="72"/>
      <c r="J532" s="109"/>
      <c r="K532" s="109"/>
      <c r="L532" s="109"/>
      <c r="M532" s="109"/>
      <c r="N532" s="109"/>
      <c r="O532" s="109"/>
      <c r="P532" s="39"/>
    </row>
    <row r="533" spans="2:16" ht="12.75">
      <c r="B533" s="72"/>
      <c r="J533" s="109"/>
      <c r="K533" s="109"/>
      <c r="L533" s="109"/>
      <c r="M533" s="109"/>
      <c r="N533" s="109"/>
      <c r="O533" s="109"/>
      <c r="P533" s="39"/>
    </row>
    <row r="534" spans="2:16" ht="12.75">
      <c r="B534" s="72"/>
      <c r="J534" s="109"/>
      <c r="K534" s="109"/>
      <c r="L534" s="109"/>
      <c r="P534" s="39"/>
    </row>
    <row r="535" spans="2:16" ht="12.75">
      <c r="B535" s="72"/>
      <c r="J535" s="109"/>
      <c r="K535" s="109"/>
      <c r="L535" s="109"/>
      <c r="P535" s="39"/>
    </row>
    <row r="536" spans="2:16" ht="12.75">
      <c r="B536" s="72"/>
      <c r="J536" s="109"/>
      <c r="K536" s="109"/>
      <c r="L536" s="109"/>
      <c r="P536" s="39"/>
    </row>
    <row r="537" spans="2:16" ht="12.75">
      <c r="B537" s="72"/>
      <c r="J537" s="109"/>
      <c r="K537" s="109"/>
      <c r="L537" s="109"/>
      <c r="P537" s="39"/>
    </row>
    <row r="538" spans="2:16" ht="12.75">
      <c r="B538" s="72"/>
      <c r="J538" s="109"/>
      <c r="K538" s="109"/>
      <c r="P538" s="39"/>
    </row>
    <row r="539" spans="2:16" ht="12.75">
      <c r="B539" s="72"/>
      <c r="J539" s="109"/>
      <c r="K539" s="109"/>
      <c r="P539" s="39"/>
    </row>
    <row r="540" spans="2:16" ht="12.75">
      <c r="B540" s="72"/>
      <c r="J540" s="109"/>
      <c r="K540" s="109"/>
      <c r="P540" s="39"/>
    </row>
    <row r="541" spans="2:16" ht="12.75">
      <c r="B541" s="72"/>
      <c r="J541" s="109"/>
      <c r="K541" s="109"/>
      <c r="P541" s="39"/>
    </row>
    <row r="542" spans="2:16" ht="12.75">
      <c r="B542" s="72"/>
      <c r="J542" s="109"/>
      <c r="K542" s="109"/>
      <c r="P542" s="39"/>
    </row>
    <row r="543" spans="2:16" ht="12.75">
      <c r="B543" s="72"/>
      <c r="J543" s="109"/>
      <c r="K543" s="109"/>
      <c r="P543" s="39"/>
    </row>
    <row r="544" spans="10:16" ht="12.75">
      <c r="J544" s="109"/>
      <c r="K544" s="109"/>
      <c r="P544" s="39"/>
    </row>
    <row r="545" spans="10:16" ht="12.75">
      <c r="J545" s="109"/>
      <c r="K545" s="109"/>
      <c r="P545" s="39"/>
    </row>
    <row r="546" spans="10:16" ht="12.75">
      <c r="J546" s="109"/>
      <c r="K546" s="109"/>
      <c r="P546" s="39"/>
    </row>
    <row r="547" spans="10:16" ht="12.75">
      <c r="J547" s="109"/>
      <c r="K547" s="109"/>
      <c r="P547" s="39"/>
    </row>
    <row r="548" spans="10:16" ht="12.75">
      <c r="J548" s="109"/>
      <c r="K548" s="109"/>
      <c r="P548" s="39"/>
    </row>
    <row r="549" spans="10:16" ht="12.75">
      <c r="J549" s="109"/>
      <c r="K549" s="109"/>
      <c r="P549" s="39"/>
    </row>
    <row r="550" spans="10:16" ht="12.75">
      <c r="J550" s="109"/>
      <c r="K550" s="109"/>
      <c r="P550" s="39"/>
    </row>
    <row r="551" spans="10:16" ht="12.75">
      <c r="J551" s="109"/>
      <c r="K551" s="109"/>
      <c r="P551" s="39"/>
    </row>
    <row r="552" spans="10:16" ht="12.75">
      <c r="J552" s="109"/>
      <c r="K552" s="109"/>
      <c r="P552" s="39"/>
    </row>
    <row r="553" spans="10:16" ht="12.75">
      <c r="J553" s="109"/>
      <c r="K553" s="109"/>
      <c r="P553" s="39"/>
    </row>
    <row r="554" spans="10:16" ht="12.75">
      <c r="J554" s="109"/>
      <c r="K554" s="109"/>
      <c r="P554" s="39"/>
    </row>
    <row r="555" spans="10:16" ht="12.75">
      <c r="J555" s="109"/>
      <c r="K555" s="109"/>
      <c r="P555" s="39"/>
    </row>
    <row r="556" spans="10:16" ht="12.75">
      <c r="J556" s="109"/>
      <c r="P556" s="39"/>
    </row>
    <row r="557" ht="12.75">
      <c r="J557" s="109"/>
    </row>
    <row r="558" ht="12.75">
      <c r="J558" s="10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5433070866141736" right="0.35433070866141736" top="0.6692913385826772" bottom="0.5905511811023623" header="0.31496062992125984" footer="0.35433070866141736"/>
  <pageSetup horizontalDpi="600" verticalDpi="600" orientation="portrait" paperSize="9" scale="88" r:id="rId1"/>
  <headerFooter alignWithMargins="0">
    <oddFooter>&amp;CStránka &amp;P</oddFooter>
  </headerFooter>
  <rowBreaks count="6" manualBreakCount="6">
    <brk id="90" max="14" man="1"/>
    <brk id="169" max="14" man="1"/>
    <brk id="257" max="14" man="1"/>
    <brk id="343" max="14" man="1"/>
    <brk id="425" max="14" man="1"/>
    <brk id="49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58"/>
  <sheetViews>
    <sheetView tabSelected="1" zoomScaleSheetLayoutView="69" zoomScalePageLayoutView="0" workbookViewId="0" topLeftCell="A1">
      <pane xSplit="1" ySplit="9" topLeftCell="C44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452" sqref="N452"/>
    </sheetView>
  </sheetViews>
  <sheetFormatPr defaultColWidth="9.00390625" defaultRowHeight="12.75"/>
  <cols>
    <col min="1" max="1" width="46.125" style="0" customWidth="1"/>
    <col min="2" max="2" width="10.00390625" style="0" hidden="1" customWidth="1"/>
    <col min="3" max="3" width="15.00390625" style="0" customWidth="1"/>
    <col min="4" max="4" width="15.125" style="0" hidden="1" customWidth="1"/>
    <col min="5" max="5" width="12.25390625" style="0" hidden="1" customWidth="1"/>
    <col min="6" max="6" width="16.25390625" style="0" hidden="1" customWidth="1"/>
    <col min="7" max="7" width="12.625" style="0" hidden="1" customWidth="1"/>
    <col min="8" max="8" width="11.75390625" style="0" hidden="1" customWidth="1"/>
    <col min="9" max="9" width="15.625" style="0" hidden="1" customWidth="1"/>
    <col min="10" max="10" width="12.875" style="0" hidden="1" customWidth="1"/>
    <col min="11" max="11" width="13.75390625" style="0" hidden="1" customWidth="1"/>
    <col min="12" max="12" width="15.75390625" style="0" customWidth="1"/>
    <col min="13" max="13" width="13.00390625" style="0" customWidth="1"/>
    <col min="14" max="14" width="12.25390625" style="0" customWidth="1"/>
    <col min="15" max="15" width="15.75390625" style="0" customWidth="1"/>
    <col min="16" max="16" width="13.25390625" style="0" hidden="1" customWidth="1"/>
    <col min="17" max="17" width="15.125" style="0" hidden="1" customWidth="1"/>
    <col min="19" max="19" width="13.625" style="0" customWidth="1"/>
  </cols>
  <sheetData>
    <row r="1" spans="3:17" ht="12.75">
      <c r="C1" s="1"/>
      <c r="D1" s="1"/>
      <c r="E1" s="1"/>
      <c r="F1" s="2"/>
      <c r="I1" s="2"/>
      <c r="L1" s="2"/>
      <c r="O1" s="2" t="s">
        <v>146</v>
      </c>
      <c r="Q1" s="2" t="s">
        <v>146</v>
      </c>
    </row>
    <row r="2" spans="3:6" ht="9.75" customHeight="1">
      <c r="C2" s="1"/>
      <c r="D2" s="1"/>
      <c r="E2" s="1"/>
      <c r="F2" s="2"/>
    </row>
    <row r="3" spans="1:17" ht="15.75">
      <c r="A3" s="330" t="s">
        <v>280</v>
      </c>
      <c r="B3" s="330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</row>
    <row r="4" spans="1:17" ht="15.75">
      <c r="A4" s="332" t="s">
        <v>281</v>
      </c>
      <c r="B4" s="332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</row>
    <row r="5" spans="1:17" ht="15">
      <c r="A5" s="333" t="s">
        <v>0</v>
      </c>
      <c r="B5" s="333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17" ht="12.75">
      <c r="A6" s="334" t="s">
        <v>1</v>
      </c>
      <c r="B6" s="334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</row>
    <row r="7" spans="1:13" ht="18" customHeight="1" thickBot="1">
      <c r="A7" s="3"/>
      <c r="B7" s="3"/>
      <c r="C7" s="4"/>
      <c r="D7" s="101"/>
      <c r="E7" s="4"/>
      <c r="F7" s="4"/>
      <c r="G7" s="38"/>
      <c r="J7" s="41"/>
      <c r="M7" s="38"/>
    </row>
    <row r="8" spans="1:17" ht="12.75">
      <c r="A8" s="335" t="s">
        <v>2</v>
      </c>
      <c r="B8" s="49" t="s">
        <v>258</v>
      </c>
      <c r="C8" s="127" t="s">
        <v>3</v>
      </c>
      <c r="D8" s="6" t="s">
        <v>4</v>
      </c>
      <c r="E8" s="164" t="s">
        <v>5</v>
      </c>
      <c r="F8" s="176" t="s">
        <v>6</v>
      </c>
      <c r="G8" s="127" t="s">
        <v>7</v>
      </c>
      <c r="H8" s="252" t="s">
        <v>5</v>
      </c>
      <c r="I8" s="176" t="s">
        <v>6</v>
      </c>
      <c r="J8" s="176" t="s">
        <v>8</v>
      </c>
      <c r="K8" s="272" t="s">
        <v>5</v>
      </c>
      <c r="L8" s="176" t="s">
        <v>6</v>
      </c>
      <c r="M8" s="127" t="s">
        <v>9</v>
      </c>
      <c r="N8" s="6" t="s">
        <v>5</v>
      </c>
      <c r="O8" s="312" t="s">
        <v>6</v>
      </c>
      <c r="P8" s="152" t="s">
        <v>172</v>
      </c>
      <c r="Q8" s="43" t="s">
        <v>6</v>
      </c>
    </row>
    <row r="9" spans="1:17" ht="13.5" thickBot="1">
      <c r="A9" s="336"/>
      <c r="B9" s="115" t="s">
        <v>195</v>
      </c>
      <c r="C9" s="128" t="s">
        <v>10</v>
      </c>
      <c r="D9" s="36" t="s">
        <v>11</v>
      </c>
      <c r="E9" s="165" t="s">
        <v>12</v>
      </c>
      <c r="F9" s="177" t="s">
        <v>13</v>
      </c>
      <c r="G9" s="128" t="s">
        <v>11</v>
      </c>
      <c r="H9" s="37" t="s">
        <v>12</v>
      </c>
      <c r="I9" s="177" t="s">
        <v>14</v>
      </c>
      <c r="J9" s="177" t="s">
        <v>11</v>
      </c>
      <c r="K9" s="273" t="s">
        <v>12</v>
      </c>
      <c r="L9" s="177" t="s">
        <v>15</v>
      </c>
      <c r="M9" s="128" t="s">
        <v>11</v>
      </c>
      <c r="N9" s="36" t="s">
        <v>12</v>
      </c>
      <c r="O9" s="37" t="s">
        <v>16</v>
      </c>
      <c r="P9" s="153" t="s">
        <v>11</v>
      </c>
      <c r="Q9" s="44" t="s">
        <v>173</v>
      </c>
    </row>
    <row r="10" spans="1:17" ht="15.75" customHeight="1">
      <c r="A10" s="34" t="s">
        <v>17</v>
      </c>
      <c r="B10" s="50"/>
      <c r="C10" s="129"/>
      <c r="D10" s="5"/>
      <c r="E10" s="166"/>
      <c r="F10" s="178"/>
      <c r="G10" s="129"/>
      <c r="H10" s="35"/>
      <c r="I10" s="178"/>
      <c r="J10" s="178"/>
      <c r="K10" s="274"/>
      <c r="L10" s="178"/>
      <c r="M10" s="129"/>
      <c r="N10" s="5"/>
      <c r="O10" s="35"/>
      <c r="P10" s="255"/>
      <c r="Q10" s="45"/>
    </row>
    <row r="11" spans="1:17" ht="12.75">
      <c r="A11" s="8" t="s">
        <v>247</v>
      </c>
      <c r="B11" s="51"/>
      <c r="C11" s="113">
        <f>C13+C14+C15</f>
        <v>4012390</v>
      </c>
      <c r="D11" s="74">
        <f>D13+D14+D15</f>
        <v>19085.93</v>
      </c>
      <c r="E11" s="167">
        <f>E13+E14+E15</f>
        <v>0</v>
      </c>
      <c r="F11" s="179">
        <f aca="true" t="shared" si="0" ref="F11:Q11">F13+F14+F15</f>
        <v>4031475.93</v>
      </c>
      <c r="G11" s="210">
        <f t="shared" si="0"/>
        <v>148823.4</v>
      </c>
      <c r="H11" s="234">
        <f t="shared" si="0"/>
        <v>1020</v>
      </c>
      <c r="I11" s="182">
        <f t="shared" si="0"/>
        <v>4181319.33</v>
      </c>
      <c r="J11" s="182">
        <f t="shared" si="0"/>
        <v>59945.02</v>
      </c>
      <c r="K11" s="275">
        <f t="shared" si="0"/>
        <v>11856.48</v>
      </c>
      <c r="L11" s="182">
        <f t="shared" si="0"/>
        <v>4253120.83</v>
      </c>
      <c r="M11" s="210">
        <f t="shared" si="0"/>
        <v>8250</v>
      </c>
      <c r="N11" s="291">
        <f t="shared" si="0"/>
        <v>65770</v>
      </c>
      <c r="O11" s="234">
        <f t="shared" si="0"/>
        <v>4327140.83</v>
      </c>
      <c r="P11" s="114">
        <f t="shared" si="0"/>
        <v>0</v>
      </c>
      <c r="Q11" s="114">
        <f t="shared" si="0"/>
        <v>19085.93</v>
      </c>
    </row>
    <row r="12" spans="1:17" ht="12.75">
      <c r="A12" s="9" t="s">
        <v>18</v>
      </c>
      <c r="B12" s="52"/>
      <c r="C12" s="113"/>
      <c r="D12" s="74"/>
      <c r="E12" s="167"/>
      <c r="F12" s="179"/>
      <c r="G12" s="210"/>
      <c r="H12" s="234"/>
      <c r="I12" s="180"/>
      <c r="J12" s="182"/>
      <c r="K12" s="275"/>
      <c r="L12" s="182"/>
      <c r="M12" s="210"/>
      <c r="N12" s="291"/>
      <c r="O12" s="234"/>
      <c r="P12" s="112"/>
      <c r="Q12" s="46"/>
    </row>
    <row r="13" spans="1:17" ht="12.75">
      <c r="A13" s="60" t="s">
        <v>254</v>
      </c>
      <c r="B13" s="52"/>
      <c r="C13" s="106">
        <v>4010000</v>
      </c>
      <c r="D13" s="75"/>
      <c r="E13" s="167"/>
      <c r="F13" s="198">
        <f>C13+D13+E13</f>
        <v>4010000</v>
      </c>
      <c r="G13" s="211">
        <f>56000+2700+10000+3000+2000+2287.4+620+5000+40000+27216</f>
        <v>148823.4</v>
      </c>
      <c r="H13" s="235">
        <f>1020</f>
        <v>1020</v>
      </c>
      <c r="I13" s="181">
        <f>F13+G13+H13</f>
        <v>4159843.4</v>
      </c>
      <c r="J13" s="181">
        <f>31697.54+200+1941.45+16000+7606.03+2500</f>
        <v>59945.02</v>
      </c>
      <c r="K13" s="276">
        <f>1200+2000+6656.48+2000</f>
        <v>11856.48</v>
      </c>
      <c r="L13" s="181">
        <f>I13+J13+K13</f>
        <v>4231644.9</v>
      </c>
      <c r="M13" s="211">
        <f>7500+750</f>
        <v>8250</v>
      </c>
      <c r="N13" s="292">
        <f>40000+25770</f>
        <v>65770</v>
      </c>
      <c r="O13" s="235">
        <f>L13+M13+N13</f>
        <v>4305664.9</v>
      </c>
      <c r="P13" s="112"/>
      <c r="Q13" s="46"/>
    </row>
    <row r="14" spans="1:17" ht="12.75">
      <c r="A14" s="10" t="s">
        <v>19</v>
      </c>
      <c r="B14" s="53"/>
      <c r="C14" s="106"/>
      <c r="D14" s="86">
        <f>19085.93</f>
        <v>19085.93</v>
      </c>
      <c r="E14" s="168"/>
      <c r="F14" s="198">
        <f>C14+D14+E14</f>
        <v>19085.93</v>
      </c>
      <c r="G14" s="211"/>
      <c r="H14" s="234"/>
      <c r="I14" s="181">
        <f>F14+G14+H14</f>
        <v>19085.93</v>
      </c>
      <c r="J14" s="181"/>
      <c r="K14" s="275"/>
      <c r="L14" s="181">
        <f>I14+J14+K14</f>
        <v>19085.93</v>
      </c>
      <c r="M14" s="211"/>
      <c r="N14" s="291"/>
      <c r="O14" s="235">
        <f>L14+M14+N14</f>
        <v>19085.93</v>
      </c>
      <c r="P14" s="112"/>
      <c r="Q14" s="46">
        <f aca="true" t="shared" si="1" ref="Q14:Q79">O14+P14</f>
        <v>19085.93</v>
      </c>
    </row>
    <row r="15" spans="1:17" ht="12.75">
      <c r="A15" s="60" t="s">
        <v>255</v>
      </c>
      <c r="B15" s="53"/>
      <c r="C15" s="106">
        <v>2390</v>
      </c>
      <c r="D15" s="86"/>
      <c r="E15" s="168"/>
      <c r="F15" s="198">
        <f>C15+D15+E15</f>
        <v>2390</v>
      </c>
      <c r="G15" s="211"/>
      <c r="H15" s="234"/>
      <c r="I15" s="181">
        <f>F15+G15+H15</f>
        <v>2390</v>
      </c>
      <c r="J15" s="181"/>
      <c r="K15" s="275"/>
      <c r="L15" s="181">
        <f>I15+J15+K15</f>
        <v>2390</v>
      </c>
      <c r="M15" s="211"/>
      <c r="N15" s="291"/>
      <c r="O15" s="235">
        <f>L15+M15+N15</f>
        <v>2390</v>
      </c>
      <c r="P15" s="112"/>
      <c r="Q15" s="46"/>
    </row>
    <row r="16" spans="1:17" ht="12.75">
      <c r="A16" s="8" t="s">
        <v>248</v>
      </c>
      <c r="B16" s="51"/>
      <c r="C16" s="113">
        <f aca="true" t="shared" si="2" ref="C16:Q16">SUM(C18:C24)+C31</f>
        <v>207606.75</v>
      </c>
      <c r="D16" s="74">
        <f t="shared" si="2"/>
        <v>12131.49</v>
      </c>
      <c r="E16" s="167">
        <f t="shared" si="2"/>
        <v>0</v>
      </c>
      <c r="F16" s="179">
        <f t="shared" si="2"/>
        <v>219738.24000000002</v>
      </c>
      <c r="G16" s="210">
        <f t="shared" si="2"/>
        <v>31216.44</v>
      </c>
      <c r="H16" s="234">
        <f t="shared" si="2"/>
        <v>26521.2</v>
      </c>
      <c r="I16" s="182">
        <f t="shared" si="2"/>
        <v>277475.88</v>
      </c>
      <c r="J16" s="182">
        <f t="shared" si="2"/>
        <v>17441.21</v>
      </c>
      <c r="K16" s="275">
        <f t="shared" si="2"/>
        <v>0</v>
      </c>
      <c r="L16" s="182">
        <f t="shared" si="2"/>
        <v>294917.08999999997</v>
      </c>
      <c r="M16" s="210">
        <f t="shared" si="2"/>
        <v>43421.95</v>
      </c>
      <c r="N16" s="291">
        <f t="shared" si="2"/>
        <v>0</v>
      </c>
      <c r="O16" s="234">
        <f t="shared" si="2"/>
        <v>338339.04000000004</v>
      </c>
      <c r="P16" s="98">
        <f t="shared" si="2"/>
        <v>0</v>
      </c>
      <c r="Q16" s="73">
        <f t="shared" si="2"/>
        <v>276147.9</v>
      </c>
    </row>
    <row r="17" spans="1:17" ht="10.5" customHeight="1">
      <c r="A17" s="9" t="s">
        <v>20</v>
      </c>
      <c r="B17" s="52"/>
      <c r="C17" s="113"/>
      <c r="D17" s="74"/>
      <c r="E17" s="167"/>
      <c r="F17" s="179"/>
      <c r="G17" s="210"/>
      <c r="H17" s="234"/>
      <c r="I17" s="182"/>
      <c r="J17" s="182"/>
      <c r="K17" s="275"/>
      <c r="L17" s="182"/>
      <c r="M17" s="210"/>
      <c r="N17" s="291"/>
      <c r="O17" s="234"/>
      <c r="P17" s="112"/>
      <c r="Q17" s="46"/>
    </row>
    <row r="18" spans="1:17" ht="12.75">
      <c r="A18" s="10" t="s">
        <v>21</v>
      </c>
      <c r="B18" s="53"/>
      <c r="C18" s="106">
        <v>200</v>
      </c>
      <c r="D18" s="75"/>
      <c r="E18" s="168"/>
      <c r="F18" s="198">
        <f>C18+D18+E18</f>
        <v>200</v>
      </c>
      <c r="G18" s="211"/>
      <c r="H18" s="235"/>
      <c r="I18" s="181">
        <f aca="true" t="shared" si="3" ref="I18:I23">F18+G18+H18</f>
        <v>200</v>
      </c>
      <c r="J18" s="181"/>
      <c r="K18" s="276"/>
      <c r="L18" s="181">
        <f aca="true" t="shared" si="4" ref="L18:L23">I18+J18+K18</f>
        <v>200</v>
      </c>
      <c r="M18" s="211"/>
      <c r="N18" s="292"/>
      <c r="O18" s="235">
        <f aca="true" t="shared" si="5" ref="O18:O23">L18+M18+N18</f>
        <v>200</v>
      </c>
      <c r="P18" s="112"/>
      <c r="Q18" s="46">
        <f t="shared" si="1"/>
        <v>200</v>
      </c>
    </row>
    <row r="19" spans="1:17" ht="12.75">
      <c r="A19" s="60" t="s">
        <v>308</v>
      </c>
      <c r="B19" s="53"/>
      <c r="C19" s="106"/>
      <c r="D19" s="75">
        <f>0.98</f>
        <v>0.98</v>
      </c>
      <c r="E19" s="168"/>
      <c r="F19" s="198">
        <f aca="true" t="shared" si="6" ref="F19:F31">C19+D19+E19</f>
        <v>0.98</v>
      </c>
      <c r="G19" s="211">
        <f>1075.48+2843.17</f>
        <v>3918.65</v>
      </c>
      <c r="H19" s="235"/>
      <c r="I19" s="181">
        <f t="shared" si="3"/>
        <v>3919.63</v>
      </c>
      <c r="J19" s="181">
        <f>1724.13+776.6+832.28+6016.28+21.78</f>
        <v>9371.070000000002</v>
      </c>
      <c r="K19" s="276"/>
      <c r="L19" s="181">
        <f t="shared" si="4"/>
        <v>13290.7</v>
      </c>
      <c r="M19" s="211">
        <f>752.84+557.3+1029.36+1216.06+6955.27+2365.41+933.9</f>
        <v>13810.14</v>
      </c>
      <c r="N19" s="292"/>
      <c r="O19" s="235">
        <f t="shared" si="5"/>
        <v>27100.84</v>
      </c>
      <c r="P19" s="112"/>
      <c r="Q19" s="46">
        <f t="shared" si="1"/>
        <v>27100.84</v>
      </c>
    </row>
    <row r="20" spans="1:17" ht="12.75">
      <c r="A20" s="60" t="s">
        <v>314</v>
      </c>
      <c r="B20" s="53"/>
      <c r="C20" s="106">
        <v>30000</v>
      </c>
      <c r="D20" s="75"/>
      <c r="E20" s="168"/>
      <c r="F20" s="198">
        <f t="shared" si="6"/>
        <v>30000</v>
      </c>
      <c r="G20" s="211"/>
      <c r="H20" s="235"/>
      <c r="I20" s="181">
        <f t="shared" si="3"/>
        <v>30000</v>
      </c>
      <c r="J20" s="181"/>
      <c r="K20" s="276"/>
      <c r="L20" s="181">
        <f t="shared" si="4"/>
        <v>30000</v>
      </c>
      <c r="M20" s="211"/>
      <c r="N20" s="292"/>
      <c r="O20" s="235">
        <f t="shared" si="5"/>
        <v>30000</v>
      </c>
      <c r="P20" s="112"/>
      <c r="Q20" s="46">
        <f t="shared" si="1"/>
        <v>30000</v>
      </c>
    </row>
    <row r="21" spans="1:17" ht="12.75">
      <c r="A21" s="11" t="s">
        <v>309</v>
      </c>
      <c r="B21" s="54"/>
      <c r="C21" s="106">
        <v>79816.15</v>
      </c>
      <c r="D21" s="75"/>
      <c r="E21" s="168"/>
      <c r="F21" s="198">
        <f t="shared" si="6"/>
        <v>79816.15</v>
      </c>
      <c r="G21" s="211"/>
      <c r="H21" s="235"/>
      <c r="I21" s="181">
        <f t="shared" si="3"/>
        <v>79816.15</v>
      </c>
      <c r="J21" s="181">
        <f>1608.75</f>
        <v>1608.75</v>
      </c>
      <c r="K21" s="276"/>
      <c r="L21" s="181">
        <f t="shared" si="4"/>
        <v>81424.9</v>
      </c>
      <c r="M21" s="211">
        <f>24049.6</f>
        <v>24049.6</v>
      </c>
      <c r="N21" s="292"/>
      <c r="O21" s="235">
        <f t="shared" si="5"/>
        <v>105474.5</v>
      </c>
      <c r="P21" s="112"/>
      <c r="Q21" s="46">
        <f t="shared" si="1"/>
        <v>105474.5</v>
      </c>
    </row>
    <row r="22" spans="1:17" ht="12.75">
      <c r="A22" s="11" t="s">
        <v>310</v>
      </c>
      <c r="B22" s="54"/>
      <c r="C22" s="106"/>
      <c r="D22" s="75"/>
      <c r="E22" s="168"/>
      <c r="F22" s="198">
        <f t="shared" si="6"/>
        <v>0</v>
      </c>
      <c r="G22" s="211"/>
      <c r="H22" s="235">
        <f>25500</f>
        <v>25500</v>
      </c>
      <c r="I22" s="181">
        <f t="shared" si="3"/>
        <v>25500</v>
      </c>
      <c r="J22" s="181"/>
      <c r="K22" s="276"/>
      <c r="L22" s="181">
        <f t="shared" si="4"/>
        <v>25500</v>
      </c>
      <c r="M22" s="211"/>
      <c r="N22" s="292"/>
      <c r="O22" s="235">
        <f t="shared" si="5"/>
        <v>25500</v>
      </c>
      <c r="P22" s="112"/>
      <c r="Q22" s="46"/>
    </row>
    <row r="23" spans="1:17" ht="12.75">
      <c r="A23" s="11" t="s">
        <v>311</v>
      </c>
      <c r="B23" s="54"/>
      <c r="C23" s="106"/>
      <c r="D23" s="75">
        <f>6.53+868.75+15.34+81.93+43.31+388.98+120</f>
        <v>1524.84</v>
      </c>
      <c r="E23" s="168"/>
      <c r="F23" s="198">
        <f t="shared" si="6"/>
        <v>1524.84</v>
      </c>
      <c r="G23" s="211">
        <f>2.45+2+6+4.15+267+62.15+161.43+90+95.88+435+220+10.2+628.14+1638.07+19.26</f>
        <v>3641.7300000000005</v>
      </c>
      <c r="H23" s="235"/>
      <c r="I23" s="181">
        <f t="shared" si="3"/>
        <v>5166.570000000001</v>
      </c>
      <c r="J23" s="181">
        <f>-62.15+208.8+371.03+626.6+32.58+2046.06+99.22</f>
        <v>3322.14</v>
      </c>
      <c r="K23" s="276"/>
      <c r="L23" s="181">
        <f t="shared" si="4"/>
        <v>8488.710000000001</v>
      </c>
      <c r="M23" s="219">
        <f>20.61+68.4+821.18+1674.7+123.03+1408.99</f>
        <v>4116.91</v>
      </c>
      <c r="N23" s="292"/>
      <c r="O23" s="235">
        <f t="shared" si="5"/>
        <v>12605.62</v>
      </c>
      <c r="P23" s="112"/>
      <c r="Q23" s="46">
        <f t="shared" si="1"/>
        <v>12605.62</v>
      </c>
    </row>
    <row r="24" spans="1:17" ht="12.75">
      <c r="A24" s="10" t="s">
        <v>22</v>
      </c>
      <c r="B24" s="53"/>
      <c r="C24" s="106">
        <f>SUM(C25:C30)</f>
        <v>97590.6</v>
      </c>
      <c r="D24" s="75">
        <f aca="true" t="shared" si="7" ref="D24:Q24">SUM(D25:D30)</f>
        <v>1348.51</v>
      </c>
      <c r="E24" s="168">
        <f t="shared" si="7"/>
        <v>0</v>
      </c>
      <c r="F24" s="198">
        <f t="shared" si="7"/>
        <v>98939.11000000002</v>
      </c>
      <c r="G24" s="211">
        <f t="shared" si="7"/>
        <v>-332.11</v>
      </c>
      <c r="H24" s="235">
        <f t="shared" si="7"/>
        <v>0</v>
      </c>
      <c r="I24" s="181">
        <f t="shared" si="7"/>
        <v>98607</v>
      </c>
      <c r="J24" s="181">
        <f t="shared" si="7"/>
        <v>719.25</v>
      </c>
      <c r="K24" s="276">
        <f t="shared" si="7"/>
        <v>0</v>
      </c>
      <c r="L24" s="181">
        <f t="shared" si="7"/>
        <v>99326.25</v>
      </c>
      <c r="M24" s="211">
        <f t="shared" si="7"/>
        <v>1440.6899999999998</v>
      </c>
      <c r="N24" s="292">
        <f t="shared" si="7"/>
        <v>0</v>
      </c>
      <c r="O24" s="235">
        <f t="shared" si="7"/>
        <v>100766.94</v>
      </c>
      <c r="P24" s="120">
        <f t="shared" si="7"/>
        <v>0</v>
      </c>
      <c r="Q24" s="76">
        <f t="shared" si="7"/>
        <v>100766.94</v>
      </c>
    </row>
    <row r="25" spans="1:17" ht="12.75">
      <c r="A25" s="10" t="s">
        <v>23</v>
      </c>
      <c r="B25" s="53"/>
      <c r="C25" s="106">
        <v>38857.2</v>
      </c>
      <c r="D25" s="75">
        <f>1348.51</f>
        <v>1348.51</v>
      </c>
      <c r="E25" s="168"/>
      <c r="F25" s="198">
        <f t="shared" si="6"/>
        <v>40205.71</v>
      </c>
      <c r="G25" s="211">
        <f>35.94</f>
        <v>35.94</v>
      </c>
      <c r="H25" s="235"/>
      <c r="I25" s="181">
        <f aca="true" t="shared" si="8" ref="I25:I31">F25+G25+H25</f>
        <v>40241.65</v>
      </c>
      <c r="J25" s="181">
        <f>601.32+159.13</f>
        <v>760.45</v>
      </c>
      <c r="K25" s="276"/>
      <c r="L25" s="181">
        <f aca="true" t="shared" si="9" ref="L25:L31">I25+J25+K25</f>
        <v>41002.1</v>
      </c>
      <c r="M25" s="211">
        <f>433.79+945.8</f>
        <v>1379.59</v>
      </c>
      <c r="N25" s="292"/>
      <c r="O25" s="235">
        <f aca="true" t="shared" si="10" ref="O25:O31">L25+M25+N25</f>
        <v>42381.689999999995</v>
      </c>
      <c r="P25" s="112"/>
      <c r="Q25" s="46">
        <f t="shared" si="1"/>
        <v>42381.689999999995</v>
      </c>
    </row>
    <row r="26" spans="1:17" ht="12.75">
      <c r="A26" s="11" t="s">
        <v>159</v>
      </c>
      <c r="B26" s="54"/>
      <c r="C26" s="106">
        <v>1004.6</v>
      </c>
      <c r="D26" s="75"/>
      <c r="E26" s="168"/>
      <c r="F26" s="198">
        <f t="shared" si="6"/>
        <v>1004.6</v>
      </c>
      <c r="G26" s="211">
        <f>-894.45</f>
        <v>-894.45</v>
      </c>
      <c r="H26" s="235"/>
      <c r="I26" s="181">
        <f t="shared" si="8"/>
        <v>110.14999999999998</v>
      </c>
      <c r="J26" s="181"/>
      <c r="K26" s="276"/>
      <c r="L26" s="181">
        <f t="shared" si="9"/>
        <v>110.14999999999998</v>
      </c>
      <c r="M26" s="211"/>
      <c r="N26" s="292"/>
      <c r="O26" s="235">
        <f t="shared" si="10"/>
        <v>110.14999999999998</v>
      </c>
      <c r="P26" s="112"/>
      <c r="Q26" s="46">
        <f t="shared" si="1"/>
        <v>110.14999999999998</v>
      </c>
    </row>
    <row r="27" spans="1:17" ht="12.75">
      <c r="A27" s="10" t="s">
        <v>24</v>
      </c>
      <c r="B27" s="53"/>
      <c r="C27" s="106">
        <v>18468</v>
      </c>
      <c r="D27" s="75"/>
      <c r="E27" s="168"/>
      <c r="F27" s="198">
        <f t="shared" si="6"/>
        <v>18468</v>
      </c>
      <c r="G27" s="211"/>
      <c r="H27" s="235"/>
      <c r="I27" s="181">
        <f t="shared" si="8"/>
        <v>18468</v>
      </c>
      <c r="J27" s="181"/>
      <c r="K27" s="276"/>
      <c r="L27" s="181">
        <f t="shared" si="9"/>
        <v>18468</v>
      </c>
      <c r="M27" s="211"/>
      <c r="N27" s="292"/>
      <c r="O27" s="235">
        <f t="shared" si="10"/>
        <v>18468</v>
      </c>
      <c r="P27" s="112"/>
      <c r="Q27" s="46">
        <f t="shared" si="1"/>
        <v>18468</v>
      </c>
    </row>
    <row r="28" spans="1:17" ht="12.75">
      <c r="A28" s="11" t="s">
        <v>160</v>
      </c>
      <c r="B28" s="54"/>
      <c r="C28" s="106">
        <v>9053.1</v>
      </c>
      <c r="D28" s="75"/>
      <c r="E28" s="168"/>
      <c r="F28" s="198">
        <f t="shared" si="6"/>
        <v>9053.1</v>
      </c>
      <c r="G28" s="211">
        <f>526.4</f>
        <v>526.4</v>
      </c>
      <c r="H28" s="235"/>
      <c r="I28" s="181">
        <f t="shared" si="8"/>
        <v>9579.5</v>
      </c>
      <c r="J28" s="181">
        <v>-41.2</v>
      </c>
      <c r="K28" s="276"/>
      <c r="L28" s="181">
        <f t="shared" si="9"/>
        <v>9538.3</v>
      </c>
      <c r="M28" s="211">
        <f>3.5</f>
        <v>3.5</v>
      </c>
      <c r="N28" s="292"/>
      <c r="O28" s="235">
        <f t="shared" si="10"/>
        <v>9541.8</v>
      </c>
      <c r="P28" s="112"/>
      <c r="Q28" s="46">
        <f t="shared" si="1"/>
        <v>9541.8</v>
      </c>
    </row>
    <row r="29" spans="1:17" ht="12.75">
      <c r="A29" s="11" t="s">
        <v>282</v>
      </c>
      <c r="B29" s="54"/>
      <c r="C29" s="106">
        <v>268.8</v>
      </c>
      <c r="D29" s="75"/>
      <c r="E29" s="168"/>
      <c r="F29" s="198">
        <f t="shared" si="6"/>
        <v>268.8</v>
      </c>
      <c r="G29" s="211"/>
      <c r="H29" s="235"/>
      <c r="I29" s="181">
        <f t="shared" si="8"/>
        <v>268.8</v>
      </c>
      <c r="J29" s="181"/>
      <c r="K29" s="276"/>
      <c r="L29" s="181">
        <f t="shared" si="9"/>
        <v>268.8</v>
      </c>
      <c r="M29" s="211">
        <f>57.6</f>
        <v>57.6</v>
      </c>
      <c r="N29" s="292"/>
      <c r="O29" s="235">
        <f t="shared" si="10"/>
        <v>326.40000000000003</v>
      </c>
      <c r="P29" s="112"/>
      <c r="Q29" s="46">
        <f t="shared" si="1"/>
        <v>326.40000000000003</v>
      </c>
    </row>
    <row r="30" spans="1:17" ht="12.75">
      <c r="A30" s="11" t="s">
        <v>161</v>
      </c>
      <c r="B30" s="54"/>
      <c r="C30" s="106">
        <v>29938.9</v>
      </c>
      <c r="D30" s="75"/>
      <c r="E30" s="168"/>
      <c r="F30" s="198">
        <f t="shared" si="6"/>
        <v>29938.9</v>
      </c>
      <c r="G30" s="211"/>
      <c r="H30" s="235"/>
      <c r="I30" s="181">
        <f t="shared" si="8"/>
        <v>29938.9</v>
      </c>
      <c r="J30" s="181"/>
      <c r="K30" s="276"/>
      <c r="L30" s="181">
        <f t="shared" si="9"/>
        <v>29938.9</v>
      </c>
      <c r="M30" s="211"/>
      <c r="N30" s="292"/>
      <c r="O30" s="235">
        <f t="shared" si="10"/>
        <v>29938.9</v>
      </c>
      <c r="P30" s="112"/>
      <c r="Q30" s="46">
        <f>O30+P30</f>
        <v>29938.9</v>
      </c>
    </row>
    <row r="31" spans="1:15" ht="12.75">
      <c r="A31" s="11" t="s">
        <v>214</v>
      </c>
      <c r="B31" s="54"/>
      <c r="C31" s="106"/>
      <c r="D31" s="102">
        <f>1009+39.86+1108+67.75+837.8+5686.34+508.41</f>
        <v>9257.16</v>
      </c>
      <c r="E31" s="168"/>
      <c r="F31" s="198">
        <f t="shared" si="6"/>
        <v>9257.16</v>
      </c>
      <c r="G31" s="212">
        <f>805.17+307+17525+5000+351</f>
        <v>23988.17</v>
      </c>
      <c r="H31" s="236">
        <f>614.71+406.49</f>
        <v>1021.2</v>
      </c>
      <c r="I31" s="181">
        <f t="shared" si="8"/>
        <v>34266.53</v>
      </c>
      <c r="J31" s="256">
        <v>2420</v>
      </c>
      <c r="K31" s="277"/>
      <c r="L31" s="181">
        <f t="shared" si="9"/>
        <v>36686.53</v>
      </c>
      <c r="M31" s="212">
        <f>4.61</f>
        <v>4.61</v>
      </c>
      <c r="N31" s="293"/>
      <c r="O31" s="235">
        <f t="shared" si="10"/>
        <v>36691.14</v>
      </c>
    </row>
    <row r="32" spans="1:17" ht="12.75">
      <c r="A32" s="12" t="s">
        <v>249</v>
      </c>
      <c r="B32" s="55"/>
      <c r="C32" s="100">
        <f>SUM(C34:C38)</f>
        <v>16790</v>
      </c>
      <c r="D32" s="78">
        <f aca="true" t="shared" si="11" ref="D32:Q32">SUM(D34:D38)</f>
        <v>0</v>
      </c>
      <c r="E32" s="169">
        <f t="shared" si="11"/>
        <v>0</v>
      </c>
      <c r="F32" s="199">
        <f t="shared" si="11"/>
        <v>16790</v>
      </c>
      <c r="G32" s="213">
        <f t="shared" si="11"/>
        <v>0</v>
      </c>
      <c r="H32" s="237">
        <f t="shared" si="11"/>
        <v>0</v>
      </c>
      <c r="I32" s="183">
        <f t="shared" si="11"/>
        <v>16790</v>
      </c>
      <c r="J32" s="183">
        <f t="shared" si="11"/>
        <v>0</v>
      </c>
      <c r="K32" s="278">
        <f t="shared" si="11"/>
        <v>0</v>
      </c>
      <c r="L32" s="183">
        <f t="shared" si="11"/>
        <v>16790</v>
      </c>
      <c r="M32" s="213">
        <f t="shared" si="11"/>
        <v>0</v>
      </c>
      <c r="N32" s="294">
        <f t="shared" si="11"/>
        <v>0</v>
      </c>
      <c r="O32" s="237">
        <f t="shared" si="11"/>
        <v>16790</v>
      </c>
      <c r="P32" s="121">
        <f t="shared" si="11"/>
        <v>0</v>
      </c>
      <c r="Q32" s="77">
        <f t="shared" si="11"/>
        <v>15000</v>
      </c>
    </row>
    <row r="33" spans="1:17" ht="11.25" customHeight="1">
      <c r="A33" s="9" t="s">
        <v>20</v>
      </c>
      <c r="B33" s="52"/>
      <c r="C33" s="106"/>
      <c r="D33" s="75"/>
      <c r="E33" s="168"/>
      <c r="F33" s="198"/>
      <c r="G33" s="211"/>
      <c r="H33" s="235"/>
      <c r="I33" s="181"/>
      <c r="J33" s="181"/>
      <c r="K33" s="276"/>
      <c r="L33" s="181"/>
      <c r="M33" s="211"/>
      <c r="N33" s="292"/>
      <c r="O33" s="235"/>
      <c r="P33" s="112"/>
      <c r="Q33" s="46"/>
    </row>
    <row r="34" spans="1:17" ht="12.75" hidden="1">
      <c r="A34" s="60" t="s">
        <v>121</v>
      </c>
      <c r="B34" s="53"/>
      <c r="C34" s="106"/>
      <c r="D34" s="75"/>
      <c r="E34" s="168"/>
      <c r="F34" s="198">
        <f>C34+D34+E34</f>
        <v>0</v>
      </c>
      <c r="G34" s="211"/>
      <c r="H34" s="235"/>
      <c r="I34" s="181">
        <f>F34+G34+H34</f>
        <v>0</v>
      </c>
      <c r="J34" s="181"/>
      <c r="K34" s="276"/>
      <c r="L34" s="181">
        <f>I34+J34+K34</f>
        <v>0</v>
      </c>
      <c r="M34" s="211"/>
      <c r="N34" s="292"/>
      <c r="O34" s="235">
        <f>L34+M34+N34</f>
        <v>0</v>
      </c>
      <c r="P34" s="112"/>
      <c r="Q34" s="46">
        <f t="shared" si="1"/>
        <v>0</v>
      </c>
    </row>
    <row r="35" spans="1:17" ht="12.75" hidden="1">
      <c r="A35" s="11" t="s">
        <v>116</v>
      </c>
      <c r="B35" s="54"/>
      <c r="C35" s="106"/>
      <c r="D35" s="75"/>
      <c r="E35" s="168"/>
      <c r="F35" s="198">
        <f>C35+D35+E35</f>
        <v>0</v>
      </c>
      <c r="G35" s="211"/>
      <c r="H35" s="235"/>
      <c r="I35" s="181">
        <f>F35+G35+H35</f>
        <v>0</v>
      </c>
      <c r="J35" s="189"/>
      <c r="K35" s="276"/>
      <c r="L35" s="181">
        <f>I35+J35+K35</f>
        <v>0</v>
      </c>
      <c r="M35" s="219"/>
      <c r="N35" s="292"/>
      <c r="O35" s="235">
        <f>L35+M35+N35</f>
        <v>0</v>
      </c>
      <c r="P35" s="112"/>
      <c r="Q35" s="46">
        <f t="shared" si="1"/>
        <v>0</v>
      </c>
    </row>
    <row r="36" spans="1:17" ht="12.75">
      <c r="A36" s="11" t="s">
        <v>119</v>
      </c>
      <c r="B36" s="54"/>
      <c r="C36" s="106">
        <v>1790</v>
      </c>
      <c r="D36" s="75"/>
      <c r="E36" s="168"/>
      <c r="F36" s="198">
        <f>C36+D36+E36</f>
        <v>1790</v>
      </c>
      <c r="G36" s="211"/>
      <c r="H36" s="235"/>
      <c r="I36" s="181">
        <f>F36+G36+H36</f>
        <v>1790</v>
      </c>
      <c r="J36" s="189"/>
      <c r="K36" s="276"/>
      <c r="L36" s="181">
        <f>I36+J36+K36</f>
        <v>1790</v>
      </c>
      <c r="M36" s="219"/>
      <c r="N36" s="292"/>
      <c r="O36" s="235">
        <f>L36+M36+N36</f>
        <v>1790</v>
      </c>
      <c r="P36" s="112"/>
      <c r="Q36" s="46"/>
    </row>
    <row r="37" spans="1:17" ht="12.75" hidden="1">
      <c r="A37" s="11" t="s">
        <v>126</v>
      </c>
      <c r="B37" s="54"/>
      <c r="C37" s="106"/>
      <c r="D37" s="75"/>
      <c r="E37" s="168"/>
      <c r="F37" s="198">
        <f>C37+D37+E37</f>
        <v>0</v>
      </c>
      <c r="G37" s="211"/>
      <c r="H37" s="235"/>
      <c r="I37" s="181">
        <f>F37+G37+H37</f>
        <v>0</v>
      </c>
      <c r="J37" s="189"/>
      <c r="K37" s="276"/>
      <c r="L37" s="181">
        <f>I37+J37+K37</f>
        <v>0</v>
      </c>
      <c r="M37" s="219"/>
      <c r="N37" s="292"/>
      <c r="O37" s="235">
        <f>L37+M37+N37</f>
        <v>0</v>
      </c>
      <c r="P37" s="112"/>
      <c r="Q37" s="46">
        <f t="shared" si="1"/>
        <v>0</v>
      </c>
    </row>
    <row r="38" spans="1:17" ht="12.75">
      <c r="A38" s="60" t="s">
        <v>283</v>
      </c>
      <c r="B38" s="53"/>
      <c r="C38" s="106">
        <v>15000</v>
      </c>
      <c r="D38" s="75"/>
      <c r="E38" s="168"/>
      <c r="F38" s="198">
        <f>C38+D38+E38</f>
        <v>15000</v>
      </c>
      <c r="G38" s="211"/>
      <c r="H38" s="235"/>
      <c r="I38" s="181">
        <f>F38+G38+H38</f>
        <v>15000</v>
      </c>
      <c r="J38" s="181"/>
      <c r="K38" s="276"/>
      <c r="L38" s="181">
        <f>I38+J38+K38</f>
        <v>15000</v>
      </c>
      <c r="M38" s="211"/>
      <c r="N38" s="292"/>
      <c r="O38" s="235">
        <f>L38+M38+N38</f>
        <v>15000</v>
      </c>
      <c r="P38" s="112"/>
      <c r="Q38" s="46">
        <f t="shared" si="1"/>
        <v>15000</v>
      </c>
    </row>
    <row r="39" spans="1:17" ht="12.75">
      <c r="A39" s="12" t="s">
        <v>250</v>
      </c>
      <c r="B39" s="53"/>
      <c r="C39" s="106"/>
      <c r="D39" s="75"/>
      <c r="E39" s="168"/>
      <c r="F39" s="198"/>
      <c r="G39" s="211"/>
      <c r="H39" s="235"/>
      <c r="I39" s="181"/>
      <c r="J39" s="181"/>
      <c r="K39" s="276"/>
      <c r="L39" s="181"/>
      <c r="M39" s="211"/>
      <c r="N39" s="292"/>
      <c r="O39" s="235"/>
      <c r="P39" s="112"/>
      <c r="Q39" s="46"/>
    </row>
    <row r="40" spans="1:17" ht="12.75">
      <c r="A40" s="8" t="s">
        <v>26</v>
      </c>
      <c r="B40" s="51"/>
      <c r="C40" s="113">
        <f>SUM(C42:C61)</f>
        <v>83932.3</v>
      </c>
      <c r="D40" s="74">
        <f aca="true" t="shared" si="12" ref="D40:Q40">SUM(D42:D61)</f>
        <v>7069317.0600000005</v>
      </c>
      <c r="E40" s="167">
        <f t="shared" si="12"/>
        <v>0</v>
      </c>
      <c r="F40" s="179">
        <f t="shared" si="12"/>
        <v>7153249.360000001</v>
      </c>
      <c r="G40" s="210">
        <f t="shared" si="12"/>
        <v>192456.34</v>
      </c>
      <c r="H40" s="234">
        <f t="shared" si="12"/>
        <v>0</v>
      </c>
      <c r="I40" s="182">
        <f t="shared" si="12"/>
        <v>7345705.7</v>
      </c>
      <c r="J40" s="182">
        <f t="shared" si="12"/>
        <v>221083.44000000003</v>
      </c>
      <c r="K40" s="275">
        <f t="shared" si="12"/>
        <v>0</v>
      </c>
      <c r="L40" s="182">
        <f t="shared" si="12"/>
        <v>7566789.140000001</v>
      </c>
      <c r="M40" s="210">
        <f t="shared" si="12"/>
        <v>154302.62</v>
      </c>
      <c r="N40" s="291">
        <f t="shared" si="12"/>
        <v>0</v>
      </c>
      <c r="O40" s="234">
        <f t="shared" si="12"/>
        <v>7721091.760000001</v>
      </c>
      <c r="P40" s="98">
        <f t="shared" si="12"/>
        <v>0</v>
      </c>
      <c r="Q40" s="73">
        <f t="shared" si="12"/>
        <v>7721091.760000001</v>
      </c>
    </row>
    <row r="41" spans="1:17" ht="10.5" customHeight="1">
      <c r="A41" s="13" t="s">
        <v>27</v>
      </c>
      <c r="B41" s="56"/>
      <c r="C41" s="106"/>
      <c r="D41" s="75"/>
      <c r="E41" s="168"/>
      <c r="F41" s="198"/>
      <c r="G41" s="211"/>
      <c r="H41" s="235"/>
      <c r="I41" s="181"/>
      <c r="J41" s="181"/>
      <c r="K41" s="276"/>
      <c r="L41" s="181"/>
      <c r="M41" s="211"/>
      <c r="N41" s="292"/>
      <c r="O41" s="235"/>
      <c r="P41" s="112"/>
      <c r="Q41" s="46"/>
    </row>
    <row r="42" spans="1:17" ht="12.75">
      <c r="A42" s="11" t="s">
        <v>28</v>
      </c>
      <c r="B42" s="54"/>
      <c r="C42" s="106">
        <v>83682.3</v>
      </c>
      <c r="D42" s="75"/>
      <c r="E42" s="168"/>
      <c r="F42" s="198">
        <f aca="true" t="shared" si="13" ref="F42:F61">C42+D42+E42</f>
        <v>83682.3</v>
      </c>
      <c r="G42" s="211"/>
      <c r="H42" s="235"/>
      <c r="I42" s="181">
        <f>F42+G42+H42</f>
        <v>83682.3</v>
      </c>
      <c r="J42" s="181"/>
      <c r="K42" s="276"/>
      <c r="L42" s="181">
        <f>I42+J42+K42</f>
        <v>83682.3</v>
      </c>
      <c r="M42" s="211"/>
      <c r="N42" s="292"/>
      <c r="O42" s="235">
        <f>L42+M42+N42</f>
        <v>83682.3</v>
      </c>
      <c r="P42" s="112"/>
      <c r="Q42" s="46">
        <f t="shared" si="1"/>
        <v>83682.3</v>
      </c>
    </row>
    <row r="43" spans="1:17" ht="12.75">
      <c r="A43" s="11" t="s">
        <v>29</v>
      </c>
      <c r="B43" s="54"/>
      <c r="C43" s="106"/>
      <c r="D43" s="75">
        <f>200+30+150+15.68</f>
        <v>395.68</v>
      </c>
      <c r="E43" s="168"/>
      <c r="F43" s="198">
        <f t="shared" si="13"/>
        <v>395.68</v>
      </c>
      <c r="G43" s="211">
        <f>21.42+29.3</f>
        <v>50.72</v>
      </c>
      <c r="H43" s="235"/>
      <c r="I43" s="181">
        <f aca="true" t="shared" si="14" ref="I43:I61">F43+G43+H43</f>
        <v>446.4</v>
      </c>
      <c r="J43" s="181">
        <f>18.22+33.26+30.89+30+3.5+15.84+53+373.82+10.5+20.72+28.26+691.96+30.89</f>
        <v>1340.8600000000001</v>
      </c>
      <c r="K43" s="276"/>
      <c r="L43" s="181">
        <f aca="true" t="shared" si="15" ref="L43:L61">I43+J43+K43</f>
        <v>1787.2600000000002</v>
      </c>
      <c r="M43" s="211">
        <f>200+24+13.5+16.25+24.04+25+38.02+7+44.25</f>
        <v>392.06</v>
      </c>
      <c r="N43" s="292"/>
      <c r="O43" s="235">
        <f aca="true" t="shared" si="16" ref="O43:O61">L43+M43+N43</f>
        <v>2179.32</v>
      </c>
      <c r="P43" s="112"/>
      <c r="Q43" s="46">
        <f t="shared" si="1"/>
        <v>2179.32</v>
      </c>
    </row>
    <row r="44" spans="1:17" ht="12.75">
      <c r="A44" s="11" t="s">
        <v>30</v>
      </c>
      <c r="B44" s="54"/>
      <c r="C44" s="106"/>
      <c r="D44" s="75">
        <f>1373+71282.48+5806196.47+612.5+5782.93+2043.37+5938+10259.23+482.38+3261.32+9128.57+206.42</f>
        <v>5916566.670000001</v>
      </c>
      <c r="E44" s="168"/>
      <c r="F44" s="198">
        <f t="shared" si="13"/>
        <v>5916566.670000001</v>
      </c>
      <c r="G44" s="211">
        <f>135.06+1476.68+720.53+1659.16+520+160.14+271.7+546.71+361.27+680.95+211.52+1396.04+422.23+72228.5+3280.86+5224.6+765.24+5659.95+1500-60.39-54.14+2855.25</f>
        <v>99961.86000000002</v>
      </c>
      <c r="H44" s="235"/>
      <c r="I44" s="181">
        <f t="shared" si="14"/>
        <v>6016528.530000001</v>
      </c>
      <c r="J44" s="181">
        <f>905.31+147.83+417.95+1639.93+7169.15-249.07+445.35+323.5+73021.45+1295.39+17100+221.5-90.33-14.37+491.9+612.5+1416.56+1292.23+50064.65-20.49-7.08-90.71-818.77+102.63</f>
        <v>155377.01000000004</v>
      </c>
      <c r="K44" s="276"/>
      <c r="L44" s="181">
        <f t="shared" si="15"/>
        <v>6171905.540000001</v>
      </c>
      <c r="M44" s="211">
        <f>1292.85+606.37+1685.81+2281.98+107.55+17512.27+190.9-159.71-53+190.28+87.36+8576.43+1883+1181.16+550.85+8165.41+75315.24+1099.47+820.25+2969</f>
        <v>124303.47000000002</v>
      </c>
      <c r="N44" s="292"/>
      <c r="O44" s="235">
        <f t="shared" si="16"/>
        <v>6296209.010000001</v>
      </c>
      <c r="P44" s="112"/>
      <c r="Q44" s="46">
        <f t="shared" si="1"/>
        <v>6296209.010000001</v>
      </c>
    </row>
    <row r="45" spans="1:17" ht="12.75">
      <c r="A45" s="11" t="s">
        <v>31</v>
      </c>
      <c r="B45" s="54"/>
      <c r="C45" s="106"/>
      <c r="D45" s="75">
        <f>782123.8+57358.39+7000+566.83+29847.76</f>
        <v>876896.78</v>
      </c>
      <c r="E45" s="168"/>
      <c r="F45" s="198">
        <f t="shared" si="13"/>
        <v>876896.78</v>
      </c>
      <c r="G45" s="211">
        <f>643.52+2510.76+2343.04+570+1249.89+4287.51+631.78+585.81</f>
        <v>12822.310000000001</v>
      </c>
      <c r="H45" s="235"/>
      <c r="I45" s="181">
        <f t="shared" si="14"/>
        <v>889719.0900000001</v>
      </c>
      <c r="J45" s="181">
        <f>1562.03+504.28+6373.4+42155.63+1698+6322.99</f>
        <v>58616.329999999994</v>
      </c>
      <c r="K45" s="276"/>
      <c r="L45" s="181">
        <f t="shared" si="15"/>
        <v>948335.42</v>
      </c>
      <c r="M45" s="211">
        <f>664.8+29.52-42.81+3354.85+3675.83+1043.73+710.82+649.64</f>
        <v>10086.38</v>
      </c>
      <c r="N45" s="292"/>
      <c r="O45" s="235">
        <f t="shared" si="16"/>
        <v>958421.8</v>
      </c>
      <c r="P45" s="112"/>
      <c r="Q45" s="46">
        <f t="shared" si="1"/>
        <v>958421.8</v>
      </c>
    </row>
    <row r="46" spans="1:17" ht="12.75">
      <c r="A46" s="11" t="s">
        <v>32</v>
      </c>
      <c r="B46" s="54"/>
      <c r="C46" s="106"/>
      <c r="D46" s="75">
        <f>55.91</f>
        <v>55.91</v>
      </c>
      <c r="E46" s="168"/>
      <c r="F46" s="198">
        <f t="shared" si="13"/>
        <v>55.91</v>
      </c>
      <c r="G46" s="211">
        <f>141.99+36.6+73.26+39.76+18.3+846.6+21.98+110.15+13.17</f>
        <v>1301.8100000000002</v>
      </c>
      <c r="H46" s="235"/>
      <c r="I46" s="181">
        <f t="shared" si="14"/>
        <v>1357.7200000000003</v>
      </c>
      <c r="J46" s="181">
        <f>48.1+25.2+78.66+33.6</f>
        <v>185.55999999999997</v>
      </c>
      <c r="K46" s="276"/>
      <c r="L46" s="181">
        <f t="shared" si="15"/>
        <v>1543.2800000000002</v>
      </c>
      <c r="M46" s="211">
        <f>15.78+26.82+39.39+27.99+2.08+16.11+29.84+15.25+3.05+5.32+933.9+12.87+10.85+11.52+17.67+170.89</f>
        <v>1339.33</v>
      </c>
      <c r="N46" s="292"/>
      <c r="O46" s="235">
        <f t="shared" si="16"/>
        <v>2882.61</v>
      </c>
      <c r="P46" s="112"/>
      <c r="Q46" s="46">
        <f t="shared" si="1"/>
        <v>2882.61</v>
      </c>
    </row>
    <row r="47" spans="1:17" ht="12.75">
      <c r="A47" s="11" t="s">
        <v>33</v>
      </c>
      <c r="B47" s="54"/>
      <c r="C47" s="106"/>
      <c r="D47" s="75"/>
      <c r="E47" s="168"/>
      <c r="F47" s="198">
        <f t="shared" si="13"/>
        <v>0</v>
      </c>
      <c r="G47" s="211">
        <f>320+150+340+88</f>
        <v>898</v>
      </c>
      <c r="H47" s="235"/>
      <c r="I47" s="181">
        <f t="shared" si="14"/>
        <v>898</v>
      </c>
      <c r="J47" s="181">
        <f>114+32+100+107+40+107</f>
        <v>500</v>
      </c>
      <c r="K47" s="276"/>
      <c r="L47" s="181">
        <f t="shared" si="15"/>
        <v>1398</v>
      </c>
      <c r="M47" s="211"/>
      <c r="N47" s="292"/>
      <c r="O47" s="235">
        <f t="shared" si="16"/>
        <v>1398</v>
      </c>
      <c r="P47" s="112"/>
      <c r="Q47" s="46">
        <f t="shared" si="1"/>
        <v>1398</v>
      </c>
    </row>
    <row r="48" spans="1:17" ht="12.75">
      <c r="A48" s="11" t="s">
        <v>330</v>
      </c>
      <c r="B48" s="54"/>
      <c r="C48" s="106"/>
      <c r="D48" s="75"/>
      <c r="E48" s="168"/>
      <c r="F48" s="198">
        <f t="shared" si="13"/>
        <v>0</v>
      </c>
      <c r="G48" s="211">
        <f>2000+170</f>
        <v>2170</v>
      </c>
      <c r="H48" s="235"/>
      <c r="I48" s="181">
        <f t="shared" si="14"/>
        <v>2170</v>
      </c>
      <c r="J48" s="181">
        <f>1360.89</f>
        <v>1360.89</v>
      </c>
      <c r="K48" s="276"/>
      <c r="L48" s="181">
        <f t="shared" si="15"/>
        <v>3530.8900000000003</v>
      </c>
      <c r="M48" s="211"/>
      <c r="N48" s="292"/>
      <c r="O48" s="235">
        <f t="shared" si="16"/>
        <v>3530.8900000000003</v>
      </c>
      <c r="P48" s="112"/>
      <c r="Q48" s="46">
        <f t="shared" si="1"/>
        <v>3530.8900000000003</v>
      </c>
    </row>
    <row r="49" spans="1:17" ht="12.75">
      <c r="A49" s="11" t="s">
        <v>34</v>
      </c>
      <c r="B49" s="54"/>
      <c r="C49" s="106"/>
      <c r="D49" s="75"/>
      <c r="E49" s="168"/>
      <c r="F49" s="198">
        <f t="shared" si="13"/>
        <v>0</v>
      </c>
      <c r="G49" s="211"/>
      <c r="H49" s="235"/>
      <c r="I49" s="181">
        <f t="shared" si="14"/>
        <v>0</v>
      </c>
      <c r="J49" s="181">
        <f>256</f>
        <v>256</v>
      </c>
      <c r="K49" s="276"/>
      <c r="L49" s="181">
        <f t="shared" si="15"/>
        <v>256</v>
      </c>
      <c r="M49" s="211"/>
      <c r="N49" s="292"/>
      <c r="O49" s="235">
        <f t="shared" si="16"/>
        <v>256</v>
      </c>
      <c r="P49" s="112"/>
      <c r="Q49" s="46">
        <f t="shared" si="1"/>
        <v>256</v>
      </c>
    </row>
    <row r="50" spans="1:17" ht="12.75">
      <c r="A50" s="11" t="s">
        <v>152</v>
      </c>
      <c r="B50" s="54"/>
      <c r="C50" s="106"/>
      <c r="D50" s="75">
        <f>270393.45</f>
        <v>270393.45</v>
      </c>
      <c r="E50" s="168"/>
      <c r="F50" s="198">
        <f t="shared" si="13"/>
        <v>270393.45</v>
      </c>
      <c r="G50" s="211"/>
      <c r="H50" s="235"/>
      <c r="I50" s="181">
        <f t="shared" si="14"/>
        <v>270393.45</v>
      </c>
      <c r="J50" s="181"/>
      <c r="K50" s="276"/>
      <c r="L50" s="181">
        <f t="shared" si="15"/>
        <v>270393.45</v>
      </c>
      <c r="M50" s="211"/>
      <c r="N50" s="292"/>
      <c r="O50" s="235">
        <f t="shared" si="16"/>
        <v>270393.45</v>
      </c>
      <c r="P50" s="112"/>
      <c r="Q50" s="46">
        <f t="shared" si="1"/>
        <v>270393.45</v>
      </c>
    </row>
    <row r="51" spans="1:17" ht="12.75">
      <c r="A51" s="11" t="s">
        <v>164</v>
      </c>
      <c r="B51" s="54"/>
      <c r="C51" s="106"/>
      <c r="D51" s="75">
        <f>3399.51</f>
        <v>3399.51</v>
      </c>
      <c r="E51" s="168"/>
      <c r="F51" s="198">
        <f t="shared" si="13"/>
        <v>3399.51</v>
      </c>
      <c r="G51" s="211"/>
      <c r="H51" s="235"/>
      <c r="I51" s="181">
        <f t="shared" si="14"/>
        <v>3399.51</v>
      </c>
      <c r="J51" s="181"/>
      <c r="K51" s="276"/>
      <c r="L51" s="181">
        <f t="shared" si="15"/>
        <v>3399.51</v>
      </c>
      <c r="M51" s="211">
        <f>1379.16</f>
        <v>1379.16</v>
      </c>
      <c r="N51" s="292"/>
      <c r="O51" s="235">
        <f t="shared" si="16"/>
        <v>4778.67</v>
      </c>
      <c r="P51" s="112"/>
      <c r="Q51" s="46">
        <f t="shared" si="1"/>
        <v>4778.67</v>
      </c>
    </row>
    <row r="52" spans="1:17" ht="12.75">
      <c r="A52" s="11" t="s">
        <v>35</v>
      </c>
      <c r="B52" s="54"/>
      <c r="C52" s="106"/>
      <c r="D52" s="75">
        <f>1609.06</f>
        <v>1609.06</v>
      </c>
      <c r="E52" s="168"/>
      <c r="F52" s="198">
        <f t="shared" si="13"/>
        <v>1609.06</v>
      </c>
      <c r="G52" s="211"/>
      <c r="H52" s="235"/>
      <c r="I52" s="181">
        <f t="shared" si="14"/>
        <v>1609.06</v>
      </c>
      <c r="J52" s="181">
        <f>1433.02+1872.57</f>
        <v>3305.59</v>
      </c>
      <c r="K52" s="276"/>
      <c r="L52" s="181">
        <f t="shared" si="15"/>
        <v>4914.65</v>
      </c>
      <c r="M52" s="211">
        <f>1121.04+123.36</f>
        <v>1244.3999999999999</v>
      </c>
      <c r="N52" s="292"/>
      <c r="O52" s="235">
        <f t="shared" si="16"/>
        <v>6159.049999999999</v>
      </c>
      <c r="P52" s="268"/>
      <c r="Q52" s="46">
        <f t="shared" si="1"/>
        <v>6159.049999999999</v>
      </c>
    </row>
    <row r="53" spans="1:17" ht="12.75">
      <c r="A53" s="11" t="s">
        <v>36</v>
      </c>
      <c r="B53" s="54"/>
      <c r="C53" s="106"/>
      <c r="D53" s="75"/>
      <c r="E53" s="168"/>
      <c r="F53" s="198">
        <f t="shared" si="13"/>
        <v>0</v>
      </c>
      <c r="G53" s="211">
        <f>88+250</f>
        <v>338</v>
      </c>
      <c r="H53" s="235"/>
      <c r="I53" s="181">
        <f t="shared" si="14"/>
        <v>338</v>
      </c>
      <c r="J53" s="189"/>
      <c r="K53" s="276"/>
      <c r="L53" s="181">
        <f t="shared" si="15"/>
        <v>338</v>
      </c>
      <c r="M53" s="211">
        <f>38</f>
        <v>38</v>
      </c>
      <c r="N53" s="292"/>
      <c r="O53" s="235">
        <f t="shared" si="16"/>
        <v>376</v>
      </c>
      <c r="P53" s="112"/>
      <c r="Q53" s="46">
        <f t="shared" si="1"/>
        <v>376</v>
      </c>
    </row>
    <row r="54" spans="1:17" ht="12.75" hidden="1">
      <c r="A54" s="11" t="s">
        <v>222</v>
      </c>
      <c r="B54" s="54"/>
      <c r="C54" s="106"/>
      <c r="D54" s="75"/>
      <c r="E54" s="168"/>
      <c r="F54" s="198">
        <f t="shared" si="13"/>
        <v>0</v>
      </c>
      <c r="G54" s="211"/>
      <c r="H54" s="235"/>
      <c r="I54" s="181">
        <f t="shared" si="14"/>
        <v>0</v>
      </c>
      <c r="J54" s="189"/>
      <c r="K54" s="276"/>
      <c r="L54" s="181">
        <f t="shared" si="15"/>
        <v>0</v>
      </c>
      <c r="M54" s="211"/>
      <c r="N54" s="292"/>
      <c r="O54" s="235"/>
      <c r="P54" s="112"/>
      <c r="Q54" s="46"/>
    </row>
    <row r="55" spans="1:17" ht="12.75" hidden="1">
      <c r="A55" s="11" t="s">
        <v>165</v>
      </c>
      <c r="B55" s="54"/>
      <c r="C55" s="106"/>
      <c r="D55" s="75"/>
      <c r="E55" s="168"/>
      <c r="F55" s="198">
        <f t="shared" si="13"/>
        <v>0</v>
      </c>
      <c r="G55" s="211"/>
      <c r="H55" s="235"/>
      <c r="I55" s="181">
        <f t="shared" si="14"/>
        <v>0</v>
      </c>
      <c r="J55" s="189"/>
      <c r="K55" s="276"/>
      <c r="L55" s="181">
        <f t="shared" si="15"/>
        <v>0</v>
      </c>
      <c r="M55" s="211"/>
      <c r="N55" s="292"/>
      <c r="O55" s="235">
        <f t="shared" si="16"/>
        <v>0</v>
      </c>
      <c r="P55" s="112"/>
      <c r="Q55" s="46">
        <f t="shared" si="1"/>
        <v>0</v>
      </c>
    </row>
    <row r="56" spans="1:17" ht="12.75" hidden="1">
      <c r="A56" s="11" t="s">
        <v>37</v>
      </c>
      <c r="B56" s="54"/>
      <c r="C56" s="106"/>
      <c r="D56" s="75"/>
      <c r="E56" s="168"/>
      <c r="F56" s="198">
        <f t="shared" si="13"/>
        <v>0</v>
      </c>
      <c r="G56" s="211"/>
      <c r="H56" s="235"/>
      <c r="I56" s="181">
        <f t="shared" si="14"/>
        <v>0</v>
      </c>
      <c r="J56" s="181"/>
      <c r="K56" s="276"/>
      <c r="L56" s="181">
        <f t="shared" si="15"/>
        <v>0</v>
      </c>
      <c r="M56" s="211"/>
      <c r="N56" s="292"/>
      <c r="O56" s="235">
        <f t="shared" si="16"/>
        <v>0</v>
      </c>
      <c r="P56" s="112"/>
      <c r="Q56" s="46">
        <f t="shared" si="1"/>
        <v>0</v>
      </c>
    </row>
    <row r="57" spans="1:17" ht="12.75" hidden="1">
      <c r="A57" s="11" t="s">
        <v>47</v>
      </c>
      <c r="B57" s="54"/>
      <c r="C57" s="106"/>
      <c r="D57" s="75"/>
      <c r="E57" s="168"/>
      <c r="F57" s="198">
        <f t="shared" si="13"/>
        <v>0</v>
      </c>
      <c r="G57" s="211"/>
      <c r="H57" s="235"/>
      <c r="I57" s="181">
        <f t="shared" si="14"/>
        <v>0</v>
      </c>
      <c r="J57" s="181"/>
      <c r="K57" s="276"/>
      <c r="L57" s="181">
        <f t="shared" si="15"/>
        <v>0</v>
      </c>
      <c r="M57" s="211"/>
      <c r="N57" s="292"/>
      <c r="O57" s="235">
        <f t="shared" si="16"/>
        <v>0</v>
      </c>
      <c r="P57" s="112"/>
      <c r="Q57" s="46">
        <f t="shared" si="1"/>
        <v>0</v>
      </c>
    </row>
    <row r="58" spans="1:17" ht="12.75">
      <c r="A58" s="11" t="s">
        <v>38</v>
      </c>
      <c r="B58" s="54"/>
      <c r="C58" s="106"/>
      <c r="D58" s="75"/>
      <c r="E58" s="168"/>
      <c r="F58" s="198">
        <f t="shared" si="13"/>
        <v>0</v>
      </c>
      <c r="G58" s="211">
        <f>69355</f>
        <v>69355</v>
      </c>
      <c r="H58" s="235"/>
      <c r="I58" s="181">
        <f t="shared" si="14"/>
        <v>69355</v>
      </c>
      <c r="J58" s="181"/>
      <c r="K58" s="276"/>
      <c r="L58" s="181">
        <f t="shared" si="15"/>
        <v>69355</v>
      </c>
      <c r="M58" s="211">
        <f>14645</f>
        <v>14645</v>
      </c>
      <c r="N58" s="292"/>
      <c r="O58" s="235">
        <f t="shared" si="16"/>
        <v>84000</v>
      </c>
      <c r="P58" s="112"/>
      <c r="Q58" s="46">
        <f t="shared" si="1"/>
        <v>84000</v>
      </c>
    </row>
    <row r="59" spans="1:17" ht="12.75">
      <c r="A59" s="11" t="s">
        <v>39</v>
      </c>
      <c r="B59" s="54"/>
      <c r="C59" s="106"/>
      <c r="D59" s="75"/>
      <c r="E59" s="168"/>
      <c r="F59" s="198">
        <f t="shared" si="13"/>
        <v>0</v>
      </c>
      <c r="G59" s="211">
        <f>1245.41+2413.78+223.9</f>
        <v>3883.0900000000006</v>
      </c>
      <c r="H59" s="235"/>
      <c r="I59" s="181">
        <f t="shared" si="14"/>
        <v>3883.0900000000006</v>
      </c>
      <c r="J59" s="181"/>
      <c r="K59" s="276"/>
      <c r="L59" s="181">
        <f t="shared" si="15"/>
        <v>3883.0900000000006</v>
      </c>
      <c r="M59" s="211">
        <f>571.25+268.26+35.31</f>
        <v>874.8199999999999</v>
      </c>
      <c r="N59" s="292"/>
      <c r="O59" s="235">
        <f t="shared" si="16"/>
        <v>4757.910000000001</v>
      </c>
      <c r="P59" s="112"/>
      <c r="Q59" s="46">
        <f t="shared" si="1"/>
        <v>4757.910000000001</v>
      </c>
    </row>
    <row r="60" spans="1:17" ht="12.75">
      <c r="A60" s="11" t="s">
        <v>349</v>
      </c>
      <c r="B60" s="54"/>
      <c r="C60" s="106">
        <v>250</v>
      </c>
      <c r="D60" s="75"/>
      <c r="E60" s="168"/>
      <c r="F60" s="198">
        <f t="shared" si="13"/>
        <v>250</v>
      </c>
      <c r="G60" s="211">
        <f>1675.55</f>
        <v>1675.55</v>
      </c>
      <c r="H60" s="235"/>
      <c r="I60" s="181">
        <f t="shared" si="14"/>
        <v>1925.55</v>
      </c>
      <c r="J60" s="181">
        <f>141.2</f>
        <v>141.2</v>
      </c>
      <c r="K60" s="276"/>
      <c r="L60" s="181">
        <f t="shared" si="15"/>
        <v>2066.75</v>
      </c>
      <c r="M60" s="211"/>
      <c r="N60" s="292"/>
      <c r="O60" s="235">
        <f t="shared" si="16"/>
        <v>2066.75</v>
      </c>
      <c r="P60" s="112"/>
      <c r="Q60" s="46">
        <f t="shared" si="1"/>
        <v>2066.75</v>
      </c>
    </row>
    <row r="61" spans="1:17" ht="12.75" hidden="1">
      <c r="A61" s="11" t="s">
        <v>170</v>
      </c>
      <c r="B61" s="54"/>
      <c r="C61" s="106"/>
      <c r="D61" s="75"/>
      <c r="E61" s="168"/>
      <c r="F61" s="198">
        <f t="shared" si="13"/>
        <v>0</v>
      </c>
      <c r="G61" s="211"/>
      <c r="H61" s="235"/>
      <c r="I61" s="181">
        <f t="shared" si="14"/>
        <v>0</v>
      </c>
      <c r="J61" s="181"/>
      <c r="K61" s="276"/>
      <c r="L61" s="181">
        <f t="shared" si="15"/>
        <v>0</v>
      </c>
      <c r="M61" s="211"/>
      <c r="N61" s="292"/>
      <c r="O61" s="235">
        <f t="shared" si="16"/>
        <v>0</v>
      </c>
      <c r="P61" s="112"/>
      <c r="Q61" s="46">
        <f t="shared" si="1"/>
        <v>0</v>
      </c>
    </row>
    <row r="62" spans="1:17" ht="12.75" hidden="1">
      <c r="A62" s="12" t="s">
        <v>40</v>
      </c>
      <c r="B62" s="55"/>
      <c r="C62" s="100">
        <f>SUM(C64:C66)</f>
        <v>0</v>
      </c>
      <c r="D62" s="78">
        <f>SUM(D64:D66)</f>
        <v>0</v>
      </c>
      <c r="E62" s="169">
        <f>SUM(E64:E66)</f>
        <v>0</v>
      </c>
      <c r="F62" s="199">
        <f>SUM(F64:F66)</f>
        <v>0</v>
      </c>
      <c r="G62" s="213"/>
      <c r="H62" s="237"/>
      <c r="I62" s="183">
        <f>SUM(I64:I66)</f>
        <v>0</v>
      </c>
      <c r="J62" s="183"/>
      <c r="K62" s="278"/>
      <c r="L62" s="183">
        <f>SUM(L64:L66)</f>
        <v>0</v>
      </c>
      <c r="M62" s="213"/>
      <c r="N62" s="294"/>
      <c r="O62" s="237">
        <f>SUM(O64:O66)</f>
        <v>0</v>
      </c>
      <c r="P62" s="269"/>
      <c r="Q62" s="7">
        <f>SUM(Q64:Q66)</f>
        <v>0</v>
      </c>
    </row>
    <row r="63" spans="1:17" ht="12.75" hidden="1">
      <c r="A63" s="9" t="s">
        <v>27</v>
      </c>
      <c r="B63" s="52"/>
      <c r="C63" s="106"/>
      <c r="D63" s="75"/>
      <c r="E63" s="168"/>
      <c r="F63" s="198"/>
      <c r="G63" s="211"/>
      <c r="H63" s="235"/>
      <c r="I63" s="181"/>
      <c r="J63" s="181"/>
      <c r="K63" s="276"/>
      <c r="L63" s="181"/>
      <c r="M63" s="211"/>
      <c r="N63" s="292"/>
      <c r="O63" s="235">
        <f>L63+M63+N63</f>
        <v>0</v>
      </c>
      <c r="P63" s="112"/>
      <c r="Q63" s="46"/>
    </row>
    <row r="64" spans="1:17" ht="12.75" hidden="1">
      <c r="A64" s="11" t="s">
        <v>41</v>
      </c>
      <c r="B64" s="54"/>
      <c r="C64" s="106"/>
      <c r="D64" s="75"/>
      <c r="E64" s="168"/>
      <c r="F64" s="198">
        <f>C64+D64+E64</f>
        <v>0</v>
      </c>
      <c r="G64" s="211"/>
      <c r="H64" s="235"/>
      <c r="I64" s="181">
        <f>F64+G64+H64</f>
        <v>0</v>
      </c>
      <c r="J64" s="181"/>
      <c r="K64" s="276"/>
      <c r="L64" s="181">
        <f>I64+J64+K64</f>
        <v>0</v>
      </c>
      <c r="M64" s="211"/>
      <c r="N64" s="292"/>
      <c r="O64" s="235">
        <f>L64+M64+N64</f>
        <v>0</v>
      </c>
      <c r="P64" s="112"/>
      <c r="Q64" s="46">
        <f t="shared" si="1"/>
        <v>0</v>
      </c>
    </row>
    <row r="65" spans="1:17" ht="12.75" hidden="1">
      <c r="A65" s="11" t="s">
        <v>42</v>
      </c>
      <c r="B65" s="54"/>
      <c r="C65" s="106"/>
      <c r="D65" s="75"/>
      <c r="E65" s="168"/>
      <c r="F65" s="198">
        <f>C65+D65+E65</f>
        <v>0</v>
      </c>
      <c r="G65" s="211"/>
      <c r="H65" s="235"/>
      <c r="I65" s="181">
        <f>F65+G65+H65</f>
        <v>0</v>
      </c>
      <c r="J65" s="181"/>
      <c r="K65" s="276"/>
      <c r="L65" s="181">
        <f>I65+J65+K65</f>
        <v>0</v>
      </c>
      <c r="M65" s="211"/>
      <c r="N65" s="292"/>
      <c r="O65" s="235">
        <f>L65+M65+N65</f>
        <v>0</v>
      </c>
      <c r="P65" s="112"/>
      <c r="Q65" s="46">
        <f t="shared" si="1"/>
        <v>0</v>
      </c>
    </row>
    <row r="66" spans="1:17" ht="12.75" hidden="1">
      <c r="A66" s="11" t="s">
        <v>43</v>
      </c>
      <c r="B66" s="54"/>
      <c r="C66" s="106"/>
      <c r="D66" s="75"/>
      <c r="E66" s="168"/>
      <c r="F66" s="198">
        <f>C66+D66+E66</f>
        <v>0</v>
      </c>
      <c r="G66" s="211"/>
      <c r="H66" s="235"/>
      <c r="I66" s="181">
        <f>F66+G66+H66</f>
        <v>0</v>
      </c>
      <c r="J66" s="181"/>
      <c r="K66" s="276"/>
      <c r="L66" s="181">
        <f>I66+J66+K66</f>
        <v>0</v>
      </c>
      <c r="M66" s="211"/>
      <c r="N66" s="292"/>
      <c r="O66" s="235">
        <f>L66+M66+N66</f>
        <v>0</v>
      </c>
      <c r="P66" s="112"/>
      <c r="Q66" s="46">
        <f t="shared" si="1"/>
        <v>0</v>
      </c>
    </row>
    <row r="67" spans="1:17" ht="12.75">
      <c r="A67" s="8" t="s">
        <v>44</v>
      </c>
      <c r="B67" s="51"/>
      <c r="C67" s="113">
        <f>SUM(C69:C84)</f>
        <v>0</v>
      </c>
      <c r="D67" s="74">
        <f aca="true" t="shared" si="17" ref="D67:Q67">SUM(D69:D84)</f>
        <v>96723.42000000001</v>
      </c>
      <c r="E67" s="167">
        <f t="shared" si="17"/>
        <v>0</v>
      </c>
      <c r="F67" s="179">
        <f t="shared" si="17"/>
        <v>96723.42000000001</v>
      </c>
      <c r="G67" s="210">
        <f t="shared" si="17"/>
        <v>393435.51</v>
      </c>
      <c r="H67" s="234">
        <f t="shared" si="17"/>
        <v>0</v>
      </c>
      <c r="I67" s="182">
        <f t="shared" si="17"/>
        <v>490158.93000000005</v>
      </c>
      <c r="J67" s="182">
        <f t="shared" si="17"/>
        <v>230990.44</v>
      </c>
      <c r="K67" s="275">
        <f t="shared" si="17"/>
        <v>0</v>
      </c>
      <c r="L67" s="182">
        <f t="shared" si="17"/>
        <v>721149.3700000001</v>
      </c>
      <c r="M67" s="210">
        <f t="shared" si="17"/>
        <v>321808.44</v>
      </c>
      <c r="N67" s="291">
        <f t="shared" si="17"/>
        <v>0</v>
      </c>
      <c r="O67" s="234">
        <f t="shared" si="17"/>
        <v>1042957.81</v>
      </c>
      <c r="P67" s="98">
        <f t="shared" si="17"/>
        <v>0</v>
      </c>
      <c r="Q67" s="73">
        <f t="shared" si="17"/>
        <v>1019087.9700000001</v>
      </c>
    </row>
    <row r="68" spans="1:17" ht="12.75">
      <c r="A68" s="13" t="s">
        <v>27</v>
      </c>
      <c r="B68" s="56"/>
      <c r="C68" s="106"/>
      <c r="D68" s="75"/>
      <c r="E68" s="168"/>
      <c r="F68" s="198"/>
      <c r="G68" s="211"/>
      <c r="H68" s="235"/>
      <c r="I68" s="181"/>
      <c r="J68" s="181"/>
      <c r="K68" s="276"/>
      <c r="L68" s="181"/>
      <c r="M68" s="211"/>
      <c r="N68" s="292"/>
      <c r="O68" s="235"/>
      <c r="P68" s="112"/>
      <c r="Q68" s="46"/>
    </row>
    <row r="69" spans="1:17" ht="12.75">
      <c r="A69" s="11" t="s">
        <v>30</v>
      </c>
      <c r="B69" s="54"/>
      <c r="C69" s="106"/>
      <c r="D69" s="75"/>
      <c r="E69" s="168"/>
      <c r="F69" s="198">
        <f aca="true" t="shared" si="18" ref="F69:F84">C69+D69+E69</f>
        <v>0</v>
      </c>
      <c r="G69" s="211"/>
      <c r="H69" s="235"/>
      <c r="I69" s="181">
        <f>F69+G69+H69</f>
        <v>0</v>
      </c>
      <c r="J69" s="181">
        <f>9743.64</f>
        <v>9743.64</v>
      </c>
      <c r="K69" s="276"/>
      <c r="L69" s="181">
        <f>I69+J69+K69</f>
        <v>9743.64</v>
      </c>
      <c r="M69" s="211"/>
      <c r="N69" s="292"/>
      <c r="O69" s="235">
        <f>L69+M69+N69</f>
        <v>9743.64</v>
      </c>
      <c r="P69" s="112"/>
      <c r="Q69" s="46">
        <f t="shared" si="1"/>
        <v>9743.64</v>
      </c>
    </row>
    <row r="70" spans="1:17" ht="12.75">
      <c r="A70" s="15" t="s">
        <v>31</v>
      </c>
      <c r="B70" s="57"/>
      <c r="C70" s="106"/>
      <c r="D70" s="75"/>
      <c r="E70" s="168"/>
      <c r="F70" s="198">
        <f t="shared" si="18"/>
        <v>0</v>
      </c>
      <c r="G70" s="211"/>
      <c r="H70" s="235"/>
      <c r="I70" s="181">
        <f aca="true" t="shared" si="19" ref="I70:I84">F70+G70+H70</f>
        <v>0</v>
      </c>
      <c r="J70" s="181">
        <f>19964.25</f>
        <v>19964.25</v>
      </c>
      <c r="K70" s="276"/>
      <c r="L70" s="181">
        <f aca="true" t="shared" si="20" ref="L70:L84">I70+J70+K70</f>
        <v>19964.25</v>
      </c>
      <c r="M70" s="211"/>
      <c r="N70" s="292"/>
      <c r="O70" s="235">
        <f aca="true" t="shared" si="21" ref="O70:O84">L70+M70+N70</f>
        <v>19964.25</v>
      </c>
      <c r="P70" s="112"/>
      <c r="Q70" s="46">
        <f t="shared" si="1"/>
        <v>19964.25</v>
      </c>
    </row>
    <row r="71" spans="1:17" ht="12.75">
      <c r="A71" s="15" t="s">
        <v>29</v>
      </c>
      <c r="B71" s="57"/>
      <c r="C71" s="106"/>
      <c r="D71" s="75"/>
      <c r="E71" s="168"/>
      <c r="F71" s="198">
        <f t="shared" si="18"/>
        <v>0</v>
      </c>
      <c r="G71" s="211"/>
      <c r="H71" s="235"/>
      <c r="I71" s="181">
        <f t="shared" si="19"/>
        <v>0</v>
      </c>
      <c r="J71" s="181"/>
      <c r="K71" s="276"/>
      <c r="L71" s="181">
        <f t="shared" si="20"/>
        <v>0</v>
      </c>
      <c r="M71" s="211">
        <f>36500+3329.7</f>
        <v>39829.7</v>
      </c>
      <c r="N71" s="292"/>
      <c r="O71" s="235">
        <f t="shared" si="21"/>
        <v>39829.7</v>
      </c>
      <c r="P71" s="112"/>
      <c r="Q71" s="46">
        <f t="shared" si="1"/>
        <v>39829.7</v>
      </c>
    </row>
    <row r="72" spans="1:17" ht="12.75">
      <c r="A72" s="15" t="s">
        <v>45</v>
      </c>
      <c r="B72" s="57"/>
      <c r="C72" s="106"/>
      <c r="D72" s="75"/>
      <c r="E72" s="168"/>
      <c r="F72" s="198">
        <f t="shared" si="18"/>
        <v>0</v>
      </c>
      <c r="G72" s="211"/>
      <c r="H72" s="235"/>
      <c r="I72" s="181">
        <f t="shared" si="19"/>
        <v>0</v>
      </c>
      <c r="J72" s="181">
        <f>6866.99+10303.63+28638.93</f>
        <v>45809.55</v>
      </c>
      <c r="K72" s="276"/>
      <c r="L72" s="181">
        <f t="shared" si="20"/>
        <v>45809.55</v>
      </c>
      <c r="M72" s="211"/>
      <c r="N72" s="292"/>
      <c r="O72" s="235">
        <f t="shared" si="21"/>
        <v>45809.55</v>
      </c>
      <c r="P72" s="112"/>
      <c r="Q72" s="46">
        <f t="shared" si="1"/>
        <v>45809.55</v>
      </c>
    </row>
    <row r="73" spans="1:17" ht="12.75">
      <c r="A73" s="11" t="s">
        <v>32</v>
      </c>
      <c r="B73" s="54"/>
      <c r="C73" s="106"/>
      <c r="D73" s="75">
        <f>4.05</f>
        <v>4.05</v>
      </c>
      <c r="E73" s="168"/>
      <c r="F73" s="198">
        <f t="shared" si="18"/>
        <v>4.05</v>
      </c>
      <c r="G73" s="211">
        <f>499.19+12284.06+17096.88+3934.39+236.73+2099.25+22828.25+23167.89+5862.49+23024.59+297.65</f>
        <v>111331.37000000001</v>
      </c>
      <c r="H73" s="235"/>
      <c r="I73" s="181">
        <f t="shared" si="19"/>
        <v>111335.42000000001</v>
      </c>
      <c r="J73" s="181">
        <f>15316.92+643.32+6711.47+2310.83+16754.59+23371.55+15062.51+153.55+2474.55+25721.3+246.78+30709.14</f>
        <v>139476.51</v>
      </c>
      <c r="K73" s="276"/>
      <c r="L73" s="181">
        <f t="shared" si="20"/>
        <v>250811.93000000002</v>
      </c>
      <c r="M73" s="211">
        <f>45231.07+10313.8+11057.56+48817.19+30104.94+74.45+16210.21+23065.93+16138.17+14270.99+5.45+16009.21+15837.05+17715.83+13867.65</f>
        <v>278719.5</v>
      </c>
      <c r="N73" s="292"/>
      <c r="O73" s="235">
        <f t="shared" si="21"/>
        <v>529531.43</v>
      </c>
      <c r="P73" s="112"/>
      <c r="Q73" s="46">
        <f t="shared" si="1"/>
        <v>529531.43</v>
      </c>
    </row>
    <row r="74" spans="1:17" ht="12.75" hidden="1">
      <c r="A74" s="11" t="s">
        <v>330</v>
      </c>
      <c r="B74" s="54"/>
      <c r="C74" s="106"/>
      <c r="D74" s="75"/>
      <c r="E74" s="168"/>
      <c r="F74" s="198">
        <f t="shared" si="18"/>
        <v>0</v>
      </c>
      <c r="G74" s="211"/>
      <c r="H74" s="235"/>
      <c r="I74" s="181">
        <f t="shared" si="19"/>
        <v>0</v>
      </c>
      <c r="J74" s="181"/>
      <c r="K74" s="276"/>
      <c r="L74" s="181">
        <f t="shared" si="20"/>
        <v>0</v>
      </c>
      <c r="M74" s="211"/>
      <c r="N74" s="292"/>
      <c r="O74" s="235">
        <f t="shared" si="21"/>
        <v>0</v>
      </c>
      <c r="P74" s="112"/>
      <c r="Q74" s="46"/>
    </row>
    <row r="75" spans="1:17" ht="12.75">
      <c r="A75" s="11" t="s">
        <v>33</v>
      </c>
      <c r="B75" s="54"/>
      <c r="C75" s="106"/>
      <c r="D75" s="75"/>
      <c r="E75" s="168"/>
      <c r="F75" s="198"/>
      <c r="G75" s="211"/>
      <c r="H75" s="235"/>
      <c r="I75" s="181"/>
      <c r="J75" s="181"/>
      <c r="K75" s="276"/>
      <c r="L75" s="181">
        <f t="shared" si="20"/>
        <v>0</v>
      </c>
      <c r="M75" s="211">
        <f>252</f>
        <v>252</v>
      </c>
      <c r="N75" s="292"/>
      <c r="O75" s="235">
        <f t="shared" si="21"/>
        <v>252</v>
      </c>
      <c r="P75" s="112"/>
      <c r="Q75" s="46"/>
    </row>
    <row r="76" spans="1:17" ht="12.75" hidden="1">
      <c r="A76" s="11" t="s">
        <v>241</v>
      </c>
      <c r="B76" s="54"/>
      <c r="C76" s="106"/>
      <c r="D76" s="75"/>
      <c r="E76" s="168"/>
      <c r="F76" s="198">
        <f t="shared" si="18"/>
        <v>0</v>
      </c>
      <c r="G76" s="211"/>
      <c r="H76" s="235"/>
      <c r="I76" s="181">
        <f t="shared" si="19"/>
        <v>0</v>
      </c>
      <c r="J76" s="181"/>
      <c r="K76" s="276"/>
      <c r="L76" s="181">
        <f t="shared" si="20"/>
        <v>0</v>
      </c>
      <c r="M76" s="211"/>
      <c r="N76" s="292"/>
      <c r="O76" s="235">
        <f t="shared" si="21"/>
        <v>0</v>
      </c>
      <c r="P76" s="112"/>
      <c r="Q76" s="46"/>
    </row>
    <row r="77" spans="1:17" ht="12.75">
      <c r="A77" s="11" t="s">
        <v>164</v>
      </c>
      <c r="B77" s="54"/>
      <c r="C77" s="106"/>
      <c r="D77" s="75">
        <f>96650.49</f>
        <v>96650.49</v>
      </c>
      <c r="E77" s="168"/>
      <c r="F77" s="198">
        <f t="shared" si="18"/>
        <v>96650.49</v>
      </c>
      <c r="G77" s="211"/>
      <c r="H77" s="235"/>
      <c r="I77" s="181">
        <f t="shared" si="19"/>
        <v>96650.49</v>
      </c>
      <c r="J77" s="181"/>
      <c r="K77" s="276"/>
      <c r="L77" s="181">
        <f t="shared" si="20"/>
        <v>96650.49</v>
      </c>
      <c r="M77" s="211">
        <f>1655.61</f>
        <v>1655.61</v>
      </c>
      <c r="N77" s="292"/>
      <c r="O77" s="235">
        <f t="shared" si="21"/>
        <v>98306.1</v>
      </c>
      <c r="P77" s="112"/>
      <c r="Q77" s="46">
        <f t="shared" si="1"/>
        <v>98306.1</v>
      </c>
    </row>
    <row r="78" spans="1:17" ht="12.75" hidden="1">
      <c r="A78" s="11" t="s">
        <v>165</v>
      </c>
      <c r="B78" s="54"/>
      <c r="C78" s="106"/>
      <c r="D78" s="75"/>
      <c r="E78" s="168"/>
      <c r="F78" s="198">
        <f t="shared" si="18"/>
        <v>0</v>
      </c>
      <c r="G78" s="211"/>
      <c r="H78" s="235"/>
      <c r="I78" s="181">
        <f t="shared" si="19"/>
        <v>0</v>
      </c>
      <c r="J78" s="181"/>
      <c r="K78" s="276"/>
      <c r="L78" s="181">
        <f t="shared" si="20"/>
        <v>0</v>
      </c>
      <c r="M78" s="211"/>
      <c r="N78" s="292"/>
      <c r="O78" s="235">
        <f t="shared" si="21"/>
        <v>0</v>
      </c>
      <c r="P78" s="112"/>
      <c r="Q78" s="46">
        <f t="shared" si="1"/>
        <v>0</v>
      </c>
    </row>
    <row r="79" spans="1:17" ht="12.75">
      <c r="A79" s="11" t="s">
        <v>46</v>
      </c>
      <c r="B79" s="54"/>
      <c r="C79" s="106"/>
      <c r="D79" s="75"/>
      <c r="E79" s="168"/>
      <c r="F79" s="198">
        <f t="shared" si="18"/>
        <v>0</v>
      </c>
      <c r="G79" s="211">
        <f>83617.95+190000</f>
        <v>273617.95</v>
      </c>
      <c r="H79" s="235"/>
      <c r="I79" s="181">
        <f t="shared" si="19"/>
        <v>273617.95</v>
      </c>
      <c r="J79" s="181"/>
      <c r="K79" s="276"/>
      <c r="L79" s="181">
        <f t="shared" si="20"/>
        <v>273617.95</v>
      </c>
      <c r="M79" s="211">
        <f>-14645</f>
        <v>-14645</v>
      </c>
      <c r="N79" s="292"/>
      <c r="O79" s="235">
        <f t="shared" si="21"/>
        <v>258972.95</v>
      </c>
      <c r="P79" s="112"/>
      <c r="Q79" s="46">
        <f t="shared" si="1"/>
        <v>258972.95</v>
      </c>
    </row>
    <row r="80" spans="1:17" ht="12.75" hidden="1">
      <c r="A80" s="11" t="s">
        <v>47</v>
      </c>
      <c r="B80" s="54"/>
      <c r="C80" s="106"/>
      <c r="D80" s="75"/>
      <c r="E80" s="168"/>
      <c r="F80" s="198">
        <f t="shared" si="18"/>
        <v>0</v>
      </c>
      <c r="G80" s="211"/>
      <c r="H80" s="235"/>
      <c r="I80" s="181">
        <f t="shared" si="19"/>
        <v>0</v>
      </c>
      <c r="J80" s="181"/>
      <c r="K80" s="276"/>
      <c r="L80" s="181">
        <f t="shared" si="20"/>
        <v>0</v>
      </c>
      <c r="M80" s="211"/>
      <c r="N80" s="292"/>
      <c r="O80" s="235">
        <f t="shared" si="21"/>
        <v>0</v>
      </c>
      <c r="P80" s="112"/>
      <c r="Q80" s="46">
        <f aca="true" t="shared" si="22" ref="Q80:Q144">O80+P80</f>
        <v>0</v>
      </c>
    </row>
    <row r="81" spans="1:17" ht="12.75" hidden="1">
      <c r="A81" s="11" t="s">
        <v>48</v>
      </c>
      <c r="B81" s="54"/>
      <c r="C81" s="106"/>
      <c r="D81" s="75"/>
      <c r="E81" s="168"/>
      <c r="F81" s="198">
        <f t="shared" si="18"/>
        <v>0</v>
      </c>
      <c r="G81" s="211"/>
      <c r="H81" s="235"/>
      <c r="I81" s="181">
        <f t="shared" si="19"/>
        <v>0</v>
      </c>
      <c r="J81" s="181"/>
      <c r="K81" s="276"/>
      <c r="L81" s="181">
        <f t="shared" si="20"/>
        <v>0</v>
      </c>
      <c r="M81" s="211"/>
      <c r="N81" s="292"/>
      <c r="O81" s="235">
        <f t="shared" si="21"/>
        <v>0</v>
      </c>
      <c r="P81" s="112"/>
      <c r="Q81" s="46">
        <f t="shared" si="22"/>
        <v>0</v>
      </c>
    </row>
    <row r="82" spans="1:17" ht="12.75">
      <c r="A82" s="11" t="s">
        <v>35</v>
      </c>
      <c r="B82" s="54"/>
      <c r="C82" s="106"/>
      <c r="D82" s="75">
        <f>68.88</f>
        <v>68.88</v>
      </c>
      <c r="E82" s="168"/>
      <c r="F82" s="198">
        <f t="shared" si="18"/>
        <v>68.88</v>
      </c>
      <c r="G82" s="211"/>
      <c r="H82" s="235"/>
      <c r="I82" s="181">
        <f t="shared" si="19"/>
        <v>68.88</v>
      </c>
      <c r="J82" s="181">
        <f>5060.02</f>
        <v>5060.02</v>
      </c>
      <c r="K82" s="276"/>
      <c r="L82" s="181">
        <f t="shared" si="20"/>
        <v>5128.900000000001</v>
      </c>
      <c r="M82" s="211">
        <f>11801.45</f>
        <v>11801.45</v>
      </c>
      <c r="N82" s="292"/>
      <c r="O82" s="235">
        <f t="shared" si="21"/>
        <v>16930.350000000002</v>
      </c>
      <c r="P82" s="268"/>
      <c r="Q82" s="46">
        <f t="shared" si="22"/>
        <v>16930.350000000002</v>
      </c>
    </row>
    <row r="83" spans="1:17" ht="12.75">
      <c r="A83" s="11" t="s">
        <v>39</v>
      </c>
      <c r="B83" s="54"/>
      <c r="C83" s="106"/>
      <c r="D83" s="75"/>
      <c r="E83" s="168"/>
      <c r="F83" s="198">
        <f t="shared" si="18"/>
        <v>0</v>
      </c>
      <c r="G83" s="211">
        <f>8486.19</f>
        <v>8486.19</v>
      </c>
      <c r="H83" s="235"/>
      <c r="I83" s="181">
        <f t="shared" si="19"/>
        <v>8486.19</v>
      </c>
      <c r="J83" s="181">
        <f>10936.47</f>
        <v>10936.47</v>
      </c>
      <c r="K83" s="276"/>
      <c r="L83" s="181">
        <f t="shared" si="20"/>
        <v>19422.66</v>
      </c>
      <c r="M83" s="211">
        <f>4195.18</f>
        <v>4195.18</v>
      </c>
      <c r="N83" s="292"/>
      <c r="O83" s="235">
        <f t="shared" si="21"/>
        <v>23617.84</v>
      </c>
      <c r="P83" s="268"/>
      <c r="Q83" s="46"/>
    </row>
    <row r="84" spans="1:17" ht="12.75" hidden="1">
      <c r="A84" s="11" t="s">
        <v>170</v>
      </c>
      <c r="B84" s="54"/>
      <c r="C84" s="106"/>
      <c r="D84" s="75"/>
      <c r="E84" s="168"/>
      <c r="F84" s="198">
        <f t="shared" si="18"/>
        <v>0</v>
      </c>
      <c r="G84" s="211"/>
      <c r="H84" s="235"/>
      <c r="I84" s="181">
        <f t="shared" si="19"/>
        <v>0</v>
      </c>
      <c r="J84" s="181"/>
      <c r="K84" s="276"/>
      <c r="L84" s="181">
        <f t="shared" si="20"/>
        <v>0</v>
      </c>
      <c r="M84" s="211"/>
      <c r="N84" s="292"/>
      <c r="O84" s="235">
        <f t="shared" si="21"/>
        <v>0</v>
      </c>
      <c r="P84" s="112"/>
      <c r="Q84" s="46">
        <f t="shared" si="22"/>
        <v>0</v>
      </c>
    </row>
    <row r="85" spans="1:17" ht="15" customHeight="1" hidden="1">
      <c r="A85" s="12" t="s">
        <v>49</v>
      </c>
      <c r="B85" s="55"/>
      <c r="C85" s="100">
        <f>SUM(C87:C89)</f>
        <v>0</v>
      </c>
      <c r="D85" s="78">
        <f>SUM(D87:D89)</f>
        <v>0</v>
      </c>
      <c r="E85" s="169">
        <f>SUM(E87:E89)</f>
        <v>0</v>
      </c>
      <c r="F85" s="199">
        <f>SUM(F87:F89)</f>
        <v>0</v>
      </c>
      <c r="G85" s="213"/>
      <c r="H85" s="237"/>
      <c r="I85" s="183">
        <f>SUM(I87:I89)</f>
        <v>0</v>
      </c>
      <c r="J85" s="183"/>
      <c r="K85" s="278"/>
      <c r="L85" s="183">
        <f>SUM(L87:L89)</f>
        <v>0</v>
      </c>
      <c r="M85" s="213"/>
      <c r="N85" s="294"/>
      <c r="O85" s="237">
        <f>SUM(O87:O89)</f>
        <v>0</v>
      </c>
      <c r="P85" s="269"/>
      <c r="Q85" s="7">
        <f>SUM(Q87:Q89)</f>
        <v>0</v>
      </c>
    </row>
    <row r="86" spans="1:17" ht="12.75" hidden="1">
      <c r="A86" s="9" t="s">
        <v>27</v>
      </c>
      <c r="B86" s="52"/>
      <c r="C86" s="106"/>
      <c r="D86" s="75"/>
      <c r="E86" s="168"/>
      <c r="F86" s="198"/>
      <c r="G86" s="211"/>
      <c r="H86" s="235"/>
      <c r="I86" s="181"/>
      <c r="J86" s="181"/>
      <c r="K86" s="276"/>
      <c r="L86" s="181"/>
      <c r="M86" s="211"/>
      <c r="N86" s="292"/>
      <c r="O86" s="235"/>
      <c r="P86" s="112"/>
      <c r="Q86" s="46"/>
    </row>
    <row r="87" spans="1:17" ht="12.75" hidden="1">
      <c r="A87" s="11" t="s">
        <v>50</v>
      </c>
      <c r="B87" s="54"/>
      <c r="C87" s="106"/>
      <c r="D87" s="75"/>
      <c r="E87" s="168"/>
      <c r="F87" s="198">
        <f>C87+D87+E87</f>
        <v>0</v>
      </c>
      <c r="G87" s="211"/>
      <c r="H87" s="235"/>
      <c r="I87" s="181">
        <f>F87+G87+H87</f>
        <v>0</v>
      </c>
      <c r="J87" s="181"/>
      <c r="K87" s="276"/>
      <c r="L87" s="181">
        <f>I87+J87+K87</f>
        <v>0</v>
      </c>
      <c r="M87" s="211"/>
      <c r="N87" s="292"/>
      <c r="O87" s="235">
        <f>L87+M87+N87</f>
        <v>0</v>
      </c>
      <c r="P87" s="112"/>
      <c r="Q87" s="46">
        <f t="shared" si="22"/>
        <v>0</v>
      </c>
    </row>
    <row r="88" spans="1:17" ht="12.75" hidden="1">
      <c r="A88" s="11" t="s">
        <v>25</v>
      </c>
      <c r="B88" s="54"/>
      <c r="C88" s="106"/>
      <c r="D88" s="75"/>
      <c r="E88" s="168"/>
      <c r="F88" s="198">
        <f>C88+D88+E88</f>
        <v>0</v>
      </c>
      <c r="G88" s="211"/>
      <c r="H88" s="235"/>
      <c r="I88" s="181">
        <f>F88+G88+H88</f>
        <v>0</v>
      </c>
      <c r="J88" s="181"/>
      <c r="K88" s="276"/>
      <c r="L88" s="181">
        <f>I88+J88+K88</f>
        <v>0</v>
      </c>
      <c r="M88" s="211"/>
      <c r="N88" s="292"/>
      <c r="O88" s="235">
        <f>L88+M88+N88</f>
        <v>0</v>
      </c>
      <c r="P88" s="112"/>
      <c r="Q88" s="46">
        <f t="shared" si="22"/>
        <v>0</v>
      </c>
    </row>
    <row r="89" spans="1:17" ht="12.75" hidden="1">
      <c r="A89" s="11" t="s">
        <v>42</v>
      </c>
      <c r="B89" s="54"/>
      <c r="C89" s="106"/>
      <c r="D89" s="75"/>
      <c r="E89" s="168"/>
      <c r="F89" s="198">
        <f>C89+D89+E89</f>
        <v>0</v>
      </c>
      <c r="G89" s="211"/>
      <c r="H89" s="235"/>
      <c r="I89" s="181">
        <f>F89+G89+H89</f>
        <v>0</v>
      </c>
      <c r="J89" s="181"/>
      <c r="K89" s="276"/>
      <c r="L89" s="181">
        <f>I89+J89+K89</f>
        <v>0</v>
      </c>
      <c r="M89" s="211"/>
      <c r="N89" s="292"/>
      <c r="O89" s="235">
        <f>L89+M89+N89</f>
        <v>0</v>
      </c>
      <c r="P89" s="112"/>
      <c r="Q89" s="46">
        <f t="shared" si="22"/>
        <v>0</v>
      </c>
    </row>
    <row r="90" spans="1:17" ht="16.5" thickBot="1">
      <c r="A90" s="16" t="s">
        <v>51</v>
      </c>
      <c r="B90" s="58"/>
      <c r="C90" s="130">
        <f aca="true" t="shared" si="23" ref="C90:Q90">C11+C16+C40+C67+C32+C85</f>
        <v>4320719.05</v>
      </c>
      <c r="D90" s="80">
        <f t="shared" si="23"/>
        <v>7197257.9</v>
      </c>
      <c r="E90" s="170">
        <f t="shared" si="23"/>
        <v>0</v>
      </c>
      <c r="F90" s="200">
        <f t="shared" si="23"/>
        <v>11517976.950000001</v>
      </c>
      <c r="G90" s="214">
        <f t="shared" si="23"/>
        <v>765931.69</v>
      </c>
      <c r="H90" s="238">
        <f t="shared" si="23"/>
        <v>27541.2</v>
      </c>
      <c r="I90" s="184">
        <f t="shared" si="23"/>
        <v>12311449.84</v>
      </c>
      <c r="J90" s="184">
        <f t="shared" si="23"/>
        <v>529460.1100000001</v>
      </c>
      <c r="K90" s="279">
        <f t="shared" si="23"/>
        <v>11856.48</v>
      </c>
      <c r="L90" s="184">
        <f t="shared" si="23"/>
        <v>12852766.43</v>
      </c>
      <c r="M90" s="214">
        <f t="shared" si="23"/>
        <v>527783.01</v>
      </c>
      <c r="N90" s="295">
        <f t="shared" si="23"/>
        <v>65770</v>
      </c>
      <c r="O90" s="238">
        <f t="shared" si="23"/>
        <v>13446319.440000001</v>
      </c>
      <c r="P90" s="122">
        <f t="shared" si="23"/>
        <v>0</v>
      </c>
      <c r="Q90" s="79">
        <f t="shared" si="23"/>
        <v>9050413.56</v>
      </c>
    </row>
    <row r="91" spans="1:17" ht="12.75">
      <c r="A91" s="8" t="s">
        <v>52</v>
      </c>
      <c r="B91" s="51"/>
      <c r="C91" s="113"/>
      <c r="D91" s="75"/>
      <c r="E91" s="168"/>
      <c r="F91" s="198"/>
      <c r="G91" s="211"/>
      <c r="H91" s="235"/>
      <c r="I91" s="181"/>
      <c r="J91" s="181"/>
      <c r="K91" s="276"/>
      <c r="L91" s="181"/>
      <c r="M91" s="211"/>
      <c r="N91" s="292"/>
      <c r="O91" s="235"/>
      <c r="P91" s="112"/>
      <c r="Q91" s="46"/>
    </row>
    <row r="92" spans="1:17" ht="12.75">
      <c r="A92" s="8" t="s">
        <v>68</v>
      </c>
      <c r="B92" s="63"/>
      <c r="C92" s="113">
        <f>C93+C102</f>
        <v>95515</v>
      </c>
      <c r="D92" s="74">
        <f aca="true" t="shared" si="24" ref="D92:Q92">D93+D102</f>
        <v>72257.36</v>
      </c>
      <c r="E92" s="167">
        <f t="shared" si="24"/>
        <v>0</v>
      </c>
      <c r="F92" s="179">
        <f t="shared" si="24"/>
        <v>167772.36</v>
      </c>
      <c r="G92" s="210">
        <f t="shared" si="24"/>
        <v>10855.89</v>
      </c>
      <c r="H92" s="234">
        <f t="shared" si="24"/>
        <v>18478.440000000002</v>
      </c>
      <c r="I92" s="182">
        <f t="shared" si="24"/>
        <v>197106.69</v>
      </c>
      <c r="J92" s="182">
        <f t="shared" si="24"/>
        <v>2405.0200000000004</v>
      </c>
      <c r="K92" s="275">
        <f t="shared" si="24"/>
        <v>0</v>
      </c>
      <c r="L92" s="182">
        <f t="shared" si="24"/>
        <v>199511.71</v>
      </c>
      <c r="M92" s="210">
        <f t="shared" si="24"/>
        <v>579.26</v>
      </c>
      <c r="N92" s="291">
        <f t="shared" si="24"/>
        <v>0</v>
      </c>
      <c r="O92" s="234">
        <f t="shared" si="24"/>
        <v>200090.96999999997</v>
      </c>
      <c r="P92" s="98">
        <f t="shared" si="24"/>
        <v>0</v>
      </c>
      <c r="Q92" s="73">
        <f t="shared" si="24"/>
        <v>122085.25</v>
      </c>
    </row>
    <row r="93" spans="1:17" ht="12.75">
      <c r="A93" s="17" t="s">
        <v>54</v>
      </c>
      <c r="B93" s="63"/>
      <c r="C93" s="131">
        <f>SUM(C95:C100)</f>
        <v>63515</v>
      </c>
      <c r="D93" s="82">
        <f aca="true" t="shared" si="25" ref="D93:Q93">SUM(D95:D100)</f>
        <v>7115.68</v>
      </c>
      <c r="E93" s="171">
        <f t="shared" si="25"/>
        <v>0</v>
      </c>
      <c r="F93" s="201">
        <f t="shared" si="25"/>
        <v>70630.68</v>
      </c>
      <c r="G93" s="215">
        <f t="shared" si="25"/>
        <v>50.72</v>
      </c>
      <c r="H93" s="239">
        <f t="shared" si="25"/>
        <v>0</v>
      </c>
      <c r="I93" s="185">
        <f t="shared" si="25"/>
        <v>70681.4</v>
      </c>
      <c r="J93" s="185">
        <f t="shared" si="25"/>
        <v>2405.0200000000004</v>
      </c>
      <c r="K93" s="280">
        <f t="shared" si="25"/>
        <v>0</v>
      </c>
      <c r="L93" s="185">
        <f t="shared" si="25"/>
        <v>73086.42</v>
      </c>
      <c r="M93" s="215">
        <f t="shared" si="25"/>
        <v>579.26</v>
      </c>
      <c r="N93" s="296">
        <f t="shared" si="25"/>
        <v>-4000</v>
      </c>
      <c r="O93" s="239">
        <f t="shared" si="25"/>
        <v>69665.68</v>
      </c>
      <c r="P93" s="123">
        <f t="shared" si="25"/>
        <v>0</v>
      </c>
      <c r="Q93" s="81">
        <f t="shared" si="25"/>
        <v>14065.68</v>
      </c>
    </row>
    <row r="94" spans="1:17" ht="12.75">
      <c r="A94" s="13" t="s">
        <v>27</v>
      </c>
      <c r="B94" s="59"/>
      <c r="C94" s="106"/>
      <c r="D94" s="75"/>
      <c r="E94" s="168"/>
      <c r="F94" s="179"/>
      <c r="G94" s="211"/>
      <c r="H94" s="235"/>
      <c r="I94" s="182"/>
      <c r="J94" s="181"/>
      <c r="K94" s="276"/>
      <c r="L94" s="182"/>
      <c r="M94" s="211"/>
      <c r="N94" s="292"/>
      <c r="O94" s="234"/>
      <c r="P94" s="112"/>
      <c r="Q94" s="46"/>
    </row>
    <row r="95" spans="1:17" ht="12.75">
      <c r="A95" s="11" t="s">
        <v>56</v>
      </c>
      <c r="B95" s="59"/>
      <c r="C95" s="106">
        <v>12515</v>
      </c>
      <c r="D95" s="75"/>
      <c r="E95" s="168"/>
      <c r="F95" s="198">
        <v>12515</v>
      </c>
      <c r="G95" s="211"/>
      <c r="H95" s="235"/>
      <c r="I95" s="181">
        <f aca="true" t="shared" si="26" ref="I95:I101">F95+G95+H95</f>
        <v>12515</v>
      </c>
      <c r="J95" s="181">
        <f>-185-130</f>
        <v>-315</v>
      </c>
      <c r="K95" s="276"/>
      <c r="L95" s="181">
        <f aca="true" t="shared" si="27" ref="L95:L101">I95+J95+K95</f>
        <v>12200</v>
      </c>
      <c r="M95" s="211"/>
      <c r="N95" s="292">
        <f>-4000</f>
        <v>-4000</v>
      </c>
      <c r="O95" s="235">
        <f aca="true" t="shared" si="28" ref="O95:O101">L95+M95+N95</f>
        <v>8200</v>
      </c>
      <c r="P95" s="112"/>
      <c r="Q95" s="46">
        <f t="shared" si="22"/>
        <v>8200</v>
      </c>
    </row>
    <row r="96" spans="1:17" ht="12.75" hidden="1">
      <c r="A96" s="11" t="s">
        <v>70</v>
      </c>
      <c r="B96" s="59"/>
      <c r="C96" s="106"/>
      <c r="D96" s="75"/>
      <c r="E96" s="168"/>
      <c r="F96" s="198">
        <f aca="true" t="shared" si="29" ref="F96:F101">C96+D96+E96</f>
        <v>0</v>
      </c>
      <c r="G96" s="211"/>
      <c r="H96" s="235"/>
      <c r="I96" s="181">
        <f t="shared" si="26"/>
        <v>0</v>
      </c>
      <c r="J96" s="181"/>
      <c r="K96" s="276"/>
      <c r="L96" s="181">
        <f t="shared" si="27"/>
        <v>0</v>
      </c>
      <c r="M96" s="211"/>
      <c r="N96" s="292"/>
      <c r="O96" s="235">
        <f t="shared" si="28"/>
        <v>0</v>
      </c>
      <c r="P96" s="112"/>
      <c r="Q96" s="46">
        <f t="shared" si="22"/>
        <v>0</v>
      </c>
    </row>
    <row r="97" spans="1:17" ht="12.75">
      <c r="A97" s="15" t="s">
        <v>228</v>
      </c>
      <c r="B97" s="59"/>
      <c r="C97" s="106">
        <v>51000</v>
      </c>
      <c r="D97" s="75">
        <f>4600</f>
        <v>4600</v>
      </c>
      <c r="E97" s="168"/>
      <c r="F97" s="198">
        <f t="shared" si="29"/>
        <v>55600</v>
      </c>
      <c r="G97" s="211"/>
      <c r="H97" s="235"/>
      <c r="I97" s="181">
        <f t="shared" si="26"/>
        <v>55600</v>
      </c>
      <c r="J97" s="181"/>
      <c r="K97" s="276"/>
      <c r="L97" s="181">
        <f t="shared" si="27"/>
        <v>55600</v>
      </c>
      <c r="M97" s="211"/>
      <c r="N97" s="292"/>
      <c r="O97" s="235">
        <f t="shared" si="28"/>
        <v>55600</v>
      </c>
      <c r="P97" s="112"/>
      <c r="Q97" s="46"/>
    </row>
    <row r="98" spans="1:17" ht="12.75">
      <c r="A98" s="11" t="s">
        <v>71</v>
      </c>
      <c r="B98" s="59">
        <v>98278</v>
      </c>
      <c r="C98" s="106"/>
      <c r="D98" s="75">
        <f>15.68</f>
        <v>15.68</v>
      </c>
      <c r="E98" s="168"/>
      <c r="F98" s="198">
        <f t="shared" si="29"/>
        <v>15.68</v>
      </c>
      <c r="G98" s="211">
        <f>21.42+29.3</f>
        <v>50.72</v>
      </c>
      <c r="H98" s="235"/>
      <c r="I98" s="181">
        <f t="shared" si="26"/>
        <v>66.4</v>
      </c>
      <c r="J98" s="181">
        <f>18.22+33.26+30.89+30+3.5+15.84+53+373.82+10.5+20.72+28.26+691.96+30.89</f>
        <v>1340.8600000000001</v>
      </c>
      <c r="K98" s="276"/>
      <c r="L98" s="181">
        <f t="shared" si="27"/>
        <v>1407.2600000000002</v>
      </c>
      <c r="M98" s="211">
        <f>24+13.5+16.25+24.04+25+38.02+7+44.25</f>
        <v>192.06</v>
      </c>
      <c r="N98" s="292"/>
      <c r="O98" s="235">
        <f t="shared" si="28"/>
        <v>1599.3200000000002</v>
      </c>
      <c r="P98" s="112"/>
      <c r="Q98" s="46">
        <f t="shared" si="22"/>
        <v>1599.3200000000002</v>
      </c>
    </row>
    <row r="99" spans="1:17" ht="12.75">
      <c r="A99" s="11" t="s">
        <v>85</v>
      </c>
      <c r="B99" s="59"/>
      <c r="C99" s="106"/>
      <c r="D99" s="75"/>
      <c r="E99" s="168"/>
      <c r="F99" s="198">
        <f t="shared" si="29"/>
        <v>0</v>
      </c>
      <c r="G99" s="211"/>
      <c r="H99" s="235"/>
      <c r="I99" s="181">
        <f t="shared" si="26"/>
        <v>0</v>
      </c>
      <c r="J99" s="181">
        <f>1379.16</f>
        <v>1379.16</v>
      </c>
      <c r="K99" s="276"/>
      <c r="L99" s="181">
        <f t="shared" si="27"/>
        <v>1379.16</v>
      </c>
      <c r="M99" s="211">
        <f>387.2</f>
        <v>387.2</v>
      </c>
      <c r="N99" s="292"/>
      <c r="O99" s="235">
        <f t="shared" si="28"/>
        <v>1766.3600000000001</v>
      </c>
      <c r="P99" s="112"/>
      <c r="Q99" s="46">
        <f t="shared" si="22"/>
        <v>1766.3600000000001</v>
      </c>
    </row>
    <row r="100" spans="1:17" ht="12.75">
      <c r="A100" s="10" t="s">
        <v>72</v>
      </c>
      <c r="B100" s="59"/>
      <c r="C100" s="106"/>
      <c r="D100" s="75">
        <f>2500</f>
        <v>2500</v>
      </c>
      <c r="E100" s="168"/>
      <c r="F100" s="198">
        <f t="shared" si="29"/>
        <v>2500</v>
      </c>
      <c r="G100" s="211"/>
      <c r="H100" s="235"/>
      <c r="I100" s="181">
        <f t="shared" si="26"/>
        <v>2500</v>
      </c>
      <c r="J100" s="181"/>
      <c r="K100" s="276"/>
      <c r="L100" s="181">
        <f t="shared" si="27"/>
        <v>2500</v>
      </c>
      <c r="M100" s="211"/>
      <c r="N100" s="292"/>
      <c r="O100" s="235">
        <f t="shared" si="28"/>
        <v>2500</v>
      </c>
      <c r="P100" s="112"/>
      <c r="Q100" s="46">
        <f t="shared" si="22"/>
        <v>2500</v>
      </c>
    </row>
    <row r="101" spans="1:17" ht="12.75">
      <c r="A101" s="10" t="s">
        <v>73</v>
      </c>
      <c r="B101" s="59"/>
      <c r="C101" s="106"/>
      <c r="D101" s="75">
        <v>2500</v>
      </c>
      <c r="E101" s="168"/>
      <c r="F101" s="198">
        <f t="shared" si="29"/>
        <v>2500</v>
      </c>
      <c r="G101" s="211"/>
      <c r="H101" s="235"/>
      <c r="I101" s="181">
        <f t="shared" si="26"/>
        <v>2500</v>
      </c>
      <c r="J101" s="181"/>
      <c r="K101" s="276"/>
      <c r="L101" s="181">
        <f t="shared" si="27"/>
        <v>2500</v>
      </c>
      <c r="M101" s="211"/>
      <c r="N101" s="292"/>
      <c r="O101" s="235">
        <f t="shared" si="28"/>
        <v>2500</v>
      </c>
      <c r="P101" s="112"/>
      <c r="Q101" s="46">
        <f t="shared" si="22"/>
        <v>2500</v>
      </c>
    </row>
    <row r="102" spans="1:17" ht="12.75">
      <c r="A102" s="18" t="s">
        <v>59</v>
      </c>
      <c r="B102" s="63"/>
      <c r="C102" s="133">
        <f>SUM(C104:C110)</f>
        <v>32000</v>
      </c>
      <c r="D102" s="85">
        <f aca="true" t="shared" si="30" ref="D102:Q102">SUM(D104:D110)</f>
        <v>65141.68</v>
      </c>
      <c r="E102" s="172">
        <f t="shared" si="30"/>
        <v>0</v>
      </c>
      <c r="F102" s="202">
        <f t="shared" si="30"/>
        <v>97141.68</v>
      </c>
      <c r="G102" s="216">
        <f t="shared" si="30"/>
        <v>10805.17</v>
      </c>
      <c r="H102" s="240">
        <f t="shared" si="30"/>
        <v>18478.440000000002</v>
      </c>
      <c r="I102" s="186">
        <f t="shared" si="30"/>
        <v>126425.29</v>
      </c>
      <c r="J102" s="186">
        <f t="shared" si="30"/>
        <v>0</v>
      </c>
      <c r="K102" s="281">
        <f t="shared" si="30"/>
        <v>0</v>
      </c>
      <c r="L102" s="186">
        <f t="shared" si="30"/>
        <v>126425.29</v>
      </c>
      <c r="M102" s="216">
        <f t="shared" si="30"/>
        <v>0</v>
      </c>
      <c r="N102" s="297">
        <f t="shared" si="30"/>
        <v>4000</v>
      </c>
      <c r="O102" s="240">
        <f t="shared" si="30"/>
        <v>130425.29</v>
      </c>
      <c r="P102" s="124">
        <f t="shared" si="30"/>
        <v>0</v>
      </c>
      <c r="Q102" s="84">
        <f t="shared" si="30"/>
        <v>108019.56999999999</v>
      </c>
    </row>
    <row r="103" spans="1:17" ht="12.75">
      <c r="A103" s="9" t="s">
        <v>27</v>
      </c>
      <c r="B103" s="59"/>
      <c r="C103" s="100"/>
      <c r="D103" s="78"/>
      <c r="E103" s="169"/>
      <c r="F103" s="199"/>
      <c r="G103" s="213"/>
      <c r="H103" s="237"/>
      <c r="I103" s="183"/>
      <c r="J103" s="183"/>
      <c r="K103" s="278"/>
      <c r="L103" s="183"/>
      <c r="M103" s="213"/>
      <c r="N103" s="294"/>
      <c r="O103" s="237"/>
      <c r="P103" s="112"/>
      <c r="Q103" s="46"/>
    </row>
    <row r="104" spans="1:17" ht="12.75">
      <c r="A104" s="10" t="s">
        <v>74</v>
      </c>
      <c r="B104" s="59"/>
      <c r="C104" s="106"/>
      <c r="D104" s="75">
        <f>15437.75+10000</f>
        <v>25437.75</v>
      </c>
      <c r="E104" s="168"/>
      <c r="F104" s="198">
        <f aca="true" t="shared" si="31" ref="F104:F111">C104+D104+E104</f>
        <v>25437.75</v>
      </c>
      <c r="G104" s="211">
        <f>805.17+10000</f>
        <v>10805.17</v>
      </c>
      <c r="H104" s="235"/>
      <c r="I104" s="181">
        <f>F104+G104+H104</f>
        <v>36242.92</v>
      </c>
      <c r="J104" s="181"/>
      <c r="K104" s="276"/>
      <c r="L104" s="181">
        <f>I104+J104+K104</f>
        <v>36242.92</v>
      </c>
      <c r="M104" s="211"/>
      <c r="N104" s="292">
        <f>4000</f>
        <v>4000</v>
      </c>
      <c r="O104" s="235">
        <f>L104+M104+N104</f>
        <v>40242.92</v>
      </c>
      <c r="P104" s="112"/>
      <c r="Q104" s="46">
        <f t="shared" si="22"/>
        <v>40242.92</v>
      </c>
    </row>
    <row r="105" spans="1:17" ht="12.75">
      <c r="A105" s="15" t="s">
        <v>277</v>
      </c>
      <c r="B105" s="59"/>
      <c r="C105" s="106"/>
      <c r="D105" s="75">
        <f>20000</f>
        <v>20000</v>
      </c>
      <c r="E105" s="168"/>
      <c r="F105" s="198">
        <f t="shared" si="31"/>
        <v>20000</v>
      </c>
      <c r="G105" s="211"/>
      <c r="H105" s="235"/>
      <c r="I105" s="181">
        <f aca="true" t="shared" si="32" ref="I105:I110">F105+G105+H105</f>
        <v>20000</v>
      </c>
      <c r="J105" s="181"/>
      <c r="K105" s="276"/>
      <c r="L105" s="181">
        <f aca="true" t="shared" si="33" ref="L105:L110">I105+J105+K105</f>
        <v>20000</v>
      </c>
      <c r="M105" s="211"/>
      <c r="N105" s="292"/>
      <c r="O105" s="235">
        <f aca="true" t="shared" si="34" ref="O105:O110">L105+M105+N105</f>
        <v>20000</v>
      </c>
      <c r="P105" s="112"/>
      <c r="Q105" s="46"/>
    </row>
    <row r="106" spans="1:17" ht="12.75" hidden="1">
      <c r="A106" s="10" t="s">
        <v>60</v>
      </c>
      <c r="B106" s="59"/>
      <c r="C106" s="106"/>
      <c r="D106" s="75"/>
      <c r="E106" s="168"/>
      <c r="F106" s="198">
        <f t="shared" si="31"/>
        <v>0</v>
      </c>
      <c r="G106" s="211"/>
      <c r="H106" s="235"/>
      <c r="I106" s="181">
        <f t="shared" si="32"/>
        <v>0</v>
      </c>
      <c r="J106" s="181"/>
      <c r="K106" s="276"/>
      <c r="L106" s="181">
        <f t="shared" si="33"/>
        <v>0</v>
      </c>
      <c r="M106" s="211"/>
      <c r="N106" s="292"/>
      <c r="O106" s="235">
        <f t="shared" si="34"/>
        <v>0</v>
      </c>
      <c r="P106" s="112"/>
      <c r="Q106" s="46"/>
    </row>
    <row r="107" spans="1:17" ht="12.75" hidden="1">
      <c r="A107" s="11" t="s">
        <v>227</v>
      </c>
      <c r="B107" s="59"/>
      <c r="C107" s="106"/>
      <c r="D107" s="75"/>
      <c r="E107" s="168"/>
      <c r="F107" s="198">
        <f t="shared" si="31"/>
        <v>0</v>
      </c>
      <c r="G107" s="211"/>
      <c r="H107" s="235"/>
      <c r="I107" s="181">
        <f t="shared" si="32"/>
        <v>0</v>
      </c>
      <c r="J107" s="181"/>
      <c r="K107" s="276"/>
      <c r="L107" s="181">
        <f t="shared" si="33"/>
        <v>0</v>
      </c>
      <c r="M107" s="211"/>
      <c r="N107" s="292"/>
      <c r="O107" s="235">
        <f t="shared" si="34"/>
        <v>0</v>
      </c>
      <c r="P107" s="112"/>
      <c r="Q107" s="46"/>
    </row>
    <row r="108" spans="1:17" ht="12.75" hidden="1">
      <c r="A108" s="11" t="s">
        <v>85</v>
      </c>
      <c r="B108" s="59"/>
      <c r="C108" s="106"/>
      <c r="D108" s="75"/>
      <c r="E108" s="168"/>
      <c r="F108" s="198">
        <f t="shared" si="31"/>
        <v>0</v>
      </c>
      <c r="G108" s="211"/>
      <c r="H108" s="235"/>
      <c r="I108" s="181">
        <f t="shared" si="32"/>
        <v>0</v>
      </c>
      <c r="J108" s="181"/>
      <c r="K108" s="276"/>
      <c r="L108" s="181">
        <f t="shared" si="33"/>
        <v>0</v>
      </c>
      <c r="M108" s="211"/>
      <c r="N108" s="292"/>
      <c r="O108" s="235">
        <f t="shared" si="34"/>
        <v>0</v>
      </c>
      <c r="P108" s="112"/>
      <c r="Q108" s="46">
        <f t="shared" si="22"/>
        <v>0</v>
      </c>
    </row>
    <row r="109" spans="1:17" ht="12.75">
      <c r="A109" s="11" t="s">
        <v>284</v>
      </c>
      <c r="B109" s="59">
        <v>1011</v>
      </c>
      <c r="C109" s="106">
        <v>2000</v>
      </c>
      <c r="D109" s="75"/>
      <c r="E109" s="168"/>
      <c r="F109" s="198">
        <f t="shared" si="31"/>
        <v>2000</v>
      </c>
      <c r="G109" s="211"/>
      <c r="H109" s="235">
        <v>405.72</v>
      </c>
      <c r="I109" s="181">
        <f t="shared" si="32"/>
        <v>2405.7200000000003</v>
      </c>
      <c r="J109" s="181"/>
      <c r="K109" s="276"/>
      <c r="L109" s="181">
        <f t="shared" si="33"/>
        <v>2405.7200000000003</v>
      </c>
      <c r="M109" s="211"/>
      <c r="N109" s="292"/>
      <c r="O109" s="235">
        <f t="shared" si="34"/>
        <v>2405.7200000000003</v>
      </c>
      <c r="P109" s="112"/>
      <c r="Q109" s="46"/>
    </row>
    <row r="110" spans="1:17" ht="12.75">
      <c r="A110" s="10" t="s">
        <v>72</v>
      </c>
      <c r="B110" s="59"/>
      <c r="C110" s="106">
        <v>30000</v>
      </c>
      <c r="D110" s="75">
        <f>19388.73+315.2</f>
        <v>19703.93</v>
      </c>
      <c r="E110" s="168"/>
      <c r="F110" s="198">
        <f t="shared" si="31"/>
        <v>49703.93</v>
      </c>
      <c r="G110" s="211"/>
      <c r="H110" s="235">
        <f>18072.72</f>
        <v>18072.72</v>
      </c>
      <c r="I110" s="181">
        <f t="shared" si="32"/>
        <v>67776.65</v>
      </c>
      <c r="J110" s="181"/>
      <c r="K110" s="276"/>
      <c r="L110" s="181">
        <f t="shared" si="33"/>
        <v>67776.65</v>
      </c>
      <c r="M110" s="211"/>
      <c r="N110" s="292"/>
      <c r="O110" s="235">
        <f t="shared" si="34"/>
        <v>67776.65</v>
      </c>
      <c r="P110" s="112"/>
      <c r="Q110" s="46">
        <f t="shared" si="22"/>
        <v>67776.65</v>
      </c>
    </row>
    <row r="111" spans="1:17" ht="12.75">
      <c r="A111" s="19" t="s">
        <v>75</v>
      </c>
      <c r="B111" s="62"/>
      <c r="C111" s="132"/>
      <c r="D111" s="83">
        <f>19388.73+315.2</f>
        <v>19703.93</v>
      </c>
      <c r="E111" s="192"/>
      <c r="F111" s="203">
        <f t="shared" si="31"/>
        <v>19703.93</v>
      </c>
      <c r="G111" s="217">
        <f>12547.5</f>
        <v>12547.5</v>
      </c>
      <c r="H111" s="233">
        <f>3629</f>
        <v>3629</v>
      </c>
      <c r="I111" s="187">
        <f>F111+G111+H111</f>
        <v>35880.43</v>
      </c>
      <c r="J111" s="187"/>
      <c r="K111" s="282"/>
      <c r="L111" s="187">
        <f>I111+J111+K111</f>
        <v>35880.43</v>
      </c>
      <c r="M111" s="217"/>
      <c r="N111" s="298">
        <f>16850</f>
        <v>16850</v>
      </c>
      <c r="O111" s="233">
        <f>L111+M111+N111</f>
        <v>52730.43</v>
      </c>
      <c r="P111" s="270"/>
      <c r="Q111" s="48">
        <f t="shared" si="22"/>
        <v>52730.43</v>
      </c>
    </row>
    <row r="112" spans="1:17" ht="12.75">
      <c r="A112" s="12" t="s">
        <v>76</v>
      </c>
      <c r="B112" s="63"/>
      <c r="C112" s="100">
        <f>C113+C119</f>
        <v>10484</v>
      </c>
      <c r="D112" s="78">
        <f aca="true" t="shared" si="35" ref="D112:Q112">D113+D119</f>
        <v>2843.67</v>
      </c>
      <c r="E112" s="169">
        <f t="shared" si="35"/>
        <v>0</v>
      </c>
      <c r="F112" s="199">
        <f t="shared" si="35"/>
        <v>13327.67</v>
      </c>
      <c r="G112" s="213">
        <f t="shared" si="35"/>
        <v>520</v>
      </c>
      <c r="H112" s="237">
        <f t="shared" si="35"/>
        <v>0</v>
      </c>
      <c r="I112" s="183">
        <f t="shared" si="35"/>
        <v>13847.67</v>
      </c>
      <c r="J112" s="183">
        <f t="shared" si="35"/>
        <v>0</v>
      </c>
      <c r="K112" s="278">
        <f t="shared" si="35"/>
        <v>0</v>
      </c>
      <c r="L112" s="183">
        <f t="shared" si="35"/>
        <v>13847.67</v>
      </c>
      <c r="M112" s="213">
        <f t="shared" si="35"/>
        <v>-103</v>
      </c>
      <c r="N112" s="294">
        <f t="shared" si="35"/>
        <v>0</v>
      </c>
      <c r="O112" s="237">
        <f t="shared" si="35"/>
        <v>13744.67</v>
      </c>
      <c r="P112" s="121">
        <f t="shared" si="35"/>
        <v>0</v>
      </c>
      <c r="Q112" s="77">
        <f t="shared" si="35"/>
        <v>13744.67</v>
      </c>
    </row>
    <row r="113" spans="1:17" ht="12.75">
      <c r="A113" s="17" t="s">
        <v>54</v>
      </c>
      <c r="B113" s="63"/>
      <c r="C113" s="131">
        <f>SUM(C115:C118)</f>
        <v>10484</v>
      </c>
      <c r="D113" s="82">
        <f aca="true" t="shared" si="36" ref="D113:Q113">SUM(D115:D118)</f>
        <v>2843.67</v>
      </c>
      <c r="E113" s="171">
        <f t="shared" si="36"/>
        <v>0</v>
      </c>
      <c r="F113" s="201">
        <f t="shared" si="36"/>
        <v>13327.67</v>
      </c>
      <c r="G113" s="215">
        <f t="shared" si="36"/>
        <v>520</v>
      </c>
      <c r="H113" s="239">
        <f t="shared" si="36"/>
        <v>0</v>
      </c>
      <c r="I113" s="185">
        <f t="shared" si="36"/>
        <v>13847.67</v>
      </c>
      <c r="J113" s="185">
        <f t="shared" si="36"/>
        <v>0</v>
      </c>
      <c r="K113" s="280">
        <f t="shared" si="36"/>
        <v>0</v>
      </c>
      <c r="L113" s="185">
        <f t="shared" si="36"/>
        <v>13847.67</v>
      </c>
      <c r="M113" s="215">
        <f t="shared" si="36"/>
        <v>-103</v>
      </c>
      <c r="N113" s="296">
        <f t="shared" si="36"/>
        <v>0</v>
      </c>
      <c r="O113" s="239">
        <f t="shared" si="36"/>
        <v>13744.67</v>
      </c>
      <c r="P113" s="123">
        <f t="shared" si="36"/>
        <v>0</v>
      </c>
      <c r="Q113" s="81">
        <f t="shared" si="36"/>
        <v>13744.67</v>
      </c>
    </row>
    <row r="114" spans="1:17" ht="12.75">
      <c r="A114" s="13" t="s">
        <v>27</v>
      </c>
      <c r="B114" s="59"/>
      <c r="C114" s="106"/>
      <c r="D114" s="75"/>
      <c r="E114" s="168"/>
      <c r="F114" s="179"/>
      <c r="G114" s="211"/>
      <c r="H114" s="235"/>
      <c r="I114" s="182"/>
      <c r="J114" s="181"/>
      <c r="K114" s="276"/>
      <c r="L114" s="182"/>
      <c r="M114" s="211"/>
      <c r="N114" s="292"/>
      <c r="O114" s="234"/>
      <c r="P114" s="112"/>
      <c r="Q114" s="46"/>
    </row>
    <row r="115" spans="1:17" ht="12.75">
      <c r="A115" s="11" t="s">
        <v>56</v>
      </c>
      <c r="B115" s="59"/>
      <c r="C115" s="106">
        <v>10484</v>
      </c>
      <c r="D115" s="75">
        <f>1285.67+185</f>
        <v>1470.67</v>
      </c>
      <c r="E115" s="168"/>
      <c r="F115" s="198">
        <f>C115+D115+E115</f>
        <v>11954.67</v>
      </c>
      <c r="G115" s="211"/>
      <c r="H115" s="235"/>
      <c r="I115" s="181">
        <f>SUM(F115:H115)</f>
        <v>11954.67</v>
      </c>
      <c r="J115" s="181"/>
      <c r="K115" s="276"/>
      <c r="L115" s="181">
        <f>I115+J115+K115</f>
        <v>11954.67</v>
      </c>
      <c r="M115" s="211">
        <f>-50</f>
        <v>-50</v>
      </c>
      <c r="N115" s="292"/>
      <c r="O115" s="235">
        <f>L115+M115+N115</f>
        <v>11904.67</v>
      </c>
      <c r="P115" s="112"/>
      <c r="Q115" s="46">
        <f t="shared" si="22"/>
        <v>11904.67</v>
      </c>
    </row>
    <row r="116" spans="1:17" ht="12.75" hidden="1">
      <c r="A116" s="24" t="s">
        <v>322</v>
      </c>
      <c r="B116" s="59"/>
      <c r="C116" s="106"/>
      <c r="D116" s="75"/>
      <c r="E116" s="168"/>
      <c r="F116" s="198">
        <f>C116+D116+E116</f>
        <v>0</v>
      </c>
      <c r="G116" s="211"/>
      <c r="H116" s="235"/>
      <c r="I116" s="181">
        <f>SUM(F116:H116)</f>
        <v>0</v>
      </c>
      <c r="J116" s="181"/>
      <c r="K116" s="276"/>
      <c r="L116" s="181">
        <f>I116+J116+K116</f>
        <v>0</v>
      </c>
      <c r="M116" s="211"/>
      <c r="N116" s="292"/>
      <c r="O116" s="235"/>
      <c r="P116" s="112"/>
      <c r="Q116" s="46"/>
    </row>
    <row r="117" spans="1:17" ht="12.75">
      <c r="A117" s="22" t="s">
        <v>77</v>
      </c>
      <c r="B117" s="62">
        <v>33166</v>
      </c>
      <c r="C117" s="132"/>
      <c r="D117" s="83">
        <f>1373</f>
        <v>1373</v>
      </c>
      <c r="E117" s="192"/>
      <c r="F117" s="203">
        <f>C117+D117+E117</f>
        <v>1373</v>
      </c>
      <c r="G117" s="217">
        <f>520</f>
        <v>520</v>
      </c>
      <c r="H117" s="233"/>
      <c r="I117" s="187">
        <f>SUM(F117:H117)</f>
        <v>1893</v>
      </c>
      <c r="J117" s="187"/>
      <c r="K117" s="282"/>
      <c r="L117" s="187">
        <f>I117+J117+K117</f>
        <v>1893</v>
      </c>
      <c r="M117" s="217">
        <f>-53</f>
        <v>-53</v>
      </c>
      <c r="N117" s="298"/>
      <c r="O117" s="233">
        <f>L117+M117+N117</f>
        <v>1840</v>
      </c>
      <c r="P117" s="112"/>
      <c r="Q117" s="46">
        <f t="shared" si="22"/>
        <v>1840</v>
      </c>
    </row>
    <row r="118" spans="1:17" ht="12.75" hidden="1">
      <c r="A118" s="15" t="s">
        <v>70</v>
      </c>
      <c r="B118" s="59"/>
      <c r="C118" s="106"/>
      <c r="D118" s="75"/>
      <c r="E118" s="168"/>
      <c r="F118" s="198">
        <f>C118+D118+E118</f>
        <v>0</v>
      </c>
      <c r="G118" s="211"/>
      <c r="H118" s="235"/>
      <c r="I118" s="181">
        <f>SUM(F118:H118)</f>
        <v>0</v>
      </c>
      <c r="J118" s="181"/>
      <c r="K118" s="276"/>
      <c r="L118" s="181">
        <f>I118+J118+K118</f>
        <v>0</v>
      </c>
      <c r="M118" s="211"/>
      <c r="N118" s="292"/>
      <c r="O118" s="235">
        <f>L118+M118+N118</f>
        <v>0</v>
      </c>
      <c r="P118" s="112"/>
      <c r="Q118" s="46">
        <f t="shared" si="22"/>
        <v>0</v>
      </c>
    </row>
    <row r="119" spans="1:17" ht="12.75" hidden="1">
      <c r="A119" s="17" t="s">
        <v>59</v>
      </c>
      <c r="B119" s="63"/>
      <c r="C119" s="131">
        <f>C121</f>
        <v>0</v>
      </c>
      <c r="D119" s="82">
        <f aca="true" t="shared" si="37" ref="D119:Q119">D121</f>
        <v>0</v>
      </c>
      <c r="E119" s="171">
        <f t="shared" si="37"/>
        <v>0</v>
      </c>
      <c r="F119" s="201">
        <f t="shared" si="37"/>
        <v>0</v>
      </c>
      <c r="G119" s="215">
        <f t="shared" si="37"/>
        <v>0</v>
      </c>
      <c r="H119" s="239">
        <f t="shared" si="37"/>
        <v>0</v>
      </c>
      <c r="I119" s="185">
        <f t="shared" si="37"/>
        <v>0</v>
      </c>
      <c r="J119" s="185">
        <f t="shared" si="37"/>
        <v>0</v>
      </c>
      <c r="K119" s="280">
        <f t="shared" si="37"/>
        <v>0</v>
      </c>
      <c r="L119" s="185">
        <f t="shared" si="37"/>
        <v>0</v>
      </c>
      <c r="M119" s="215">
        <f t="shared" si="37"/>
        <v>0</v>
      </c>
      <c r="N119" s="296">
        <f t="shared" si="37"/>
        <v>0</v>
      </c>
      <c r="O119" s="239">
        <f t="shared" si="37"/>
        <v>0</v>
      </c>
      <c r="P119" s="123">
        <f t="shared" si="37"/>
        <v>0</v>
      </c>
      <c r="Q119" s="81">
        <f t="shared" si="37"/>
        <v>0</v>
      </c>
    </row>
    <row r="120" spans="1:17" ht="12.75" hidden="1">
      <c r="A120" s="13" t="s">
        <v>27</v>
      </c>
      <c r="B120" s="59"/>
      <c r="C120" s="106"/>
      <c r="D120" s="75"/>
      <c r="E120" s="168"/>
      <c r="F120" s="179"/>
      <c r="G120" s="211"/>
      <c r="H120" s="235"/>
      <c r="I120" s="182"/>
      <c r="J120" s="181"/>
      <c r="K120" s="276"/>
      <c r="L120" s="182"/>
      <c r="M120" s="211"/>
      <c r="N120" s="292"/>
      <c r="O120" s="234"/>
      <c r="P120" s="112"/>
      <c r="Q120" s="46"/>
    </row>
    <row r="121" spans="1:17" ht="12.75" hidden="1">
      <c r="A121" s="14" t="s">
        <v>178</v>
      </c>
      <c r="B121" s="62"/>
      <c r="C121" s="132"/>
      <c r="D121" s="83"/>
      <c r="E121" s="192"/>
      <c r="F121" s="203">
        <f>C121+D121+E121</f>
        <v>0</v>
      </c>
      <c r="G121" s="217"/>
      <c r="H121" s="233"/>
      <c r="I121" s="188"/>
      <c r="J121" s="187"/>
      <c r="K121" s="282"/>
      <c r="L121" s="187">
        <f>I121+J121+K121</f>
        <v>0</v>
      </c>
      <c r="M121" s="217"/>
      <c r="N121" s="298"/>
      <c r="O121" s="233">
        <f>L121+M121+N121</f>
        <v>0</v>
      </c>
      <c r="P121" s="270"/>
      <c r="Q121" s="48">
        <f t="shared" si="22"/>
        <v>0</v>
      </c>
    </row>
    <row r="122" spans="1:17" ht="12.75">
      <c r="A122" s="8" t="s">
        <v>78</v>
      </c>
      <c r="B122" s="63"/>
      <c r="C122" s="113">
        <f>C123+C135</f>
        <v>1227223.9</v>
      </c>
      <c r="D122" s="74">
        <f aca="true" t="shared" si="38" ref="D122:Q122">D123+D135</f>
        <v>294323.48000000004</v>
      </c>
      <c r="E122" s="167">
        <f t="shared" si="38"/>
        <v>0</v>
      </c>
      <c r="F122" s="179">
        <f t="shared" si="38"/>
        <v>1521547.3800000001</v>
      </c>
      <c r="G122" s="210">
        <f t="shared" si="38"/>
        <v>68171.44</v>
      </c>
      <c r="H122" s="234">
        <f t="shared" si="38"/>
        <v>0</v>
      </c>
      <c r="I122" s="182">
        <f t="shared" si="38"/>
        <v>1589718.82</v>
      </c>
      <c r="J122" s="182">
        <f t="shared" si="38"/>
        <v>7219.68</v>
      </c>
      <c r="K122" s="275">
        <f t="shared" si="38"/>
        <v>0</v>
      </c>
      <c r="L122" s="182">
        <f t="shared" si="38"/>
        <v>1596938.5</v>
      </c>
      <c r="M122" s="210">
        <f t="shared" si="38"/>
        <v>16166.119999999999</v>
      </c>
      <c r="N122" s="291">
        <f t="shared" si="38"/>
        <v>0</v>
      </c>
      <c r="O122" s="234">
        <f t="shared" si="38"/>
        <v>1613104.62</v>
      </c>
      <c r="P122" s="98">
        <f t="shared" si="38"/>
        <v>0</v>
      </c>
      <c r="Q122" s="73">
        <f t="shared" si="38"/>
        <v>1613104.62</v>
      </c>
    </row>
    <row r="123" spans="1:17" ht="12.75">
      <c r="A123" s="17" t="s">
        <v>54</v>
      </c>
      <c r="B123" s="63"/>
      <c r="C123" s="131">
        <f>SUM(C126:C134)</f>
        <v>1211223.9</v>
      </c>
      <c r="D123" s="82">
        <f aca="true" t="shared" si="39" ref="D123:Q123">SUM(D126:D134)</f>
        <v>290520.62000000005</v>
      </c>
      <c r="E123" s="171">
        <f t="shared" si="39"/>
        <v>0</v>
      </c>
      <c r="F123" s="201">
        <f t="shared" si="39"/>
        <v>1501744.52</v>
      </c>
      <c r="G123" s="215">
        <f t="shared" si="39"/>
        <v>76774.44</v>
      </c>
      <c r="H123" s="239">
        <f t="shared" si="39"/>
        <v>0</v>
      </c>
      <c r="I123" s="185">
        <f t="shared" si="39"/>
        <v>1578518.96</v>
      </c>
      <c r="J123" s="185">
        <f t="shared" si="39"/>
        <v>10511.18</v>
      </c>
      <c r="K123" s="280">
        <f t="shared" si="39"/>
        <v>0</v>
      </c>
      <c r="L123" s="185">
        <f t="shared" si="39"/>
        <v>1589030.14</v>
      </c>
      <c r="M123" s="215">
        <f t="shared" si="39"/>
        <v>15362.9</v>
      </c>
      <c r="N123" s="296">
        <f t="shared" si="39"/>
        <v>0</v>
      </c>
      <c r="O123" s="239">
        <f t="shared" si="39"/>
        <v>1604393.04</v>
      </c>
      <c r="P123" s="123">
        <f t="shared" si="39"/>
        <v>0</v>
      </c>
      <c r="Q123" s="81">
        <f t="shared" si="39"/>
        <v>1604393.04</v>
      </c>
    </row>
    <row r="124" spans="1:17" ht="12.75">
      <c r="A124" s="13" t="s">
        <v>27</v>
      </c>
      <c r="B124" s="59"/>
      <c r="C124" s="106"/>
      <c r="D124" s="75"/>
      <c r="E124" s="168"/>
      <c r="F124" s="179"/>
      <c r="G124" s="211"/>
      <c r="H124" s="235"/>
      <c r="I124" s="182"/>
      <c r="J124" s="181"/>
      <c r="K124" s="276"/>
      <c r="L124" s="182"/>
      <c r="M124" s="211"/>
      <c r="N124" s="292"/>
      <c r="O124" s="234"/>
      <c r="P124" s="112"/>
      <c r="Q124" s="46"/>
    </row>
    <row r="125" spans="1:17" ht="12.75">
      <c r="A125" s="15" t="s">
        <v>79</v>
      </c>
      <c r="B125" s="59"/>
      <c r="C125" s="106">
        <f>C126+C127</f>
        <v>734071</v>
      </c>
      <c r="D125" s="75">
        <f>D126+D127</f>
        <v>20111.829999999998</v>
      </c>
      <c r="E125" s="168">
        <f>E126+E127</f>
        <v>-595.71</v>
      </c>
      <c r="F125" s="198">
        <f>F126+F127</f>
        <v>753587.12</v>
      </c>
      <c r="G125" s="211"/>
      <c r="H125" s="235"/>
      <c r="I125" s="181">
        <f>I126+I127</f>
        <v>755901.01</v>
      </c>
      <c r="J125" s="181"/>
      <c r="K125" s="276"/>
      <c r="L125" s="181">
        <f>L126+L127</f>
        <v>756251.01</v>
      </c>
      <c r="M125" s="211"/>
      <c r="N125" s="292"/>
      <c r="O125" s="235">
        <f>O126+O127</f>
        <v>756251.01</v>
      </c>
      <c r="P125" s="112"/>
      <c r="Q125" s="46">
        <f t="shared" si="22"/>
        <v>756251.01</v>
      </c>
    </row>
    <row r="126" spans="1:17" ht="12.75">
      <c r="A126" s="15" t="s">
        <v>80</v>
      </c>
      <c r="B126" s="59"/>
      <c r="C126" s="106">
        <v>354000</v>
      </c>
      <c r="D126" s="75">
        <f>18957.44+39.86+1108+6.53</f>
        <v>20111.829999999998</v>
      </c>
      <c r="E126" s="168">
        <v>-595.71</v>
      </c>
      <c r="F126" s="198">
        <f aca="true" t="shared" si="40" ref="F126:F134">C126+D126+E126</f>
        <v>373516.12</v>
      </c>
      <c r="G126" s="211">
        <f>1685.75+628.14</f>
        <v>2313.89</v>
      </c>
      <c r="H126" s="241"/>
      <c r="I126" s="181">
        <f aca="true" t="shared" si="41" ref="I126:I134">F126+G126+H126</f>
        <v>375830.01</v>
      </c>
      <c r="J126" s="181">
        <f>141.2+208.8</f>
        <v>350</v>
      </c>
      <c r="K126" s="276"/>
      <c r="L126" s="181">
        <f aca="true" t="shared" si="42" ref="L126:L134">I126+J126+K126</f>
        <v>376180.01</v>
      </c>
      <c r="M126" s="211">
        <f>1003.77</f>
        <v>1003.77</v>
      </c>
      <c r="N126" s="292"/>
      <c r="O126" s="235">
        <f aca="true" t="shared" si="43" ref="O126:O134">L126+M126+N126</f>
        <v>377183.78</v>
      </c>
      <c r="P126" s="112"/>
      <c r="Q126" s="46">
        <f t="shared" si="22"/>
        <v>377183.78</v>
      </c>
    </row>
    <row r="127" spans="1:17" ht="12.75">
      <c r="A127" s="11" t="s">
        <v>81</v>
      </c>
      <c r="B127" s="59"/>
      <c r="C127" s="106">
        <v>380071</v>
      </c>
      <c r="D127" s="75"/>
      <c r="E127" s="168"/>
      <c r="F127" s="198">
        <f t="shared" si="40"/>
        <v>380071</v>
      </c>
      <c r="G127" s="218"/>
      <c r="H127" s="241"/>
      <c r="I127" s="181">
        <f t="shared" si="41"/>
        <v>380071</v>
      </c>
      <c r="J127" s="181"/>
      <c r="K127" s="276"/>
      <c r="L127" s="181">
        <f t="shared" si="42"/>
        <v>380071</v>
      </c>
      <c r="M127" s="211">
        <f>-1003.77</f>
        <v>-1003.77</v>
      </c>
      <c r="N127" s="292"/>
      <c r="O127" s="235">
        <f t="shared" si="43"/>
        <v>379067.23</v>
      </c>
      <c r="P127" s="112"/>
      <c r="Q127" s="46">
        <f t="shared" si="22"/>
        <v>379067.23</v>
      </c>
    </row>
    <row r="128" spans="1:17" ht="12.75">
      <c r="A128" s="15" t="s">
        <v>82</v>
      </c>
      <c r="B128" s="59"/>
      <c r="C128" s="106">
        <v>21152.9</v>
      </c>
      <c r="D128" s="75"/>
      <c r="E128" s="168"/>
      <c r="F128" s="198">
        <f t="shared" si="40"/>
        <v>21152.9</v>
      </c>
      <c r="G128" s="211">
        <f>4147.1</f>
        <v>4147.1</v>
      </c>
      <c r="H128" s="235"/>
      <c r="I128" s="181">
        <f t="shared" si="41"/>
        <v>25300</v>
      </c>
      <c r="J128" s="181"/>
      <c r="K128" s="276"/>
      <c r="L128" s="181">
        <f t="shared" si="42"/>
        <v>25300</v>
      </c>
      <c r="M128" s="211">
        <f>-3800</f>
        <v>-3800</v>
      </c>
      <c r="N128" s="292"/>
      <c r="O128" s="235">
        <f t="shared" si="43"/>
        <v>21500</v>
      </c>
      <c r="P128" s="112"/>
      <c r="Q128" s="46">
        <f t="shared" si="22"/>
        <v>21500</v>
      </c>
    </row>
    <row r="129" spans="1:17" ht="12.75">
      <c r="A129" s="11" t="s">
        <v>83</v>
      </c>
      <c r="B129" s="59"/>
      <c r="C129" s="106"/>
      <c r="D129" s="75"/>
      <c r="E129" s="168">
        <v>250</v>
      </c>
      <c r="F129" s="198">
        <f t="shared" si="40"/>
        <v>250</v>
      </c>
      <c r="G129" s="211"/>
      <c r="H129" s="235"/>
      <c r="I129" s="181">
        <f t="shared" si="41"/>
        <v>250</v>
      </c>
      <c r="J129" s="181"/>
      <c r="K129" s="276"/>
      <c r="L129" s="181">
        <f t="shared" si="42"/>
        <v>250</v>
      </c>
      <c r="M129" s="211"/>
      <c r="N129" s="292"/>
      <c r="O129" s="235">
        <f t="shared" si="43"/>
        <v>250</v>
      </c>
      <c r="P129" s="112"/>
      <c r="Q129" s="46">
        <f t="shared" si="22"/>
        <v>250</v>
      </c>
    </row>
    <row r="130" spans="1:17" ht="12.75">
      <c r="A130" s="11" t="s">
        <v>70</v>
      </c>
      <c r="B130" s="59"/>
      <c r="C130" s="106"/>
      <c r="D130" s="75"/>
      <c r="E130" s="168">
        <v>345.71</v>
      </c>
      <c r="F130" s="198">
        <f t="shared" si="40"/>
        <v>345.71</v>
      </c>
      <c r="G130" s="211"/>
      <c r="H130" s="235"/>
      <c r="I130" s="181">
        <f t="shared" si="41"/>
        <v>345.71</v>
      </c>
      <c r="J130" s="181"/>
      <c r="K130" s="276"/>
      <c r="L130" s="181">
        <f t="shared" si="42"/>
        <v>345.71</v>
      </c>
      <c r="M130" s="211"/>
      <c r="N130" s="292"/>
      <c r="O130" s="235">
        <f t="shared" si="43"/>
        <v>345.71</v>
      </c>
      <c r="P130" s="112"/>
      <c r="Q130" s="46">
        <f t="shared" si="22"/>
        <v>345.71</v>
      </c>
    </row>
    <row r="131" spans="1:17" ht="12.75">
      <c r="A131" s="11" t="s">
        <v>84</v>
      </c>
      <c r="B131" s="59">
        <v>91252</v>
      </c>
      <c r="C131" s="106"/>
      <c r="D131" s="75"/>
      <c r="E131" s="168"/>
      <c r="F131" s="198">
        <f t="shared" si="40"/>
        <v>0</v>
      </c>
      <c r="G131" s="211">
        <f>69355</f>
        <v>69355</v>
      </c>
      <c r="H131" s="235"/>
      <c r="I131" s="181">
        <f t="shared" si="41"/>
        <v>69355</v>
      </c>
      <c r="J131" s="181"/>
      <c r="K131" s="276"/>
      <c r="L131" s="181">
        <f t="shared" si="42"/>
        <v>69355</v>
      </c>
      <c r="M131" s="211">
        <f>14645</f>
        <v>14645</v>
      </c>
      <c r="N131" s="292"/>
      <c r="O131" s="235">
        <f t="shared" si="43"/>
        <v>84000</v>
      </c>
      <c r="P131" s="112"/>
      <c r="Q131" s="46">
        <f t="shared" si="22"/>
        <v>84000</v>
      </c>
    </row>
    <row r="132" spans="1:17" ht="12.75">
      <c r="A132" s="11" t="s">
        <v>153</v>
      </c>
      <c r="B132" s="59">
        <v>27355</v>
      </c>
      <c r="C132" s="106"/>
      <c r="D132" s="75">
        <f>270393.45</f>
        <v>270393.45</v>
      </c>
      <c r="E132" s="168"/>
      <c r="F132" s="198">
        <f t="shared" si="40"/>
        <v>270393.45</v>
      </c>
      <c r="G132" s="211"/>
      <c r="H132" s="235"/>
      <c r="I132" s="181">
        <f t="shared" si="41"/>
        <v>270393.45</v>
      </c>
      <c r="J132" s="181"/>
      <c r="K132" s="276"/>
      <c r="L132" s="181">
        <f t="shared" si="42"/>
        <v>270393.45</v>
      </c>
      <c r="M132" s="211"/>
      <c r="N132" s="292"/>
      <c r="O132" s="235">
        <f t="shared" si="43"/>
        <v>270393.45</v>
      </c>
      <c r="P132" s="112"/>
      <c r="Q132" s="46">
        <f t="shared" si="22"/>
        <v>270393.45</v>
      </c>
    </row>
    <row r="133" spans="1:17" ht="12.75">
      <c r="A133" s="11" t="s">
        <v>56</v>
      </c>
      <c r="B133" s="59"/>
      <c r="C133" s="106">
        <v>456000</v>
      </c>
      <c r="D133" s="75">
        <f>15.34</f>
        <v>15.34</v>
      </c>
      <c r="E133" s="168"/>
      <c r="F133" s="198">
        <f t="shared" si="40"/>
        <v>456015.34</v>
      </c>
      <c r="G133" s="211">
        <f>958.45</f>
        <v>958.45</v>
      </c>
      <c r="H133" s="235"/>
      <c r="I133" s="181">
        <f t="shared" si="41"/>
        <v>456973.79000000004</v>
      </c>
      <c r="J133" s="181">
        <f>371.03+1608.75+3291.5-110.1+5000</f>
        <v>10161.18</v>
      </c>
      <c r="K133" s="276"/>
      <c r="L133" s="181">
        <f t="shared" si="42"/>
        <v>467134.97000000003</v>
      </c>
      <c r="M133" s="211">
        <f>68.4+649.5+3800</f>
        <v>4517.9</v>
      </c>
      <c r="N133" s="292"/>
      <c r="O133" s="235">
        <f t="shared" si="43"/>
        <v>471652.87000000005</v>
      </c>
      <c r="P133" s="112"/>
      <c r="Q133" s="46">
        <f t="shared" si="22"/>
        <v>471652.87000000005</v>
      </c>
    </row>
    <row r="134" spans="1:17" ht="12" customHeight="1" hidden="1">
      <c r="A134" s="11" t="s">
        <v>85</v>
      </c>
      <c r="B134" s="59"/>
      <c r="C134" s="106"/>
      <c r="D134" s="75"/>
      <c r="E134" s="168"/>
      <c r="F134" s="198">
        <f t="shared" si="40"/>
        <v>0</v>
      </c>
      <c r="G134" s="211"/>
      <c r="H134" s="235"/>
      <c r="I134" s="181">
        <f t="shared" si="41"/>
        <v>0</v>
      </c>
      <c r="J134" s="181"/>
      <c r="K134" s="276"/>
      <c r="L134" s="181">
        <f t="shared" si="42"/>
        <v>0</v>
      </c>
      <c r="M134" s="211"/>
      <c r="N134" s="292"/>
      <c r="O134" s="235">
        <f t="shared" si="43"/>
        <v>0</v>
      </c>
      <c r="P134" s="112"/>
      <c r="Q134" s="46">
        <f t="shared" si="22"/>
        <v>0</v>
      </c>
    </row>
    <row r="135" spans="1:17" ht="12.75">
      <c r="A135" s="18" t="s">
        <v>59</v>
      </c>
      <c r="B135" s="63"/>
      <c r="C135" s="133">
        <f>SUM(C137:C139)</f>
        <v>16000</v>
      </c>
      <c r="D135" s="85">
        <f aca="true" t="shared" si="44" ref="D135:Q135">SUM(D137:D139)</f>
        <v>3802.86</v>
      </c>
      <c r="E135" s="172">
        <f t="shared" si="44"/>
        <v>0</v>
      </c>
      <c r="F135" s="202">
        <f t="shared" si="44"/>
        <v>19802.86</v>
      </c>
      <c r="G135" s="216">
        <f t="shared" si="44"/>
        <v>-8603</v>
      </c>
      <c r="H135" s="240">
        <f t="shared" si="44"/>
        <v>0</v>
      </c>
      <c r="I135" s="186">
        <f t="shared" si="44"/>
        <v>11199.86</v>
      </c>
      <c r="J135" s="186">
        <f t="shared" si="44"/>
        <v>-3291.5</v>
      </c>
      <c r="K135" s="281">
        <f t="shared" si="44"/>
        <v>0</v>
      </c>
      <c r="L135" s="186">
        <f t="shared" si="44"/>
        <v>7908.360000000001</v>
      </c>
      <c r="M135" s="216">
        <f t="shared" si="44"/>
        <v>803.22</v>
      </c>
      <c r="N135" s="297">
        <f t="shared" si="44"/>
        <v>0</v>
      </c>
      <c r="O135" s="240">
        <f t="shared" si="44"/>
        <v>8711.58</v>
      </c>
      <c r="P135" s="124">
        <f t="shared" si="44"/>
        <v>0</v>
      </c>
      <c r="Q135" s="84">
        <f t="shared" si="44"/>
        <v>8711.58</v>
      </c>
    </row>
    <row r="136" spans="1:17" ht="12.75">
      <c r="A136" s="9" t="s">
        <v>27</v>
      </c>
      <c r="B136" s="59"/>
      <c r="C136" s="100"/>
      <c r="D136" s="78"/>
      <c r="E136" s="169"/>
      <c r="F136" s="199"/>
      <c r="G136" s="213"/>
      <c r="H136" s="237"/>
      <c r="I136" s="183"/>
      <c r="J136" s="183"/>
      <c r="K136" s="278"/>
      <c r="L136" s="183"/>
      <c r="M136" s="213"/>
      <c r="N136" s="294"/>
      <c r="O136" s="237"/>
      <c r="P136" s="112"/>
      <c r="Q136" s="46"/>
    </row>
    <row r="137" spans="1:17" ht="12.75">
      <c r="A137" s="10" t="s">
        <v>60</v>
      </c>
      <c r="B137" s="59"/>
      <c r="C137" s="106">
        <v>10000</v>
      </c>
      <c r="D137" s="75">
        <f>3802.86</f>
        <v>3802.86</v>
      </c>
      <c r="E137" s="168"/>
      <c r="F137" s="198">
        <f>C137+D137+E137</f>
        <v>13802.86</v>
      </c>
      <c r="G137" s="211">
        <f>-2603</f>
        <v>-2603</v>
      </c>
      <c r="H137" s="235"/>
      <c r="I137" s="181">
        <f>F137+G137+H137</f>
        <v>11199.86</v>
      </c>
      <c r="J137" s="181">
        <f>-3291.5</f>
        <v>-3291.5</v>
      </c>
      <c r="K137" s="276"/>
      <c r="L137" s="181">
        <f>I137+J137+K137</f>
        <v>7908.360000000001</v>
      </c>
      <c r="M137" s="211">
        <f>-649.5+1452.72</f>
        <v>803.22</v>
      </c>
      <c r="N137" s="292"/>
      <c r="O137" s="235">
        <f>L137+M137+N137</f>
        <v>8711.58</v>
      </c>
      <c r="P137" s="112"/>
      <c r="Q137" s="46">
        <f t="shared" si="22"/>
        <v>8711.58</v>
      </c>
    </row>
    <row r="138" spans="1:17" ht="12.75">
      <c r="A138" s="14" t="s">
        <v>97</v>
      </c>
      <c r="B138" s="62"/>
      <c r="C138" s="132">
        <v>6000</v>
      </c>
      <c r="D138" s="83"/>
      <c r="E138" s="192"/>
      <c r="F138" s="203">
        <f>C138+D138+E138</f>
        <v>6000</v>
      </c>
      <c r="G138" s="217">
        <f>-6000</f>
        <v>-6000</v>
      </c>
      <c r="H138" s="233"/>
      <c r="I138" s="187">
        <f>F138+G138+H138</f>
        <v>0</v>
      </c>
      <c r="J138" s="187"/>
      <c r="K138" s="282"/>
      <c r="L138" s="187">
        <f>I138+J138+K138</f>
        <v>0</v>
      </c>
      <c r="M138" s="217"/>
      <c r="N138" s="298"/>
      <c r="O138" s="233">
        <f>L138+M138+N138</f>
        <v>0</v>
      </c>
      <c r="P138" s="112"/>
      <c r="Q138" s="46">
        <f t="shared" si="22"/>
        <v>0</v>
      </c>
    </row>
    <row r="139" spans="1:17" ht="12.75" hidden="1">
      <c r="A139" s="14" t="s">
        <v>86</v>
      </c>
      <c r="B139" s="62"/>
      <c r="C139" s="132"/>
      <c r="D139" s="83"/>
      <c r="E139" s="192"/>
      <c r="F139" s="203">
        <f>C139+D139+E139</f>
        <v>0</v>
      </c>
      <c r="G139" s="217"/>
      <c r="H139" s="233"/>
      <c r="I139" s="187">
        <f>F139+G139+H139</f>
        <v>0</v>
      </c>
      <c r="J139" s="187"/>
      <c r="K139" s="282"/>
      <c r="L139" s="187">
        <f>I139+J139+K139</f>
        <v>0</v>
      </c>
      <c r="M139" s="217"/>
      <c r="N139" s="298"/>
      <c r="O139" s="233">
        <f>L139+M139+N139</f>
        <v>0</v>
      </c>
      <c r="P139" s="270"/>
      <c r="Q139" s="48">
        <f t="shared" si="22"/>
        <v>0</v>
      </c>
    </row>
    <row r="140" spans="1:17" ht="12.75">
      <c r="A140" s="12" t="s">
        <v>87</v>
      </c>
      <c r="B140" s="63"/>
      <c r="C140" s="100">
        <f>C141+C146</f>
        <v>34232.8</v>
      </c>
      <c r="D140" s="78">
        <f aca="true" t="shared" si="45" ref="D140:Q140">D141+D146</f>
        <v>2800</v>
      </c>
      <c r="E140" s="169">
        <f t="shared" si="45"/>
        <v>0</v>
      </c>
      <c r="F140" s="199">
        <f t="shared" si="45"/>
        <v>37032.8</v>
      </c>
      <c r="G140" s="213">
        <f t="shared" si="45"/>
        <v>0</v>
      </c>
      <c r="H140" s="237">
        <f t="shared" si="45"/>
        <v>0</v>
      </c>
      <c r="I140" s="183">
        <f t="shared" si="45"/>
        <v>37032.8</v>
      </c>
      <c r="J140" s="183">
        <f t="shared" si="45"/>
        <v>36743.6</v>
      </c>
      <c r="K140" s="278">
        <f t="shared" si="45"/>
        <v>6656.48</v>
      </c>
      <c r="L140" s="183">
        <f t="shared" si="45"/>
        <v>80432.88</v>
      </c>
      <c r="M140" s="213">
        <f t="shared" si="45"/>
        <v>4738.689999999995</v>
      </c>
      <c r="N140" s="294">
        <f t="shared" si="45"/>
        <v>0</v>
      </c>
      <c r="O140" s="237">
        <f t="shared" si="45"/>
        <v>85171.57</v>
      </c>
      <c r="P140" s="121">
        <f t="shared" si="45"/>
        <v>0</v>
      </c>
      <c r="Q140" s="77">
        <f t="shared" si="45"/>
        <v>85171.57</v>
      </c>
    </row>
    <row r="141" spans="1:17" ht="12.75">
      <c r="A141" s="17" t="s">
        <v>54</v>
      </c>
      <c r="B141" s="63"/>
      <c r="C141" s="131">
        <f>SUM(C143:C145)</f>
        <v>32232.8</v>
      </c>
      <c r="D141" s="82">
        <f aca="true" t="shared" si="46" ref="D141:Q141">SUM(D143:D145)</f>
        <v>1800</v>
      </c>
      <c r="E141" s="171">
        <f t="shared" si="46"/>
        <v>0</v>
      </c>
      <c r="F141" s="201">
        <f t="shared" si="46"/>
        <v>34032.8</v>
      </c>
      <c r="G141" s="215">
        <f t="shared" si="46"/>
        <v>0</v>
      </c>
      <c r="H141" s="239">
        <f t="shared" si="46"/>
        <v>0</v>
      </c>
      <c r="I141" s="185">
        <f t="shared" si="46"/>
        <v>34032.8</v>
      </c>
      <c r="J141" s="185">
        <f t="shared" si="46"/>
        <v>3746.06</v>
      </c>
      <c r="K141" s="280">
        <f t="shared" si="46"/>
        <v>0</v>
      </c>
      <c r="L141" s="185">
        <f t="shared" si="46"/>
        <v>37778.86</v>
      </c>
      <c r="M141" s="215">
        <f t="shared" si="46"/>
        <v>39763.009999999995</v>
      </c>
      <c r="N141" s="296">
        <f t="shared" si="46"/>
        <v>0</v>
      </c>
      <c r="O141" s="239">
        <f t="shared" si="46"/>
        <v>77541.87</v>
      </c>
      <c r="P141" s="123">
        <f t="shared" si="46"/>
        <v>0</v>
      </c>
      <c r="Q141" s="81">
        <f t="shared" si="46"/>
        <v>77541.87</v>
      </c>
    </row>
    <row r="142" spans="1:17" ht="12.75">
      <c r="A142" s="13" t="s">
        <v>27</v>
      </c>
      <c r="B142" s="59"/>
      <c r="C142" s="106"/>
      <c r="D142" s="75"/>
      <c r="E142" s="168"/>
      <c r="F142" s="179"/>
      <c r="G142" s="211"/>
      <c r="H142" s="235"/>
      <c r="I142" s="182"/>
      <c r="J142" s="181"/>
      <c r="K142" s="276"/>
      <c r="L142" s="182"/>
      <c r="M142" s="211"/>
      <c r="N142" s="292"/>
      <c r="O142" s="234"/>
      <c r="P142" s="112"/>
      <c r="Q142" s="46"/>
    </row>
    <row r="143" spans="1:17" ht="12.75">
      <c r="A143" s="11" t="s">
        <v>56</v>
      </c>
      <c r="B143" s="59"/>
      <c r="C143" s="106">
        <v>8232.8</v>
      </c>
      <c r="D143" s="75">
        <f>500+1300</f>
        <v>1800</v>
      </c>
      <c r="E143" s="168"/>
      <c r="F143" s="198">
        <f>C143+D143+E143</f>
        <v>10032.8</v>
      </c>
      <c r="G143" s="211"/>
      <c r="H143" s="235"/>
      <c r="I143" s="181">
        <f>F143+G143+H143</f>
        <v>10032.8</v>
      </c>
      <c r="J143" s="181">
        <f>1295.79+2000</f>
        <v>3295.79</v>
      </c>
      <c r="K143" s="276"/>
      <c r="L143" s="181">
        <f>I143+J143+K143</f>
        <v>13328.59</v>
      </c>
      <c r="M143" s="211">
        <f>38354.02</f>
        <v>38354.02</v>
      </c>
      <c r="N143" s="292"/>
      <c r="O143" s="235">
        <f>L143+M143+N143</f>
        <v>51682.61</v>
      </c>
      <c r="P143" s="112"/>
      <c r="Q143" s="46">
        <f t="shared" si="22"/>
        <v>51682.61</v>
      </c>
    </row>
    <row r="144" spans="1:17" ht="12.75" hidden="1">
      <c r="A144" s="11" t="s">
        <v>86</v>
      </c>
      <c r="B144" s="59"/>
      <c r="C144" s="106"/>
      <c r="D144" s="75"/>
      <c r="E144" s="168"/>
      <c r="F144" s="198">
        <f>C144+D144+E144</f>
        <v>0</v>
      </c>
      <c r="G144" s="211"/>
      <c r="H144" s="235"/>
      <c r="I144" s="181"/>
      <c r="J144" s="181"/>
      <c r="K144" s="276"/>
      <c r="L144" s="181">
        <f>I144+J144+K144</f>
        <v>0</v>
      </c>
      <c r="M144" s="211"/>
      <c r="N144" s="292"/>
      <c r="O144" s="235">
        <f>L144+M144+N144</f>
        <v>0</v>
      </c>
      <c r="P144" s="112"/>
      <c r="Q144" s="46">
        <f t="shared" si="22"/>
        <v>0</v>
      </c>
    </row>
    <row r="145" spans="1:17" ht="12.75">
      <c r="A145" s="11" t="s">
        <v>88</v>
      </c>
      <c r="B145" s="59"/>
      <c r="C145" s="106">
        <v>24000</v>
      </c>
      <c r="D145" s="75"/>
      <c r="E145" s="168"/>
      <c r="F145" s="198">
        <f>C145+D145+E145</f>
        <v>24000</v>
      </c>
      <c r="G145" s="211"/>
      <c r="H145" s="235"/>
      <c r="I145" s="181">
        <f>F145+G145+H145</f>
        <v>24000</v>
      </c>
      <c r="J145" s="181">
        <f>750.27-300</f>
        <v>450.27</v>
      </c>
      <c r="K145" s="276"/>
      <c r="L145" s="181">
        <f>I145+J145+K145</f>
        <v>24450.27</v>
      </c>
      <c r="M145" s="211">
        <f>1408.99</f>
        <v>1408.99</v>
      </c>
      <c r="N145" s="292"/>
      <c r="O145" s="235">
        <f>L145+M145+N145</f>
        <v>25859.260000000002</v>
      </c>
      <c r="P145" s="112"/>
      <c r="Q145" s="46">
        <f>O145+P145</f>
        <v>25859.260000000002</v>
      </c>
    </row>
    <row r="146" spans="1:17" ht="12.75">
      <c r="A146" s="18" t="s">
        <v>59</v>
      </c>
      <c r="B146" s="63"/>
      <c r="C146" s="133">
        <f>SUM(C148:C151)</f>
        <v>2000</v>
      </c>
      <c r="D146" s="85">
        <f aca="true" t="shared" si="47" ref="D146:Q146">SUM(D148:D151)</f>
        <v>1000</v>
      </c>
      <c r="E146" s="172">
        <f t="shared" si="47"/>
        <v>0</v>
      </c>
      <c r="F146" s="202">
        <f t="shared" si="47"/>
        <v>3000</v>
      </c>
      <c r="G146" s="216">
        <f t="shared" si="47"/>
        <v>0</v>
      </c>
      <c r="H146" s="240">
        <f t="shared" si="47"/>
        <v>0</v>
      </c>
      <c r="I146" s="186">
        <f t="shared" si="47"/>
        <v>3000</v>
      </c>
      <c r="J146" s="186">
        <f t="shared" si="47"/>
        <v>32997.54</v>
      </c>
      <c r="K146" s="281">
        <f t="shared" si="47"/>
        <v>6656.48</v>
      </c>
      <c r="L146" s="186">
        <f t="shared" si="47"/>
        <v>42654.020000000004</v>
      </c>
      <c r="M146" s="216">
        <f t="shared" si="47"/>
        <v>-35024.32</v>
      </c>
      <c r="N146" s="297">
        <f t="shared" si="47"/>
        <v>0</v>
      </c>
      <c r="O146" s="240">
        <f t="shared" si="47"/>
        <v>7629.700000000007</v>
      </c>
      <c r="P146" s="124">
        <f t="shared" si="47"/>
        <v>0</v>
      </c>
      <c r="Q146" s="84">
        <f t="shared" si="47"/>
        <v>7629.700000000007</v>
      </c>
    </row>
    <row r="147" spans="1:17" ht="12.75">
      <c r="A147" s="9" t="s">
        <v>27</v>
      </c>
      <c r="B147" s="59"/>
      <c r="C147" s="100"/>
      <c r="D147" s="78"/>
      <c r="E147" s="169"/>
      <c r="F147" s="199"/>
      <c r="G147" s="213"/>
      <c r="H147" s="237"/>
      <c r="I147" s="183"/>
      <c r="J147" s="183"/>
      <c r="K147" s="278"/>
      <c r="L147" s="183"/>
      <c r="M147" s="213"/>
      <c r="N147" s="294"/>
      <c r="O147" s="237"/>
      <c r="P147" s="112"/>
      <c r="Q147" s="46"/>
    </row>
    <row r="148" spans="1:17" ht="12.75">
      <c r="A148" s="11" t="s">
        <v>174</v>
      </c>
      <c r="B148" s="59">
        <v>98861</v>
      </c>
      <c r="C148" s="106"/>
      <c r="D148" s="75"/>
      <c r="E148" s="168"/>
      <c r="F148" s="198">
        <f>C148+D148+E148</f>
        <v>0</v>
      </c>
      <c r="G148" s="213"/>
      <c r="H148" s="237"/>
      <c r="I148" s="181"/>
      <c r="J148" s="183"/>
      <c r="K148" s="278"/>
      <c r="L148" s="181">
        <f>I148+J148+K148</f>
        <v>0</v>
      </c>
      <c r="M148" s="211">
        <f>3329.7</f>
        <v>3329.7</v>
      </c>
      <c r="N148" s="294"/>
      <c r="O148" s="235">
        <f>L148+M148+N148</f>
        <v>3329.7</v>
      </c>
      <c r="P148" s="112"/>
      <c r="Q148" s="46">
        <f>O148+P148</f>
        <v>3329.7</v>
      </c>
    </row>
    <row r="149" spans="1:17" ht="12.75" hidden="1">
      <c r="A149" s="11" t="s">
        <v>242</v>
      </c>
      <c r="B149" s="59">
        <v>7938</v>
      </c>
      <c r="C149" s="106"/>
      <c r="D149" s="75"/>
      <c r="E149" s="168"/>
      <c r="F149" s="198">
        <f>C149+D149+E149</f>
        <v>0</v>
      </c>
      <c r="G149" s="213"/>
      <c r="H149" s="237"/>
      <c r="I149" s="181"/>
      <c r="J149" s="183"/>
      <c r="K149" s="278"/>
      <c r="L149" s="181">
        <f>I149+J149+K149</f>
        <v>0</v>
      </c>
      <c r="M149" s="213"/>
      <c r="N149" s="294"/>
      <c r="O149" s="235"/>
      <c r="P149" s="112"/>
      <c r="Q149" s="46"/>
    </row>
    <row r="150" spans="1:17" ht="12.75" hidden="1">
      <c r="A150" s="11" t="s">
        <v>279</v>
      </c>
      <c r="B150" s="59"/>
      <c r="C150" s="106"/>
      <c r="D150" s="75"/>
      <c r="E150" s="168"/>
      <c r="F150" s="198">
        <f>C150+D150+E150</f>
        <v>0</v>
      </c>
      <c r="G150" s="213"/>
      <c r="H150" s="237"/>
      <c r="I150" s="181"/>
      <c r="J150" s="183"/>
      <c r="K150" s="278"/>
      <c r="L150" s="181">
        <f>I150+J150+K150</f>
        <v>0</v>
      </c>
      <c r="M150" s="213"/>
      <c r="N150" s="294"/>
      <c r="O150" s="235"/>
      <c r="P150" s="112"/>
      <c r="Q150" s="46"/>
    </row>
    <row r="151" spans="1:17" ht="12.75">
      <c r="A151" s="22" t="s">
        <v>60</v>
      </c>
      <c r="B151" s="62"/>
      <c r="C151" s="132">
        <v>2000</v>
      </c>
      <c r="D151" s="83">
        <f>1000</f>
        <v>1000</v>
      </c>
      <c r="E151" s="192"/>
      <c r="F151" s="203">
        <f>C151+D151+E151</f>
        <v>3000</v>
      </c>
      <c r="G151" s="217"/>
      <c r="H151" s="233"/>
      <c r="I151" s="187">
        <f>F151+G151+H151</f>
        <v>3000</v>
      </c>
      <c r="J151" s="261">
        <f>300+31697.54+1000</f>
        <v>32997.54</v>
      </c>
      <c r="K151" s="282">
        <f>6656.48</f>
        <v>6656.48</v>
      </c>
      <c r="L151" s="187">
        <f>I151+J151+K151</f>
        <v>42654.020000000004</v>
      </c>
      <c r="M151" s="217">
        <f>-38354.02</f>
        <v>-38354.02</v>
      </c>
      <c r="N151" s="298"/>
      <c r="O151" s="233">
        <f>L151+M151+N151</f>
        <v>4300.000000000007</v>
      </c>
      <c r="P151" s="270"/>
      <c r="Q151" s="48">
        <f>O151+P151</f>
        <v>4300.000000000007</v>
      </c>
    </row>
    <row r="152" spans="1:17" ht="12.75">
      <c r="A152" s="8" t="s">
        <v>313</v>
      </c>
      <c r="B152" s="63"/>
      <c r="C152" s="113">
        <f aca="true" t="shared" si="48" ref="C152:Q152">C153+C172</f>
        <v>3930.7</v>
      </c>
      <c r="D152" s="74">
        <f t="shared" si="48"/>
        <v>241589.71000000002</v>
      </c>
      <c r="E152" s="167">
        <f t="shared" si="48"/>
        <v>0</v>
      </c>
      <c r="F152" s="179">
        <f t="shared" si="48"/>
        <v>245520.41</v>
      </c>
      <c r="G152" s="210">
        <f t="shared" si="48"/>
        <v>14000.34</v>
      </c>
      <c r="H152" s="234">
        <f t="shared" si="48"/>
        <v>1020</v>
      </c>
      <c r="I152" s="182">
        <f t="shared" si="48"/>
        <v>260540.75</v>
      </c>
      <c r="J152" s="182">
        <f t="shared" si="48"/>
        <v>11653.869999999999</v>
      </c>
      <c r="K152" s="275">
        <f t="shared" si="48"/>
        <v>0</v>
      </c>
      <c r="L152" s="182">
        <f t="shared" si="48"/>
        <v>272194.62</v>
      </c>
      <c r="M152" s="210">
        <f t="shared" si="48"/>
        <v>9470.7</v>
      </c>
      <c r="N152" s="291">
        <f t="shared" si="48"/>
        <v>0</v>
      </c>
      <c r="O152" s="234">
        <f t="shared" si="48"/>
        <v>281665.32</v>
      </c>
      <c r="P152" s="98">
        <f t="shared" si="48"/>
        <v>0</v>
      </c>
      <c r="Q152" s="73">
        <f t="shared" si="48"/>
        <v>35638.97</v>
      </c>
    </row>
    <row r="153" spans="1:17" ht="12.75">
      <c r="A153" s="17" t="s">
        <v>54</v>
      </c>
      <c r="B153" s="63"/>
      <c r="C153" s="131">
        <f aca="true" t="shared" si="49" ref="C153:Q153">SUM(C155:C171)</f>
        <v>3930.7</v>
      </c>
      <c r="D153" s="82">
        <f t="shared" si="49"/>
        <v>19637.949999999997</v>
      </c>
      <c r="E153" s="171">
        <f t="shared" si="49"/>
        <v>0</v>
      </c>
      <c r="F153" s="201">
        <f t="shared" si="49"/>
        <v>23568.65</v>
      </c>
      <c r="G153" s="215">
        <f t="shared" si="49"/>
        <v>13097.460000000001</v>
      </c>
      <c r="H153" s="239">
        <f t="shared" si="49"/>
        <v>0</v>
      </c>
      <c r="I153" s="185">
        <f t="shared" si="49"/>
        <v>36666.11</v>
      </c>
      <c r="J153" s="185">
        <f t="shared" si="49"/>
        <v>11533.869999999999</v>
      </c>
      <c r="K153" s="280">
        <f t="shared" si="49"/>
        <v>0</v>
      </c>
      <c r="L153" s="185">
        <f t="shared" si="49"/>
        <v>48199.979999999996</v>
      </c>
      <c r="M153" s="215">
        <f t="shared" si="49"/>
        <v>9347.67</v>
      </c>
      <c r="N153" s="296">
        <f t="shared" si="49"/>
        <v>0</v>
      </c>
      <c r="O153" s="239">
        <f t="shared" si="49"/>
        <v>57547.65000000001</v>
      </c>
      <c r="P153" s="123">
        <f t="shared" si="49"/>
        <v>0</v>
      </c>
      <c r="Q153" s="81">
        <f t="shared" si="49"/>
        <v>4822.28</v>
      </c>
    </row>
    <row r="154" spans="1:17" ht="12.75">
      <c r="A154" s="9" t="s">
        <v>27</v>
      </c>
      <c r="B154" s="59"/>
      <c r="C154" s="100"/>
      <c r="D154" s="78"/>
      <c r="E154" s="169"/>
      <c r="F154" s="199"/>
      <c r="G154" s="213"/>
      <c r="H154" s="237"/>
      <c r="I154" s="183"/>
      <c r="J154" s="183"/>
      <c r="K154" s="278"/>
      <c r="L154" s="183"/>
      <c r="M154" s="213"/>
      <c r="N154" s="294"/>
      <c r="O154" s="237"/>
      <c r="P154" s="112"/>
      <c r="Q154" s="46"/>
    </row>
    <row r="155" spans="1:17" ht="12.75">
      <c r="A155" s="11" t="s">
        <v>56</v>
      </c>
      <c r="B155" s="59"/>
      <c r="C155" s="106">
        <v>2330.7</v>
      </c>
      <c r="D155" s="75">
        <f>600</f>
        <v>600</v>
      </c>
      <c r="E155" s="168"/>
      <c r="F155" s="198">
        <f aca="true" t="shared" si="50" ref="F155:F171">C155+D155+E155</f>
        <v>2930.7</v>
      </c>
      <c r="G155" s="211"/>
      <c r="H155" s="235"/>
      <c r="I155" s="181">
        <f>F155+G155+H155</f>
        <v>2930.7</v>
      </c>
      <c r="J155" s="189"/>
      <c r="K155" s="276"/>
      <c r="L155" s="181">
        <f>I155+J155+K155</f>
        <v>2930.7</v>
      </c>
      <c r="M155" s="219"/>
      <c r="N155" s="292"/>
      <c r="O155" s="235">
        <f>L155+M155+N155</f>
        <v>2930.7</v>
      </c>
      <c r="P155" s="112"/>
      <c r="Q155" s="46">
        <f>O155+P155</f>
        <v>2930.7</v>
      </c>
    </row>
    <row r="156" spans="1:17" ht="12.75">
      <c r="A156" s="60" t="s">
        <v>304</v>
      </c>
      <c r="B156" s="59">
        <v>2042</v>
      </c>
      <c r="C156" s="106"/>
      <c r="D156" s="75">
        <f>1888.73</f>
        <v>1888.73</v>
      </c>
      <c r="E156" s="168"/>
      <c r="F156" s="198">
        <f t="shared" si="50"/>
        <v>1888.73</v>
      </c>
      <c r="G156" s="211">
        <f>2.85</f>
        <v>2.85</v>
      </c>
      <c r="H156" s="235"/>
      <c r="I156" s="181">
        <f>F156+G156+H156</f>
        <v>1891.58</v>
      </c>
      <c r="J156" s="181"/>
      <c r="K156" s="276"/>
      <c r="L156" s="181">
        <f>I156+J156+K156</f>
        <v>1891.58</v>
      </c>
      <c r="M156" s="211"/>
      <c r="N156" s="292"/>
      <c r="O156" s="235">
        <f>L156+M156+N156</f>
        <v>1891.58</v>
      </c>
      <c r="P156" s="112"/>
      <c r="Q156" s="46">
        <f>O156+P156</f>
        <v>1891.58</v>
      </c>
    </row>
    <row r="157" spans="1:17" ht="12.75">
      <c r="A157" s="60" t="s">
        <v>334</v>
      </c>
      <c r="B157" s="59">
        <v>2042</v>
      </c>
      <c r="C157" s="106"/>
      <c r="D157" s="75"/>
      <c r="E157" s="168"/>
      <c r="F157" s="198">
        <f t="shared" si="50"/>
        <v>0</v>
      </c>
      <c r="G157" s="211">
        <f>4287.51</f>
        <v>4287.51</v>
      </c>
      <c r="H157" s="235"/>
      <c r="I157" s="181">
        <f>F157+G157+H157</f>
        <v>4287.51</v>
      </c>
      <c r="J157" s="181"/>
      <c r="K157" s="276"/>
      <c r="L157" s="181">
        <f aca="true" t="shared" si="51" ref="L157:L171">I157+J157+K157</f>
        <v>4287.51</v>
      </c>
      <c r="M157" s="211"/>
      <c r="N157" s="292"/>
      <c r="O157" s="235">
        <f aca="true" t="shared" si="52" ref="O157:O171">L157+M157+N157</f>
        <v>4287.51</v>
      </c>
      <c r="P157" s="112"/>
      <c r="Q157" s="46"/>
    </row>
    <row r="158" spans="1:17" ht="12.75">
      <c r="A158" s="60" t="s">
        <v>305</v>
      </c>
      <c r="B158" s="59">
        <v>2045</v>
      </c>
      <c r="C158" s="106"/>
      <c r="D158" s="75">
        <f>1273.39</f>
        <v>1273.39</v>
      </c>
      <c r="E158" s="168"/>
      <c r="F158" s="198">
        <f t="shared" si="50"/>
        <v>1273.39</v>
      </c>
      <c r="G158" s="211"/>
      <c r="H158" s="235"/>
      <c r="I158" s="181">
        <f aca="true" t="shared" si="53" ref="I158:I171">F158+G158+H158</f>
        <v>1273.39</v>
      </c>
      <c r="J158" s="181"/>
      <c r="K158" s="276"/>
      <c r="L158" s="181">
        <f t="shared" si="51"/>
        <v>1273.39</v>
      </c>
      <c r="M158" s="211"/>
      <c r="N158" s="292"/>
      <c r="O158" s="235">
        <f t="shared" si="52"/>
        <v>1273.39</v>
      </c>
      <c r="P158" s="112"/>
      <c r="Q158" s="46"/>
    </row>
    <row r="159" spans="1:17" ht="12.75">
      <c r="A159" s="60" t="s">
        <v>327</v>
      </c>
      <c r="B159" s="59">
        <v>2045</v>
      </c>
      <c r="C159" s="106"/>
      <c r="D159" s="75"/>
      <c r="E159" s="168"/>
      <c r="F159" s="198">
        <f t="shared" si="50"/>
        <v>0</v>
      </c>
      <c r="G159" s="211">
        <f>3280.86</f>
        <v>3280.86</v>
      </c>
      <c r="H159" s="235"/>
      <c r="I159" s="181">
        <f t="shared" si="53"/>
        <v>3280.86</v>
      </c>
      <c r="J159" s="181"/>
      <c r="K159" s="276"/>
      <c r="L159" s="181">
        <f t="shared" si="51"/>
        <v>3280.86</v>
      </c>
      <c r="M159" s="211">
        <f>2281.98</f>
        <v>2281.98</v>
      </c>
      <c r="N159" s="292"/>
      <c r="O159" s="235">
        <f t="shared" si="52"/>
        <v>5562.84</v>
      </c>
      <c r="P159" s="112"/>
      <c r="Q159" s="46"/>
    </row>
    <row r="160" spans="1:17" ht="12.75">
      <c r="A160" s="60" t="s">
        <v>306</v>
      </c>
      <c r="B160" s="59">
        <v>2016</v>
      </c>
      <c r="C160" s="106"/>
      <c r="D160" s="75">
        <f>1520.99</f>
        <v>1520.99</v>
      </c>
      <c r="E160" s="168"/>
      <c r="F160" s="198">
        <f t="shared" si="50"/>
        <v>1520.99</v>
      </c>
      <c r="G160" s="211"/>
      <c r="H160" s="235"/>
      <c r="I160" s="181">
        <f t="shared" si="53"/>
        <v>1520.99</v>
      </c>
      <c r="J160" s="181"/>
      <c r="K160" s="276"/>
      <c r="L160" s="181">
        <f t="shared" si="51"/>
        <v>1520.99</v>
      </c>
      <c r="M160" s="211"/>
      <c r="N160" s="292"/>
      <c r="O160" s="235">
        <f t="shared" si="52"/>
        <v>1520.99</v>
      </c>
      <c r="P160" s="112"/>
      <c r="Q160" s="46"/>
    </row>
    <row r="161" spans="1:17" ht="12.75">
      <c r="A161" s="60" t="s">
        <v>324</v>
      </c>
      <c r="B161" s="59">
        <v>2016</v>
      </c>
      <c r="C161" s="106"/>
      <c r="D161" s="75"/>
      <c r="E161" s="168"/>
      <c r="F161" s="198">
        <f t="shared" si="50"/>
        <v>0</v>
      </c>
      <c r="G161" s="211">
        <f>643.52</f>
        <v>643.52</v>
      </c>
      <c r="H161" s="235"/>
      <c r="I161" s="181">
        <f t="shared" si="53"/>
        <v>643.52</v>
      </c>
      <c r="J161" s="181">
        <f>504.28</f>
        <v>504.28</v>
      </c>
      <c r="K161" s="276"/>
      <c r="L161" s="181">
        <f t="shared" si="51"/>
        <v>1147.8</v>
      </c>
      <c r="M161" s="211"/>
      <c r="N161" s="292"/>
      <c r="O161" s="235">
        <f t="shared" si="52"/>
        <v>1147.8</v>
      </c>
      <c r="P161" s="112"/>
      <c r="Q161" s="46"/>
    </row>
    <row r="162" spans="1:17" ht="12.75">
      <c r="A162" s="20" t="s">
        <v>325</v>
      </c>
      <c r="B162" s="59">
        <v>2067</v>
      </c>
      <c r="C162" s="106"/>
      <c r="D162" s="75"/>
      <c r="E162" s="168"/>
      <c r="F162" s="198">
        <f t="shared" si="50"/>
        <v>0</v>
      </c>
      <c r="G162" s="211">
        <f>2510.76</f>
        <v>2510.76</v>
      </c>
      <c r="H162" s="235"/>
      <c r="I162" s="181">
        <f t="shared" si="53"/>
        <v>2510.76</v>
      </c>
      <c r="J162" s="181"/>
      <c r="K162" s="276"/>
      <c r="L162" s="181">
        <f>I162+J162+K162</f>
        <v>2510.76</v>
      </c>
      <c r="M162" s="211">
        <f>1043.73</f>
        <v>1043.73</v>
      </c>
      <c r="N162" s="292"/>
      <c r="O162" s="235">
        <f t="shared" si="52"/>
        <v>3554.4900000000002</v>
      </c>
      <c r="P162" s="112"/>
      <c r="Q162" s="46"/>
    </row>
    <row r="163" spans="1:17" ht="12.75">
      <c r="A163" s="20" t="s">
        <v>362</v>
      </c>
      <c r="B163" s="59">
        <v>2074</v>
      </c>
      <c r="C163" s="106"/>
      <c r="D163" s="75"/>
      <c r="E163" s="168"/>
      <c r="F163" s="198"/>
      <c r="G163" s="211"/>
      <c r="H163" s="235"/>
      <c r="I163" s="181"/>
      <c r="J163" s="181"/>
      <c r="K163" s="276"/>
      <c r="L163" s="181">
        <f>I163+J163+K163</f>
        <v>0</v>
      </c>
      <c r="M163" s="211">
        <f>3675.83</f>
        <v>3675.83</v>
      </c>
      <c r="N163" s="292"/>
      <c r="O163" s="235">
        <f t="shared" si="52"/>
        <v>3675.83</v>
      </c>
      <c r="P163" s="112"/>
      <c r="Q163" s="46"/>
    </row>
    <row r="164" spans="1:17" ht="12.75">
      <c r="A164" s="20" t="s">
        <v>339</v>
      </c>
      <c r="B164" s="59">
        <v>2057</v>
      </c>
      <c r="C164" s="106"/>
      <c r="D164" s="75">
        <f>1063.44</f>
        <v>1063.44</v>
      </c>
      <c r="E164" s="168"/>
      <c r="F164" s="198">
        <f t="shared" si="50"/>
        <v>1063.44</v>
      </c>
      <c r="G164" s="211"/>
      <c r="H164" s="235"/>
      <c r="I164" s="181">
        <f t="shared" si="53"/>
        <v>1063.44</v>
      </c>
      <c r="J164" s="181"/>
      <c r="K164" s="276"/>
      <c r="L164" s="181">
        <f t="shared" si="51"/>
        <v>1063.44</v>
      </c>
      <c r="M164" s="211"/>
      <c r="N164" s="292"/>
      <c r="O164" s="235">
        <f t="shared" si="52"/>
        <v>1063.44</v>
      </c>
      <c r="P164" s="112"/>
      <c r="Q164" s="46"/>
    </row>
    <row r="165" spans="1:17" ht="12.75">
      <c r="A165" s="20" t="s">
        <v>340</v>
      </c>
      <c r="B165" s="59">
        <v>2064</v>
      </c>
      <c r="C165" s="106"/>
      <c r="D165" s="75">
        <f>3008.56</f>
        <v>3008.56</v>
      </c>
      <c r="E165" s="168"/>
      <c r="F165" s="198">
        <f t="shared" si="50"/>
        <v>3008.56</v>
      </c>
      <c r="G165" s="211"/>
      <c r="H165" s="235"/>
      <c r="I165" s="181">
        <f t="shared" si="53"/>
        <v>3008.56</v>
      </c>
      <c r="J165" s="181"/>
      <c r="K165" s="276"/>
      <c r="L165" s="181">
        <f t="shared" si="51"/>
        <v>3008.56</v>
      </c>
      <c r="M165" s="211"/>
      <c r="N165" s="292"/>
      <c r="O165" s="235">
        <f t="shared" si="52"/>
        <v>3008.56</v>
      </c>
      <c r="P165" s="112"/>
      <c r="Q165" s="46"/>
    </row>
    <row r="166" spans="1:17" ht="12.75">
      <c r="A166" s="20" t="s">
        <v>318</v>
      </c>
      <c r="B166" s="59">
        <v>2064</v>
      </c>
      <c r="C166" s="106"/>
      <c r="D166" s="75">
        <f>3399.51</f>
        <v>3399.51</v>
      </c>
      <c r="E166" s="168"/>
      <c r="F166" s="198">
        <f t="shared" si="50"/>
        <v>3399.51</v>
      </c>
      <c r="G166" s="211"/>
      <c r="H166" s="235"/>
      <c r="I166" s="181">
        <f t="shared" si="53"/>
        <v>3399.51</v>
      </c>
      <c r="J166" s="181"/>
      <c r="K166" s="276"/>
      <c r="L166" s="181">
        <f t="shared" si="51"/>
        <v>3399.51</v>
      </c>
      <c r="M166" s="211"/>
      <c r="N166" s="292"/>
      <c r="O166" s="235">
        <f t="shared" si="52"/>
        <v>3399.51</v>
      </c>
      <c r="P166" s="112"/>
      <c r="Q166" s="46"/>
    </row>
    <row r="167" spans="1:17" ht="12.75">
      <c r="A167" s="20" t="s">
        <v>364</v>
      </c>
      <c r="B167" s="59">
        <v>2065</v>
      </c>
      <c r="C167" s="106"/>
      <c r="D167" s="75">
        <f>81.93</f>
        <v>81.93</v>
      </c>
      <c r="E167" s="168"/>
      <c r="F167" s="198">
        <f t="shared" si="50"/>
        <v>81.93</v>
      </c>
      <c r="G167" s="211"/>
      <c r="H167" s="235"/>
      <c r="I167" s="181">
        <f t="shared" si="53"/>
        <v>81.93</v>
      </c>
      <c r="J167" s="181">
        <f>506.6</f>
        <v>506.6</v>
      </c>
      <c r="K167" s="276"/>
      <c r="L167" s="181">
        <f t="shared" si="51"/>
        <v>588.53</v>
      </c>
      <c r="M167" s="211">
        <f>1674.7</f>
        <v>1674.7</v>
      </c>
      <c r="N167" s="292"/>
      <c r="O167" s="235">
        <f t="shared" si="52"/>
        <v>2263.23</v>
      </c>
      <c r="P167" s="112"/>
      <c r="Q167" s="46"/>
    </row>
    <row r="168" spans="1:17" ht="12.75">
      <c r="A168" s="20" t="s">
        <v>335</v>
      </c>
      <c r="B168" s="59">
        <v>2065</v>
      </c>
      <c r="C168" s="106"/>
      <c r="D168" s="75"/>
      <c r="E168" s="168"/>
      <c r="F168" s="198">
        <f t="shared" si="50"/>
        <v>0</v>
      </c>
      <c r="G168" s="211">
        <f>1249.89</f>
        <v>1249.89</v>
      </c>
      <c r="H168" s="235"/>
      <c r="I168" s="181">
        <f t="shared" si="53"/>
        <v>1249.89</v>
      </c>
      <c r="J168" s="181"/>
      <c r="K168" s="276"/>
      <c r="L168" s="181">
        <f t="shared" si="51"/>
        <v>1249.89</v>
      </c>
      <c r="M168" s="211"/>
      <c r="N168" s="292"/>
      <c r="O168" s="235">
        <f t="shared" si="52"/>
        <v>1249.89</v>
      </c>
      <c r="P168" s="112"/>
      <c r="Q168" s="46"/>
    </row>
    <row r="169" spans="1:17" ht="13.5" thickBot="1">
      <c r="A169" s="322" t="s">
        <v>353</v>
      </c>
      <c r="B169" s="103">
        <v>2068</v>
      </c>
      <c r="C169" s="134"/>
      <c r="D169" s="104"/>
      <c r="E169" s="193"/>
      <c r="F169" s="204"/>
      <c r="G169" s="317"/>
      <c r="H169" s="318"/>
      <c r="I169" s="319"/>
      <c r="J169" s="319">
        <v>6322.99</v>
      </c>
      <c r="K169" s="320"/>
      <c r="L169" s="319">
        <f t="shared" si="51"/>
        <v>6322.99</v>
      </c>
      <c r="M169" s="317"/>
      <c r="N169" s="321"/>
      <c r="O169" s="318">
        <f t="shared" si="52"/>
        <v>6322.99</v>
      </c>
      <c r="P169" s="112"/>
      <c r="Q169" s="46"/>
    </row>
    <row r="170" spans="1:17" ht="12.75">
      <c r="A170" s="60" t="s">
        <v>307</v>
      </c>
      <c r="B170" s="59">
        <v>2058</v>
      </c>
      <c r="C170" s="106"/>
      <c r="D170" s="75">
        <f>537.4</f>
        <v>537.4</v>
      </c>
      <c r="E170" s="168"/>
      <c r="F170" s="198">
        <f t="shared" si="50"/>
        <v>537.4</v>
      </c>
      <c r="G170" s="211"/>
      <c r="H170" s="235"/>
      <c r="I170" s="181">
        <f t="shared" si="53"/>
        <v>537.4</v>
      </c>
      <c r="J170" s="181"/>
      <c r="K170" s="276"/>
      <c r="L170" s="181">
        <f t="shared" si="51"/>
        <v>537.4</v>
      </c>
      <c r="M170" s="211"/>
      <c r="N170" s="292"/>
      <c r="O170" s="235">
        <f t="shared" si="52"/>
        <v>537.4</v>
      </c>
      <c r="P170" s="112"/>
      <c r="Q170" s="46"/>
    </row>
    <row r="171" spans="1:17" ht="12.75">
      <c r="A171" s="11" t="s">
        <v>86</v>
      </c>
      <c r="B171" s="59"/>
      <c r="C171" s="106">
        <v>1600</v>
      </c>
      <c r="D171" s="75">
        <f>206+300+802+2236+120+1330+620+650</f>
        <v>6264</v>
      </c>
      <c r="E171" s="168"/>
      <c r="F171" s="198">
        <f t="shared" si="50"/>
        <v>7864</v>
      </c>
      <c r="G171" s="211">
        <f>0.15+120+764.85+13.17+223.9</f>
        <v>1122.07</v>
      </c>
      <c r="H171" s="235"/>
      <c r="I171" s="181">
        <f t="shared" si="53"/>
        <v>8986.07</v>
      </c>
      <c r="J171" s="181">
        <f>1300+2900</f>
        <v>4200</v>
      </c>
      <c r="K171" s="276"/>
      <c r="L171" s="181">
        <f t="shared" si="51"/>
        <v>13186.07</v>
      </c>
      <c r="M171" s="211">
        <f>15.78+268.26+2.08+35.31+300+50</f>
        <v>671.43</v>
      </c>
      <c r="N171" s="292"/>
      <c r="O171" s="235">
        <f t="shared" si="52"/>
        <v>13857.5</v>
      </c>
      <c r="P171" s="112"/>
      <c r="Q171" s="46"/>
    </row>
    <row r="172" spans="1:17" ht="12.75">
      <c r="A172" s="18" t="s">
        <v>59</v>
      </c>
      <c r="B172" s="63"/>
      <c r="C172" s="133">
        <f>SUM(C174:C179)</f>
        <v>0</v>
      </c>
      <c r="D172" s="85">
        <f aca="true" t="shared" si="54" ref="D172:Q172">SUM(D174:D179)</f>
        <v>221951.76</v>
      </c>
      <c r="E172" s="172">
        <f t="shared" si="54"/>
        <v>0</v>
      </c>
      <c r="F172" s="202">
        <f t="shared" si="54"/>
        <v>221951.76</v>
      </c>
      <c r="G172" s="216">
        <f t="shared" si="54"/>
        <v>902.88</v>
      </c>
      <c r="H172" s="240">
        <f t="shared" si="54"/>
        <v>1020</v>
      </c>
      <c r="I172" s="186">
        <f t="shared" si="54"/>
        <v>223874.64</v>
      </c>
      <c r="J172" s="186">
        <f t="shared" si="54"/>
        <v>120</v>
      </c>
      <c r="K172" s="281">
        <f t="shared" si="54"/>
        <v>0</v>
      </c>
      <c r="L172" s="186">
        <f t="shared" si="54"/>
        <v>223994.64</v>
      </c>
      <c r="M172" s="216">
        <f t="shared" si="54"/>
        <v>123.03</v>
      </c>
      <c r="N172" s="297">
        <f t="shared" si="54"/>
        <v>0</v>
      </c>
      <c r="O172" s="240">
        <f t="shared" si="54"/>
        <v>224117.67</v>
      </c>
      <c r="P172" s="124">
        <f t="shared" si="54"/>
        <v>0</v>
      </c>
      <c r="Q172" s="84">
        <f t="shared" si="54"/>
        <v>30816.690000000002</v>
      </c>
    </row>
    <row r="173" spans="1:17" ht="12.75">
      <c r="A173" s="20" t="s">
        <v>27</v>
      </c>
      <c r="B173" s="59"/>
      <c r="C173" s="106"/>
      <c r="D173" s="75"/>
      <c r="E173" s="168"/>
      <c r="F173" s="198"/>
      <c r="G173" s="211"/>
      <c r="H173" s="235"/>
      <c r="I173" s="181"/>
      <c r="J173" s="181"/>
      <c r="K173" s="276"/>
      <c r="L173" s="181"/>
      <c r="M173" s="211"/>
      <c r="N173" s="292"/>
      <c r="O173" s="235"/>
      <c r="P173" s="112"/>
      <c r="Q173" s="46"/>
    </row>
    <row r="174" spans="1:17" ht="12.75">
      <c r="A174" s="20" t="s">
        <v>341</v>
      </c>
      <c r="B174" s="59">
        <v>2057</v>
      </c>
      <c r="C174" s="106"/>
      <c r="D174" s="75">
        <f>28487.47+43.31+120</f>
        <v>28650.780000000002</v>
      </c>
      <c r="E174" s="168"/>
      <c r="F174" s="198">
        <f aca="true" t="shared" si="55" ref="F174:F179">C174+D174+E174</f>
        <v>28650.780000000002</v>
      </c>
      <c r="G174" s="211">
        <f>95.88</f>
        <v>95.88</v>
      </c>
      <c r="H174" s="235"/>
      <c r="I174" s="181">
        <f aca="true" t="shared" si="56" ref="I174:I179">F174+G174+H174</f>
        <v>28746.660000000003</v>
      </c>
      <c r="J174" s="181">
        <f>120</f>
        <v>120</v>
      </c>
      <c r="K174" s="276"/>
      <c r="L174" s="181">
        <f aca="true" t="shared" si="57" ref="L174:L179">I174+J174+K174</f>
        <v>28866.660000000003</v>
      </c>
      <c r="M174" s="211">
        <f>123.03</f>
        <v>123.03</v>
      </c>
      <c r="N174" s="292"/>
      <c r="O174" s="235">
        <f aca="true" t="shared" si="58" ref="O174:O179">L174+M174+N174</f>
        <v>28989.690000000002</v>
      </c>
      <c r="P174" s="112"/>
      <c r="Q174" s="46">
        <f aca="true" t="shared" si="59" ref="Q174:Q229">O174+P174</f>
        <v>28989.690000000002</v>
      </c>
    </row>
    <row r="175" spans="1:17" ht="12.75">
      <c r="A175" s="20" t="s">
        <v>340</v>
      </c>
      <c r="B175" s="59">
        <v>2064</v>
      </c>
      <c r="C175" s="106"/>
      <c r="D175" s="75">
        <f>96650.49</f>
        <v>96650.49</v>
      </c>
      <c r="E175" s="168"/>
      <c r="F175" s="198">
        <f t="shared" si="55"/>
        <v>96650.49</v>
      </c>
      <c r="G175" s="211"/>
      <c r="H175" s="235"/>
      <c r="I175" s="181">
        <f t="shared" si="56"/>
        <v>96650.49</v>
      </c>
      <c r="J175" s="181"/>
      <c r="K175" s="276"/>
      <c r="L175" s="181">
        <f t="shared" si="57"/>
        <v>96650.49</v>
      </c>
      <c r="M175" s="211"/>
      <c r="N175" s="292"/>
      <c r="O175" s="235">
        <f t="shared" si="58"/>
        <v>96650.49</v>
      </c>
      <c r="P175" s="112"/>
      <c r="Q175" s="46"/>
    </row>
    <row r="176" spans="1:17" ht="12.75">
      <c r="A176" s="20" t="s">
        <v>318</v>
      </c>
      <c r="B176" s="59">
        <v>2064</v>
      </c>
      <c r="C176" s="106"/>
      <c r="D176" s="75">
        <f>96650.49</f>
        <v>96650.49</v>
      </c>
      <c r="E176" s="168"/>
      <c r="F176" s="198">
        <f t="shared" si="55"/>
        <v>96650.49</v>
      </c>
      <c r="G176" s="211"/>
      <c r="H176" s="235"/>
      <c r="I176" s="181">
        <f t="shared" si="56"/>
        <v>96650.49</v>
      </c>
      <c r="J176" s="181"/>
      <c r="K176" s="276"/>
      <c r="L176" s="181">
        <f t="shared" si="57"/>
        <v>96650.49</v>
      </c>
      <c r="M176" s="211"/>
      <c r="N176" s="292"/>
      <c r="O176" s="235">
        <f t="shared" si="58"/>
        <v>96650.49</v>
      </c>
      <c r="P176" s="112"/>
      <c r="Q176" s="46"/>
    </row>
    <row r="177" spans="1:17" ht="12.75" hidden="1">
      <c r="A177" s="11" t="s">
        <v>74</v>
      </c>
      <c r="B177" s="59"/>
      <c r="C177" s="106"/>
      <c r="D177" s="75"/>
      <c r="E177" s="168"/>
      <c r="F177" s="198">
        <f t="shared" si="55"/>
        <v>0</v>
      </c>
      <c r="G177" s="211"/>
      <c r="H177" s="235"/>
      <c r="I177" s="181">
        <f t="shared" si="56"/>
        <v>0</v>
      </c>
      <c r="J177" s="181"/>
      <c r="K177" s="276"/>
      <c r="L177" s="181">
        <f t="shared" si="57"/>
        <v>0</v>
      </c>
      <c r="M177" s="211"/>
      <c r="N177" s="292"/>
      <c r="O177" s="235">
        <f t="shared" si="58"/>
        <v>0</v>
      </c>
      <c r="P177" s="112"/>
      <c r="Q177" s="46">
        <f t="shared" si="59"/>
        <v>0</v>
      </c>
    </row>
    <row r="178" spans="1:17" ht="12.75">
      <c r="A178" s="14" t="s">
        <v>60</v>
      </c>
      <c r="B178" s="62"/>
      <c r="C178" s="132"/>
      <c r="D178" s="83"/>
      <c r="E178" s="192"/>
      <c r="F178" s="203">
        <f t="shared" si="55"/>
        <v>0</v>
      </c>
      <c r="G178" s="217">
        <f>500+307</f>
        <v>807</v>
      </c>
      <c r="H178" s="233">
        <f>1020</f>
        <v>1020</v>
      </c>
      <c r="I178" s="187">
        <f t="shared" si="56"/>
        <v>1827</v>
      </c>
      <c r="J178" s="187"/>
      <c r="K178" s="282"/>
      <c r="L178" s="187">
        <f t="shared" si="57"/>
        <v>1827</v>
      </c>
      <c r="M178" s="217"/>
      <c r="N178" s="298"/>
      <c r="O178" s="233">
        <f t="shared" si="58"/>
        <v>1827</v>
      </c>
      <c r="P178" s="112"/>
      <c r="Q178" s="46">
        <f t="shared" si="59"/>
        <v>1827</v>
      </c>
    </row>
    <row r="179" spans="1:17" ht="12.75" hidden="1">
      <c r="A179" s="14" t="s">
        <v>86</v>
      </c>
      <c r="B179" s="62"/>
      <c r="C179" s="132"/>
      <c r="D179" s="83"/>
      <c r="E179" s="192"/>
      <c r="F179" s="203">
        <f t="shared" si="55"/>
        <v>0</v>
      </c>
      <c r="G179" s="217"/>
      <c r="H179" s="233"/>
      <c r="I179" s="187">
        <f t="shared" si="56"/>
        <v>0</v>
      </c>
      <c r="J179" s="187"/>
      <c r="K179" s="282"/>
      <c r="L179" s="187">
        <f t="shared" si="57"/>
        <v>0</v>
      </c>
      <c r="M179" s="217"/>
      <c r="N179" s="298"/>
      <c r="O179" s="233">
        <f t="shared" si="58"/>
        <v>0</v>
      </c>
      <c r="P179" s="270"/>
      <c r="Q179" s="48">
        <f t="shared" si="59"/>
        <v>0</v>
      </c>
    </row>
    <row r="180" spans="1:17" ht="12.75">
      <c r="A180" s="8" t="s">
        <v>91</v>
      </c>
      <c r="B180" s="63"/>
      <c r="C180" s="113">
        <f aca="true" t="shared" si="60" ref="C180:Q180">C181+C221</f>
        <v>363327.89999999997</v>
      </c>
      <c r="D180" s="74">
        <f t="shared" si="60"/>
        <v>5961285.180000001</v>
      </c>
      <c r="E180" s="167">
        <f t="shared" si="60"/>
        <v>0</v>
      </c>
      <c r="F180" s="179">
        <f t="shared" si="60"/>
        <v>6324613.080000001</v>
      </c>
      <c r="G180" s="210">
        <f t="shared" si="60"/>
        <v>104415.62</v>
      </c>
      <c r="H180" s="234">
        <f t="shared" si="60"/>
        <v>0</v>
      </c>
      <c r="I180" s="182">
        <f t="shared" si="60"/>
        <v>6429028.700000001</v>
      </c>
      <c r="J180" s="182">
        <f t="shared" si="60"/>
        <v>169789.10999999996</v>
      </c>
      <c r="K180" s="275">
        <f t="shared" si="60"/>
        <v>0</v>
      </c>
      <c r="L180" s="182">
        <f t="shared" si="60"/>
        <v>6598817.8100000005</v>
      </c>
      <c r="M180" s="210">
        <f t="shared" si="60"/>
        <v>124635.11999999998</v>
      </c>
      <c r="N180" s="291">
        <f t="shared" si="60"/>
        <v>0</v>
      </c>
      <c r="O180" s="234">
        <f t="shared" si="60"/>
        <v>6723452.93</v>
      </c>
      <c r="P180" s="98">
        <f t="shared" si="60"/>
        <v>0</v>
      </c>
      <c r="Q180" s="73">
        <f t="shared" si="60"/>
        <v>6620943.380000001</v>
      </c>
    </row>
    <row r="181" spans="1:17" ht="12.75">
      <c r="A181" s="17" t="s">
        <v>54</v>
      </c>
      <c r="B181" s="63"/>
      <c r="C181" s="131">
        <f aca="true" t="shared" si="61" ref="C181:Q181">SUM(C183:C220)</f>
        <v>363327.89999999997</v>
      </c>
      <c r="D181" s="82">
        <f t="shared" si="61"/>
        <v>5946864.95</v>
      </c>
      <c r="E181" s="171">
        <f t="shared" si="61"/>
        <v>0</v>
      </c>
      <c r="F181" s="201">
        <f t="shared" si="61"/>
        <v>6310192.850000001</v>
      </c>
      <c r="G181" s="215">
        <f t="shared" si="61"/>
        <v>99148.62</v>
      </c>
      <c r="H181" s="239">
        <f t="shared" si="61"/>
        <v>0</v>
      </c>
      <c r="I181" s="185">
        <f t="shared" si="61"/>
        <v>6409341.470000001</v>
      </c>
      <c r="J181" s="185">
        <f t="shared" si="61"/>
        <v>169553.52999999997</v>
      </c>
      <c r="K181" s="280">
        <f t="shared" si="61"/>
        <v>0</v>
      </c>
      <c r="L181" s="185">
        <f t="shared" si="61"/>
        <v>6578895.000000001</v>
      </c>
      <c r="M181" s="215">
        <f t="shared" si="61"/>
        <v>122958.11999999998</v>
      </c>
      <c r="N181" s="296">
        <f t="shared" si="61"/>
        <v>0</v>
      </c>
      <c r="O181" s="239">
        <f t="shared" si="61"/>
        <v>6701853.12</v>
      </c>
      <c r="P181" s="123">
        <f t="shared" si="61"/>
        <v>0</v>
      </c>
      <c r="Q181" s="81">
        <f t="shared" si="61"/>
        <v>6609160.140000001</v>
      </c>
    </row>
    <row r="182" spans="1:17" ht="12.75">
      <c r="A182" s="9" t="s">
        <v>27</v>
      </c>
      <c r="B182" s="59"/>
      <c r="C182" s="106"/>
      <c r="D182" s="75"/>
      <c r="E182" s="168"/>
      <c r="F182" s="198"/>
      <c r="G182" s="211"/>
      <c r="H182" s="235"/>
      <c r="I182" s="181"/>
      <c r="J182" s="181"/>
      <c r="K182" s="276"/>
      <c r="L182" s="181"/>
      <c r="M182" s="211"/>
      <c r="N182" s="292"/>
      <c r="O182" s="235"/>
      <c r="P182" s="112"/>
      <c r="Q182" s="46"/>
    </row>
    <row r="183" spans="1:17" ht="12.75">
      <c r="A183" s="15" t="s">
        <v>82</v>
      </c>
      <c r="B183" s="59"/>
      <c r="C183" s="106">
        <v>334848.8</v>
      </c>
      <c r="D183" s="75">
        <f>537.8+1348.51+183.4+5587.9+2483.8+6000</f>
        <v>16141.41</v>
      </c>
      <c r="E183" s="168"/>
      <c r="F183" s="198">
        <f aca="true" t="shared" si="62" ref="F183:F220">C183+D183+E183</f>
        <v>350990.20999999996</v>
      </c>
      <c r="G183" s="211">
        <f>5136.29+6893.7</f>
        <v>12029.99</v>
      </c>
      <c r="H183" s="235"/>
      <c r="I183" s="181">
        <f>F183+G183+H183</f>
        <v>363020.19999999995</v>
      </c>
      <c r="J183" s="181">
        <v>6800.77</v>
      </c>
      <c r="K183" s="276"/>
      <c r="L183" s="181">
        <f>I183+J183+K183</f>
        <v>369820.97</v>
      </c>
      <c r="M183" s="211">
        <f>8671.39-718.83-288</f>
        <v>7664.5599999999995</v>
      </c>
      <c r="N183" s="292"/>
      <c r="O183" s="235">
        <f>L183+M183+N183</f>
        <v>377485.52999999997</v>
      </c>
      <c r="P183" s="112"/>
      <c r="Q183" s="46">
        <f t="shared" si="59"/>
        <v>377485.52999999997</v>
      </c>
    </row>
    <row r="184" spans="1:17" ht="12.75">
      <c r="A184" s="15" t="s">
        <v>256</v>
      </c>
      <c r="B184" s="59"/>
      <c r="C184" s="106"/>
      <c r="D184" s="75"/>
      <c r="E184" s="168"/>
      <c r="F184" s="198"/>
      <c r="G184" s="211"/>
      <c r="H184" s="235"/>
      <c r="I184" s="181"/>
      <c r="J184" s="181"/>
      <c r="K184" s="276"/>
      <c r="L184" s="181"/>
      <c r="M184" s="211"/>
      <c r="N184" s="292"/>
      <c r="O184" s="235"/>
      <c r="P184" s="112"/>
      <c r="Q184" s="46"/>
    </row>
    <row r="185" spans="1:17" ht="12.75">
      <c r="A185" s="15" t="s">
        <v>92</v>
      </c>
      <c r="B185" s="59">
        <v>33353</v>
      </c>
      <c r="C185" s="106"/>
      <c r="D185" s="86">
        <f>1790480.88+450.59</f>
        <v>1790931.47</v>
      </c>
      <c r="E185" s="168"/>
      <c r="F185" s="198">
        <f t="shared" si="62"/>
        <v>1790931.47</v>
      </c>
      <c r="G185" s="211">
        <f>93.39-2.72+49</f>
        <v>139.67000000000002</v>
      </c>
      <c r="H185" s="235"/>
      <c r="I185" s="181">
        <f aca="true" t="shared" si="63" ref="I185:I220">F185+G185+H185</f>
        <v>1791071.14</v>
      </c>
      <c r="J185" s="189">
        <f>-41.22+18390.77-428.23</f>
        <v>17921.32</v>
      </c>
      <c r="K185" s="276"/>
      <c r="L185" s="181">
        <f aca="true" t="shared" si="64" ref="L185:L220">I185+J185+K185</f>
        <v>1808992.46</v>
      </c>
      <c r="M185" s="75">
        <f>5042.83+2500.76</f>
        <v>7543.59</v>
      </c>
      <c r="N185" s="292"/>
      <c r="O185" s="235">
        <f aca="true" t="shared" si="65" ref="O185:O220">L185+M185+N185</f>
        <v>1816536.05</v>
      </c>
      <c r="P185" s="112"/>
      <c r="Q185" s="46">
        <f t="shared" si="59"/>
        <v>1816536.05</v>
      </c>
    </row>
    <row r="186" spans="1:17" ht="12.75">
      <c r="A186" s="15" t="s">
        <v>94</v>
      </c>
      <c r="B186" s="59">
        <v>33353</v>
      </c>
      <c r="C186" s="106"/>
      <c r="D186" s="75">
        <f>4015715.59+8677.98</f>
        <v>4024393.57</v>
      </c>
      <c r="E186" s="168"/>
      <c r="F186" s="198">
        <f t="shared" si="62"/>
        <v>4024393.57</v>
      </c>
      <c r="G186" s="219">
        <f>5131.21+5662.67+2806.25</f>
        <v>13600.130000000001</v>
      </c>
      <c r="H186" s="235"/>
      <c r="I186" s="181">
        <f t="shared" si="63"/>
        <v>4037993.6999999997</v>
      </c>
      <c r="J186" s="181">
        <f>1336.61+31673.88-390.54</f>
        <v>32619.949999999997</v>
      </c>
      <c r="K186" s="276"/>
      <c r="L186" s="181">
        <f t="shared" si="64"/>
        <v>4070613.65</v>
      </c>
      <c r="M186" s="86">
        <f>12469.44+5664.65</f>
        <v>18134.09</v>
      </c>
      <c r="N186" s="292"/>
      <c r="O186" s="235">
        <f t="shared" si="65"/>
        <v>4088747.7399999998</v>
      </c>
      <c r="P186" s="112"/>
      <c r="Q186" s="46">
        <f t="shared" si="59"/>
        <v>4088747.7399999998</v>
      </c>
    </row>
    <row r="187" spans="1:17" ht="12.75">
      <c r="A187" s="15" t="s">
        <v>93</v>
      </c>
      <c r="B187" s="59">
        <v>33155</v>
      </c>
      <c r="C187" s="106"/>
      <c r="D187" s="86">
        <f>71282.48</f>
        <v>71282.48</v>
      </c>
      <c r="E187" s="168"/>
      <c r="F187" s="198">
        <f t="shared" si="62"/>
        <v>71282.48</v>
      </c>
      <c r="G187" s="211">
        <f>72228.5</f>
        <v>72228.5</v>
      </c>
      <c r="H187" s="235"/>
      <c r="I187" s="181">
        <f t="shared" si="63"/>
        <v>143510.97999999998</v>
      </c>
      <c r="J187" s="181">
        <f>73021.45</f>
        <v>73021.45</v>
      </c>
      <c r="K187" s="276"/>
      <c r="L187" s="181">
        <f t="shared" si="64"/>
        <v>216532.43</v>
      </c>
      <c r="M187" s="211">
        <f>75315.24</f>
        <v>75315.24</v>
      </c>
      <c r="N187" s="292"/>
      <c r="O187" s="235">
        <f t="shared" si="65"/>
        <v>291847.67</v>
      </c>
      <c r="P187" s="112"/>
      <c r="Q187" s="46">
        <f t="shared" si="59"/>
        <v>291847.67</v>
      </c>
    </row>
    <row r="188" spans="1:17" ht="12.75" hidden="1">
      <c r="A188" s="15" t="s">
        <v>95</v>
      </c>
      <c r="B188" s="59" t="s">
        <v>239</v>
      </c>
      <c r="C188" s="106"/>
      <c r="D188" s="75"/>
      <c r="E188" s="168"/>
      <c r="F188" s="198">
        <f t="shared" si="62"/>
        <v>0</v>
      </c>
      <c r="G188" s="211"/>
      <c r="H188" s="235"/>
      <c r="I188" s="181">
        <f t="shared" si="63"/>
        <v>0</v>
      </c>
      <c r="J188" s="181"/>
      <c r="K188" s="276"/>
      <c r="L188" s="181">
        <f t="shared" si="64"/>
        <v>0</v>
      </c>
      <c r="M188" s="211"/>
      <c r="N188" s="292"/>
      <c r="O188" s="235">
        <f t="shared" si="65"/>
        <v>0</v>
      </c>
      <c r="P188" s="112"/>
      <c r="Q188" s="46">
        <f t="shared" si="59"/>
        <v>0</v>
      </c>
    </row>
    <row r="189" spans="1:17" ht="12.75" hidden="1">
      <c r="A189" s="15" t="s">
        <v>150</v>
      </c>
      <c r="B189" s="59"/>
      <c r="C189" s="106"/>
      <c r="D189" s="75"/>
      <c r="E189" s="168"/>
      <c r="F189" s="198">
        <f t="shared" si="62"/>
        <v>0</v>
      </c>
      <c r="G189" s="211"/>
      <c r="H189" s="235"/>
      <c r="I189" s="181">
        <f t="shared" si="63"/>
        <v>0</v>
      </c>
      <c r="J189" s="181"/>
      <c r="K189" s="276"/>
      <c r="L189" s="181">
        <f t="shared" si="64"/>
        <v>0</v>
      </c>
      <c r="M189" s="211"/>
      <c r="N189" s="292"/>
      <c r="O189" s="235">
        <f t="shared" si="65"/>
        <v>0</v>
      </c>
      <c r="P189" s="112"/>
      <c r="Q189" s="46">
        <f t="shared" si="59"/>
        <v>0</v>
      </c>
    </row>
    <row r="190" spans="1:17" ht="12.75">
      <c r="A190" s="15" t="s">
        <v>235</v>
      </c>
      <c r="B190" s="59">
        <v>33215</v>
      </c>
      <c r="C190" s="106"/>
      <c r="D190" s="75">
        <f>482.38</f>
        <v>482.38</v>
      </c>
      <c r="E190" s="168"/>
      <c r="F190" s="198">
        <f t="shared" si="62"/>
        <v>482.38</v>
      </c>
      <c r="G190" s="211"/>
      <c r="H190" s="235"/>
      <c r="I190" s="181">
        <f t="shared" si="63"/>
        <v>482.38</v>
      </c>
      <c r="J190" s="181"/>
      <c r="K190" s="276"/>
      <c r="L190" s="181">
        <f t="shared" si="64"/>
        <v>482.38</v>
      </c>
      <c r="M190" s="211"/>
      <c r="N190" s="292"/>
      <c r="O190" s="235">
        <f t="shared" si="65"/>
        <v>482.38</v>
      </c>
      <c r="P190" s="112"/>
      <c r="Q190" s="46">
        <f t="shared" si="59"/>
        <v>482.38</v>
      </c>
    </row>
    <row r="191" spans="1:17" ht="12.75">
      <c r="A191" s="15" t="s">
        <v>236</v>
      </c>
      <c r="B191" s="59">
        <v>33457</v>
      </c>
      <c r="C191" s="106"/>
      <c r="D191" s="75">
        <f>3261.32</f>
        <v>3261.32</v>
      </c>
      <c r="E191" s="168"/>
      <c r="F191" s="198">
        <f t="shared" si="62"/>
        <v>3261.32</v>
      </c>
      <c r="G191" s="211"/>
      <c r="H191" s="235"/>
      <c r="I191" s="181">
        <f t="shared" si="63"/>
        <v>3261.32</v>
      </c>
      <c r="J191" s="181"/>
      <c r="K191" s="276"/>
      <c r="L191" s="181">
        <f t="shared" si="64"/>
        <v>3261.32</v>
      </c>
      <c r="M191" s="211">
        <f>-159.71</f>
        <v>-159.71</v>
      </c>
      <c r="N191" s="292"/>
      <c r="O191" s="235">
        <f t="shared" si="65"/>
        <v>3101.61</v>
      </c>
      <c r="P191" s="112"/>
      <c r="Q191" s="46">
        <f t="shared" si="59"/>
        <v>3101.61</v>
      </c>
    </row>
    <row r="192" spans="1:17" ht="12.75">
      <c r="A192" s="15" t="s">
        <v>361</v>
      </c>
      <c r="B192" s="59">
        <v>33034</v>
      </c>
      <c r="C192" s="106"/>
      <c r="D192" s="75"/>
      <c r="E192" s="168"/>
      <c r="F192" s="198"/>
      <c r="G192" s="211"/>
      <c r="H192" s="235"/>
      <c r="I192" s="181"/>
      <c r="J192" s="181"/>
      <c r="K192" s="276"/>
      <c r="L192" s="181">
        <f t="shared" si="64"/>
        <v>0</v>
      </c>
      <c r="M192" s="211">
        <f>550.85</f>
        <v>550.85</v>
      </c>
      <c r="N192" s="292"/>
      <c r="O192" s="235">
        <f t="shared" si="65"/>
        <v>550.85</v>
      </c>
      <c r="P192" s="112"/>
      <c r="Q192" s="46"/>
    </row>
    <row r="193" spans="1:17" ht="12.75" hidden="1">
      <c r="A193" s="15" t="s">
        <v>217</v>
      </c>
      <c r="B193" s="59">
        <v>33052</v>
      </c>
      <c r="C193" s="106"/>
      <c r="D193" s="75"/>
      <c r="E193" s="168"/>
      <c r="F193" s="198">
        <f t="shared" si="62"/>
        <v>0</v>
      </c>
      <c r="G193" s="211"/>
      <c r="H193" s="235"/>
      <c r="I193" s="181">
        <f t="shared" si="63"/>
        <v>0</v>
      </c>
      <c r="J193" s="181"/>
      <c r="K193" s="276"/>
      <c r="L193" s="181">
        <f t="shared" si="64"/>
        <v>0</v>
      </c>
      <c r="M193" s="211"/>
      <c r="N193" s="292"/>
      <c r="O193" s="235">
        <f t="shared" si="65"/>
        <v>0</v>
      </c>
      <c r="P193" s="112"/>
      <c r="Q193" s="46">
        <f t="shared" si="59"/>
        <v>0</v>
      </c>
    </row>
    <row r="194" spans="1:17" ht="12.75">
      <c r="A194" s="15" t="s">
        <v>257</v>
      </c>
      <c r="B194" s="59">
        <v>33069</v>
      </c>
      <c r="C194" s="106"/>
      <c r="D194" s="75">
        <f>10259.23</f>
        <v>10259.23</v>
      </c>
      <c r="E194" s="168"/>
      <c r="F194" s="198">
        <f t="shared" si="62"/>
        <v>10259.23</v>
      </c>
      <c r="G194" s="211"/>
      <c r="H194" s="235"/>
      <c r="I194" s="181">
        <f t="shared" si="63"/>
        <v>10259.23</v>
      </c>
      <c r="J194" s="181"/>
      <c r="K194" s="276"/>
      <c r="L194" s="181">
        <f t="shared" si="64"/>
        <v>10259.23</v>
      </c>
      <c r="M194" s="211"/>
      <c r="N194" s="292"/>
      <c r="O194" s="235">
        <f t="shared" si="65"/>
        <v>10259.23</v>
      </c>
      <c r="P194" s="112"/>
      <c r="Q194" s="46"/>
    </row>
    <row r="195" spans="1:17" ht="12.75">
      <c r="A195" s="15" t="s">
        <v>312</v>
      </c>
      <c r="B195" s="59">
        <v>33070</v>
      </c>
      <c r="C195" s="106"/>
      <c r="D195" s="75">
        <f>2043.37</f>
        <v>2043.37</v>
      </c>
      <c r="E195" s="168"/>
      <c r="F195" s="198">
        <f t="shared" si="62"/>
        <v>2043.37</v>
      </c>
      <c r="G195" s="211"/>
      <c r="H195" s="235"/>
      <c r="I195" s="181">
        <f t="shared" si="63"/>
        <v>2043.37</v>
      </c>
      <c r="J195" s="181">
        <f>-249.07-14.37-20.49</f>
        <v>-283.93</v>
      </c>
      <c r="K195" s="276"/>
      <c r="L195" s="181">
        <f t="shared" si="64"/>
        <v>1759.4399999999998</v>
      </c>
      <c r="M195" s="211">
        <f>1685.81</f>
        <v>1685.81</v>
      </c>
      <c r="N195" s="292"/>
      <c r="O195" s="235">
        <f t="shared" si="65"/>
        <v>3445.25</v>
      </c>
      <c r="P195" s="112"/>
      <c r="Q195" s="46"/>
    </row>
    <row r="196" spans="1:17" ht="12.75">
      <c r="A196" s="15" t="s">
        <v>296</v>
      </c>
      <c r="B196" s="59">
        <v>33071</v>
      </c>
      <c r="C196" s="106"/>
      <c r="D196" s="75">
        <f>612.5</f>
        <v>612.5</v>
      </c>
      <c r="E196" s="168"/>
      <c r="F196" s="198">
        <f t="shared" si="62"/>
        <v>612.5</v>
      </c>
      <c r="G196" s="211"/>
      <c r="H196" s="235"/>
      <c r="I196" s="181">
        <f t="shared" si="63"/>
        <v>612.5</v>
      </c>
      <c r="J196" s="181">
        <f>612.5-90.71</f>
        <v>521.79</v>
      </c>
      <c r="K196" s="276"/>
      <c r="L196" s="181">
        <f t="shared" si="64"/>
        <v>1134.29</v>
      </c>
      <c r="M196" s="211"/>
      <c r="N196" s="292"/>
      <c r="O196" s="235">
        <f t="shared" si="65"/>
        <v>1134.29</v>
      </c>
      <c r="P196" s="112"/>
      <c r="Q196" s="46">
        <f t="shared" si="59"/>
        <v>1134.29</v>
      </c>
    </row>
    <row r="197" spans="1:17" ht="12.75" hidden="1">
      <c r="A197" s="15" t="s">
        <v>218</v>
      </c>
      <c r="B197" s="59">
        <v>33050</v>
      </c>
      <c r="C197" s="106"/>
      <c r="D197" s="75"/>
      <c r="E197" s="168"/>
      <c r="F197" s="198">
        <f t="shared" si="62"/>
        <v>0</v>
      </c>
      <c r="G197" s="211"/>
      <c r="H197" s="235"/>
      <c r="I197" s="181">
        <f t="shared" si="63"/>
        <v>0</v>
      </c>
      <c r="J197" s="181"/>
      <c r="K197" s="276"/>
      <c r="L197" s="181">
        <f t="shared" si="64"/>
        <v>0</v>
      </c>
      <c r="M197" s="211"/>
      <c r="N197" s="292"/>
      <c r="O197" s="235">
        <f t="shared" si="65"/>
        <v>0</v>
      </c>
      <c r="P197" s="112"/>
      <c r="Q197" s="46">
        <f t="shared" si="59"/>
        <v>0</v>
      </c>
    </row>
    <row r="198" spans="1:17" ht="12.75">
      <c r="A198" s="15" t="s">
        <v>329</v>
      </c>
      <c r="B198" s="59">
        <v>33435</v>
      </c>
      <c r="C198" s="106"/>
      <c r="D198" s="75"/>
      <c r="E198" s="168"/>
      <c r="F198" s="198">
        <f t="shared" si="62"/>
        <v>0</v>
      </c>
      <c r="G198" s="211">
        <f>720.53+160.14-54.14</f>
        <v>826.53</v>
      </c>
      <c r="H198" s="235"/>
      <c r="I198" s="181">
        <f t="shared" si="63"/>
        <v>826.53</v>
      </c>
      <c r="J198" s="181"/>
      <c r="K198" s="276"/>
      <c r="L198" s="181">
        <f t="shared" si="64"/>
        <v>826.53</v>
      </c>
      <c r="M198" s="211"/>
      <c r="N198" s="292"/>
      <c r="O198" s="235">
        <f t="shared" si="65"/>
        <v>826.53</v>
      </c>
      <c r="P198" s="112"/>
      <c r="Q198" s="46">
        <f t="shared" si="59"/>
        <v>826.53</v>
      </c>
    </row>
    <row r="199" spans="1:17" ht="12.75">
      <c r="A199" s="15" t="s">
        <v>243</v>
      </c>
      <c r="B199" s="59">
        <v>33049</v>
      </c>
      <c r="C199" s="106"/>
      <c r="D199" s="75">
        <f>5938</f>
        <v>5938</v>
      </c>
      <c r="E199" s="168"/>
      <c r="F199" s="198">
        <f t="shared" si="62"/>
        <v>5938</v>
      </c>
      <c r="G199" s="211"/>
      <c r="H199" s="235"/>
      <c r="I199" s="181">
        <f t="shared" si="63"/>
        <v>5938</v>
      </c>
      <c r="J199" s="181"/>
      <c r="K199" s="276"/>
      <c r="L199" s="181">
        <f t="shared" si="64"/>
        <v>5938</v>
      </c>
      <c r="M199" s="211">
        <f>2969</f>
        <v>2969</v>
      </c>
      <c r="N199" s="292"/>
      <c r="O199" s="235">
        <f t="shared" si="65"/>
        <v>8907</v>
      </c>
      <c r="P199" s="112"/>
      <c r="Q199" s="46"/>
    </row>
    <row r="200" spans="1:17" ht="12.75" hidden="1">
      <c r="A200" s="15" t="s">
        <v>219</v>
      </c>
      <c r="B200" s="59">
        <v>33044</v>
      </c>
      <c r="C200" s="106"/>
      <c r="D200" s="75"/>
      <c r="E200" s="168"/>
      <c r="F200" s="198">
        <f t="shared" si="62"/>
        <v>0</v>
      </c>
      <c r="G200" s="211"/>
      <c r="H200" s="235"/>
      <c r="I200" s="181">
        <f t="shared" si="63"/>
        <v>0</v>
      </c>
      <c r="J200" s="181"/>
      <c r="K200" s="276"/>
      <c r="L200" s="181">
        <f t="shared" si="64"/>
        <v>0</v>
      </c>
      <c r="M200" s="211"/>
      <c r="N200" s="292"/>
      <c r="O200" s="235">
        <f t="shared" si="65"/>
        <v>0</v>
      </c>
      <c r="P200" s="112"/>
      <c r="Q200" s="46">
        <f t="shared" si="59"/>
        <v>0</v>
      </c>
    </row>
    <row r="201" spans="1:17" ht="12.75">
      <c r="A201" s="15" t="s">
        <v>328</v>
      </c>
      <c r="B201" s="59">
        <v>33024</v>
      </c>
      <c r="C201" s="106"/>
      <c r="D201" s="75"/>
      <c r="E201" s="168"/>
      <c r="F201" s="198">
        <f t="shared" si="62"/>
        <v>0</v>
      </c>
      <c r="G201" s="211">
        <f>546.71-60.39</f>
        <v>486.32000000000005</v>
      </c>
      <c r="H201" s="235"/>
      <c r="I201" s="181">
        <f t="shared" si="63"/>
        <v>486.32000000000005</v>
      </c>
      <c r="J201" s="181"/>
      <c r="K201" s="276"/>
      <c r="L201" s="181">
        <f t="shared" si="64"/>
        <v>486.32000000000005</v>
      </c>
      <c r="M201" s="211"/>
      <c r="N201" s="292"/>
      <c r="O201" s="235">
        <f t="shared" si="65"/>
        <v>486.32000000000005</v>
      </c>
      <c r="P201" s="112"/>
      <c r="Q201" s="46"/>
    </row>
    <row r="202" spans="1:17" ht="12.75" hidden="1">
      <c r="A202" s="33" t="s">
        <v>168</v>
      </c>
      <c r="B202" s="59">
        <v>33018</v>
      </c>
      <c r="C202" s="106"/>
      <c r="D202" s="75"/>
      <c r="E202" s="168"/>
      <c r="F202" s="198">
        <f t="shared" si="62"/>
        <v>0</v>
      </c>
      <c r="G202" s="211"/>
      <c r="H202" s="235"/>
      <c r="I202" s="181">
        <f t="shared" si="63"/>
        <v>0</v>
      </c>
      <c r="J202" s="181"/>
      <c r="K202" s="276"/>
      <c r="L202" s="181">
        <f t="shared" si="64"/>
        <v>0</v>
      </c>
      <c r="M202" s="211"/>
      <c r="N202" s="292"/>
      <c r="O202" s="235">
        <f t="shared" si="65"/>
        <v>0</v>
      </c>
      <c r="P202" s="112"/>
      <c r="Q202" s="46">
        <f t="shared" si="59"/>
        <v>0</v>
      </c>
    </row>
    <row r="203" spans="1:17" ht="12.75" hidden="1">
      <c r="A203" s="13" t="s">
        <v>169</v>
      </c>
      <c r="B203" s="59"/>
      <c r="C203" s="106"/>
      <c r="D203" s="75"/>
      <c r="E203" s="168"/>
      <c r="F203" s="198">
        <f t="shared" si="62"/>
        <v>0</v>
      </c>
      <c r="G203" s="211"/>
      <c r="H203" s="235"/>
      <c r="I203" s="181">
        <f t="shared" si="63"/>
        <v>0</v>
      </c>
      <c r="J203" s="181"/>
      <c r="K203" s="276"/>
      <c r="L203" s="181">
        <f t="shared" si="64"/>
        <v>0</v>
      </c>
      <c r="M203" s="211"/>
      <c r="N203" s="292"/>
      <c r="O203" s="235">
        <f t="shared" si="65"/>
        <v>0</v>
      </c>
      <c r="P203" s="112"/>
      <c r="Q203" s="46">
        <f t="shared" si="59"/>
        <v>0</v>
      </c>
    </row>
    <row r="204" spans="1:17" ht="12.75">
      <c r="A204" s="33" t="s">
        <v>196</v>
      </c>
      <c r="B204" s="59">
        <v>33160</v>
      </c>
      <c r="C204" s="106"/>
      <c r="D204" s="75"/>
      <c r="E204" s="168"/>
      <c r="F204" s="198">
        <f t="shared" si="62"/>
        <v>0</v>
      </c>
      <c r="G204" s="211">
        <f>271.7</f>
        <v>271.7</v>
      </c>
      <c r="H204" s="235"/>
      <c r="I204" s="181">
        <f t="shared" si="63"/>
        <v>271.7</v>
      </c>
      <c r="J204" s="181">
        <f>-90.33</f>
        <v>-90.33</v>
      </c>
      <c r="K204" s="276"/>
      <c r="L204" s="181">
        <f t="shared" si="64"/>
        <v>181.37</v>
      </c>
      <c r="M204" s="211">
        <f>190.9</f>
        <v>190.9</v>
      </c>
      <c r="N204" s="292"/>
      <c r="O204" s="235">
        <f t="shared" si="65"/>
        <v>372.27</v>
      </c>
      <c r="P204" s="112"/>
      <c r="Q204" s="46">
        <f t="shared" si="59"/>
        <v>372.27</v>
      </c>
    </row>
    <row r="205" spans="1:17" ht="12.75" hidden="1">
      <c r="A205" s="15" t="s">
        <v>156</v>
      </c>
      <c r="B205" s="59"/>
      <c r="C205" s="106"/>
      <c r="D205" s="75"/>
      <c r="E205" s="168"/>
      <c r="F205" s="198">
        <f t="shared" si="62"/>
        <v>0</v>
      </c>
      <c r="G205" s="211"/>
      <c r="H205" s="235"/>
      <c r="I205" s="181">
        <f t="shared" si="63"/>
        <v>0</v>
      </c>
      <c r="J205" s="181"/>
      <c r="K205" s="276"/>
      <c r="L205" s="181">
        <f t="shared" si="64"/>
        <v>0</v>
      </c>
      <c r="M205" s="211"/>
      <c r="N205" s="292"/>
      <c r="O205" s="235">
        <f t="shared" si="65"/>
        <v>0</v>
      </c>
      <c r="P205" s="112"/>
      <c r="Q205" s="46">
        <f t="shared" si="59"/>
        <v>0</v>
      </c>
    </row>
    <row r="206" spans="1:17" ht="12.75" hidden="1">
      <c r="A206" s="33" t="s">
        <v>145</v>
      </c>
      <c r="B206" s="59"/>
      <c r="C206" s="106"/>
      <c r="D206" s="75"/>
      <c r="E206" s="168"/>
      <c r="F206" s="198">
        <f t="shared" si="62"/>
        <v>0</v>
      </c>
      <c r="G206" s="211"/>
      <c r="H206" s="235"/>
      <c r="I206" s="181">
        <f t="shared" si="63"/>
        <v>0</v>
      </c>
      <c r="J206" s="181"/>
      <c r="K206" s="276"/>
      <c r="L206" s="181">
        <f t="shared" si="64"/>
        <v>0</v>
      </c>
      <c r="M206" s="211"/>
      <c r="N206" s="292"/>
      <c r="O206" s="235">
        <f t="shared" si="65"/>
        <v>0</v>
      </c>
      <c r="P206" s="112"/>
      <c r="Q206" s="46">
        <f t="shared" si="59"/>
        <v>0</v>
      </c>
    </row>
    <row r="207" spans="1:17" ht="12.75" hidden="1">
      <c r="A207" s="33" t="s">
        <v>155</v>
      </c>
      <c r="B207" s="59"/>
      <c r="C207" s="106"/>
      <c r="D207" s="75"/>
      <c r="E207" s="168"/>
      <c r="F207" s="198">
        <f t="shared" si="62"/>
        <v>0</v>
      </c>
      <c r="G207" s="211"/>
      <c r="H207" s="235"/>
      <c r="I207" s="181">
        <f t="shared" si="63"/>
        <v>0</v>
      </c>
      <c r="J207" s="181"/>
      <c r="K207" s="276"/>
      <c r="L207" s="181">
        <f t="shared" si="64"/>
        <v>0</v>
      </c>
      <c r="M207" s="211"/>
      <c r="N207" s="292"/>
      <c r="O207" s="235">
        <f t="shared" si="65"/>
        <v>0</v>
      </c>
      <c r="P207" s="112"/>
      <c r="Q207" s="46">
        <f t="shared" si="59"/>
        <v>0</v>
      </c>
    </row>
    <row r="208" spans="1:17" ht="12.75">
      <c r="A208" s="15" t="s">
        <v>344</v>
      </c>
      <c r="B208" s="59">
        <v>33025</v>
      </c>
      <c r="C208" s="106"/>
      <c r="D208" s="75"/>
      <c r="E208" s="168"/>
      <c r="F208" s="198">
        <f t="shared" si="62"/>
        <v>0</v>
      </c>
      <c r="G208" s="211"/>
      <c r="H208" s="235"/>
      <c r="I208" s="181">
        <f t="shared" si="63"/>
        <v>0</v>
      </c>
      <c r="J208" s="181">
        <f>491.9</f>
        <v>491.9</v>
      </c>
      <c r="K208" s="276"/>
      <c r="L208" s="181">
        <f t="shared" si="64"/>
        <v>491.9</v>
      </c>
      <c r="M208" s="211"/>
      <c r="N208" s="292"/>
      <c r="O208" s="235">
        <f t="shared" si="65"/>
        <v>491.9</v>
      </c>
      <c r="P208" s="112"/>
      <c r="Q208" s="46">
        <f t="shared" si="59"/>
        <v>491.9</v>
      </c>
    </row>
    <row r="209" spans="1:17" ht="12.75">
      <c r="A209" s="15" t="s">
        <v>179</v>
      </c>
      <c r="B209" s="59">
        <v>33038</v>
      </c>
      <c r="C209" s="106"/>
      <c r="D209" s="75"/>
      <c r="E209" s="168"/>
      <c r="F209" s="198">
        <f t="shared" si="62"/>
        <v>0</v>
      </c>
      <c r="G209" s="211">
        <f>1396.04</f>
        <v>1396.04</v>
      </c>
      <c r="H209" s="235"/>
      <c r="I209" s="181">
        <f t="shared" si="63"/>
        <v>1396.04</v>
      </c>
      <c r="J209" s="181"/>
      <c r="K209" s="276"/>
      <c r="L209" s="181">
        <f t="shared" si="64"/>
        <v>1396.04</v>
      </c>
      <c r="M209" s="211"/>
      <c r="N209" s="292"/>
      <c r="O209" s="235">
        <f t="shared" si="65"/>
        <v>1396.04</v>
      </c>
      <c r="P209" s="112"/>
      <c r="Q209" s="46">
        <f t="shared" si="59"/>
        <v>1396.04</v>
      </c>
    </row>
    <row r="210" spans="1:17" ht="12.75">
      <c r="A210" s="15" t="s">
        <v>360</v>
      </c>
      <c r="B210" s="59">
        <v>33063</v>
      </c>
      <c r="C210" s="106"/>
      <c r="D210" s="75">
        <f>5782.93+206.42</f>
        <v>5989.35</v>
      </c>
      <c r="E210" s="168"/>
      <c r="F210" s="198">
        <f t="shared" si="62"/>
        <v>5989.35</v>
      </c>
      <c r="G210" s="211">
        <f>135.06+1476.68+211.52+422.23+680.95+765.24</f>
        <v>3691.6799999999994</v>
      </c>
      <c r="H210" s="235"/>
      <c r="I210" s="181">
        <f t="shared" si="63"/>
        <v>9681.029999999999</v>
      </c>
      <c r="J210" s="181">
        <f>905.31+147.83+417.95+445.35+323.5+221.5+1416.56+1292.23+102.63</f>
        <v>5272.86</v>
      </c>
      <c r="K210" s="276"/>
      <c r="L210" s="181">
        <f>14953.89+1500+7162.07</f>
        <v>23615.96</v>
      </c>
      <c r="M210" s="211">
        <f>1292.85+606.37+107.55+190.28+87.36+8576.43+1883+1181.16+1099.47+820.25</f>
        <v>15844.72</v>
      </c>
      <c r="N210" s="292"/>
      <c r="O210" s="235">
        <f t="shared" si="65"/>
        <v>39460.68</v>
      </c>
      <c r="P210" s="112"/>
      <c r="Q210" s="46"/>
    </row>
    <row r="211" spans="1:19" ht="12.75" hidden="1">
      <c r="A211" s="15" t="s">
        <v>337</v>
      </c>
      <c r="B211" s="59">
        <v>33063</v>
      </c>
      <c r="C211" s="106"/>
      <c r="D211" s="75"/>
      <c r="E211" s="168"/>
      <c r="F211" s="198">
        <f t="shared" si="62"/>
        <v>0</v>
      </c>
      <c r="G211" s="211">
        <f>1500</f>
        <v>1500</v>
      </c>
      <c r="H211" s="235"/>
      <c r="I211" s="181">
        <f t="shared" si="63"/>
        <v>1500</v>
      </c>
      <c r="J211" s="181"/>
      <c r="K211" s="276"/>
      <c r="L211" s="181"/>
      <c r="M211" s="211"/>
      <c r="N211" s="292"/>
      <c r="O211" s="235"/>
      <c r="P211" s="112"/>
      <c r="Q211" s="46"/>
      <c r="S211" s="315"/>
    </row>
    <row r="212" spans="1:17" ht="12.75" hidden="1">
      <c r="A212" s="15" t="s">
        <v>274</v>
      </c>
      <c r="B212" s="59">
        <v>33063</v>
      </c>
      <c r="C212" s="106"/>
      <c r="D212" s="75"/>
      <c r="E212" s="168"/>
      <c r="F212" s="198">
        <f t="shared" si="62"/>
        <v>0</v>
      </c>
      <c r="G212" s="211"/>
      <c r="H212" s="235"/>
      <c r="I212" s="181">
        <f t="shared" si="63"/>
        <v>0</v>
      </c>
      <c r="J212" s="181">
        <f>7169.15-7.08</f>
        <v>7162.07</v>
      </c>
      <c r="K212" s="276"/>
      <c r="L212" s="181"/>
      <c r="M212" s="211"/>
      <c r="N212" s="292"/>
      <c r="O212" s="235"/>
      <c r="P212" s="112"/>
      <c r="Q212" s="46">
        <f t="shared" si="59"/>
        <v>0</v>
      </c>
    </row>
    <row r="213" spans="1:17" ht="12.75">
      <c r="A213" s="15" t="s">
        <v>319</v>
      </c>
      <c r="B213" s="59" t="s">
        <v>320</v>
      </c>
      <c r="C213" s="106"/>
      <c r="D213" s="75">
        <f>55.91+1609.06</f>
        <v>1664.97</v>
      </c>
      <c r="E213" s="168"/>
      <c r="F213" s="198">
        <f t="shared" si="62"/>
        <v>1664.97</v>
      </c>
      <c r="G213" s="211"/>
      <c r="H213" s="235"/>
      <c r="I213" s="181">
        <f t="shared" si="63"/>
        <v>1664.97</v>
      </c>
      <c r="J213" s="181">
        <f>48.1+1433.02</f>
        <v>1481.12</v>
      </c>
      <c r="K213" s="276"/>
      <c r="L213" s="181">
        <f t="shared" si="64"/>
        <v>3146.09</v>
      </c>
      <c r="M213" s="211">
        <f>39.39+1121.04</f>
        <v>1160.43</v>
      </c>
      <c r="N213" s="292"/>
      <c r="O213" s="235">
        <f t="shared" si="65"/>
        <v>4306.52</v>
      </c>
      <c r="P213" s="112"/>
      <c r="Q213" s="46"/>
    </row>
    <row r="214" spans="1:17" ht="12.75">
      <c r="A214" s="15" t="s">
        <v>295</v>
      </c>
      <c r="B214" s="59">
        <v>2054</v>
      </c>
      <c r="C214" s="106"/>
      <c r="D214" s="75">
        <f>700+272.97</f>
        <v>972.97</v>
      </c>
      <c r="E214" s="168"/>
      <c r="F214" s="198">
        <f t="shared" si="62"/>
        <v>972.97</v>
      </c>
      <c r="G214" s="211"/>
      <c r="H214" s="235"/>
      <c r="I214" s="181">
        <f t="shared" si="63"/>
        <v>972.97</v>
      </c>
      <c r="J214" s="181"/>
      <c r="K214" s="276"/>
      <c r="L214" s="181">
        <f t="shared" si="64"/>
        <v>972.97</v>
      </c>
      <c r="M214" s="211"/>
      <c r="N214" s="292"/>
      <c r="O214" s="235">
        <f t="shared" si="65"/>
        <v>972.97</v>
      </c>
      <c r="P214" s="112"/>
      <c r="Q214" s="46"/>
    </row>
    <row r="215" spans="1:17" ht="12.75">
      <c r="A215" s="15" t="s">
        <v>342</v>
      </c>
      <c r="B215" s="59"/>
      <c r="C215" s="106"/>
      <c r="D215" s="75"/>
      <c r="E215" s="168"/>
      <c r="F215" s="198">
        <f t="shared" si="62"/>
        <v>0</v>
      </c>
      <c r="G215" s="211">
        <f>1659.16</f>
        <v>1659.16</v>
      </c>
      <c r="H215" s="235"/>
      <c r="I215" s="181">
        <f t="shared" si="63"/>
        <v>1659.16</v>
      </c>
      <c r="J215" s="181">
        <f>1639.93</f>
        <v>1639.93</v>
      </c>
      <c r="K215" s="276"/>
      <c r="L215" s="181">
        <f t="shared" si="64"/>
        <v>3299.09</v>
      </c>
      <c r="M215" s="211"/>
      <c r="N215" s="292"/>
      <c r="O215" s="235">
        <f t="shared" si="65"/>
        <v>3299.09</v>
      </c>
      <c r="P215" s="112"/>
      <c r="Q215" s="46"/>
    </row>
    <row r="216" spans="1:17" ht="12.75">
      <c r="A216" s="15" t="s">
        <v>343</v>
      </c>
      <c r="B216" s="59"/>
      <c r="C216" s="106"/>
      <c r="D216" s="75"/>
      <c r="E216" s="168"/>
      <c r="F216" s="198"/>
      <c r="G216" s="211"/>
      <c r="H216" s="235"/>
      <c r="I216" s="181">
        <f t="shared" si="63"/>
        <v>0</v>
      </c>
      <c r="J216" s="181">
        <f>17100</f>
        <v>17100</v>
      </c>
      <c r="K216" s="276"/>
      <c r="L216" s="181">
        <f t="shared" si="64"/>
        <v>17100</v>
      </c>
      <c r="M216" s="211"/>
      <c r="N216" s="292"/>
      <c r="O216" s="235">
        <f t="shared" si="65"/>
        <v>17100</v>
      </c>
      <c r="P216" s="112"/>
      <c r="Q216" s="46"/>
    </row>
    <row r="217" spans="1:17" ht="12.75">
      <c r="A217" s="15" t="s">
        <v>326</v>
      </c>
      <c r="B217" s="59">
        <v>13305</v>
      </c>
      <c r="C217" s="106"/>
      <c r="D217" s="75"/>
      <c r="E217" s="168"/>
      <c r="F217" s="198">
        <f t="shared" si="62"/>
        <v>0</v>
      </c>
      <c r="G217" s="211">
        <f>2343.04</f>
        <v>2343.04</v>
      </c>
      <c r="H217" s="235"/>
      <c r="I217" s="181">
        <f t="shared" si="63"/>
        <v>2343.04</v>
      </c>
      <c r="J217" s="181">
        <f>1562.03</f>
        <v>1562.03</v>
      </c>
      <c r="K217" s="276"/>
      <c r="L217" s="181">
        <f t="shared" si="64"/>
        <v>3905.0699999999997</v>
      </c>
      <c r="M217" s="211"/>
      <c r="N217" s="292"/>
      <c r="O217" s="235">
        <f t="shared" si="65"/>
        <v>3905.0699999999997</v>
      </c>
      <c r="P217" s="112"/>
      <c r="Q217" s="46"/>
    </row>
    <row r="218" spans="1:17" ht="12.75" hidden="1">
      <c r="A218" s="15" t="s">
        <v>96</v>
      </c>
      <c r="B218" s="59"/>
      <c r="C218" s="106"/>
      <c r="D218" s="75"/>
      <c r="E218" s="168"/>
      <c r="F218" s="198">
        <f t="shared" si="62"/>
        <v>0</v>
      </c>
      <c r="G218" s="211"/>
      <c r="H218" s="235"/>
      <c r="I218" s="181">
        <f t="shared" si="63"/>
        <v>0</v>
      </c>
      <c r="J218" s="181"/>
      <c r="K218" s="276"/>
      <c r="L218" s="181">
        <f t="shared" si="64"/>
        <v>0</v>
      </c>
      <c r="M218" s="211"/>
      <c r="N218" s="292"/>
      <c r="O218" s="235">
        <f t="shared" si="65"/>
        <v>0</v>
      </c>
      <c r="P218" s="112"/>
      <c r="Q218" s="46">
        <f t="shared" si="59"/>
        <v>0</v>
      </c>
    </row>
    <row r="219" spans="1:17" ht="12.75">
      <c r="A219" s="15" t="s">
        <v>85</v>
      </c>
      <c r="B219" s="150" t="s">
        <v>315</v>
      </c>
      <c r="C219" s="106">
        <v>200</v>
      </c>
      <c r="D219" s="75">
        <f>500+3340+8000+4202+140.9</f>
        <v>16182.9</v>
      </c>
      <c r="E219" s="168"/>
      <c r="F219" s="198">
        <f t="shared" si="62"/>
        <v>16382.9</v>
      </c>
      <c r="G219" s="211">
        <f>1075.48-4462</f>
        <v>-3386.52</v>
      </c>
      <c r="H219" s="235"/>
      <c r="I219" s="181">
        <f t="shared" si="63"/>
        <v>12996.38</v>
      </c>
      <c r="J219" s="181">
        <f>832.28+10223.06</f>
        <v>11055.34</v>
      </c>
      <c r="K219" s="276"/>
      <c r="L219" s="181">
        <f t="shared" si="64"/>
        <v>24051.72</v>
      </c>
      <c r="M219" s="219">
        <f>1000</f>
        <v>1000</v>
      </c>
      <c r="N219" s="292"/>
      <c r="O219" s="235">
        <f t="shared" si="65"/>
        <v>25051.72</v>
      </c>
      <c r="P219" s="112"/>
      <c r="Q219" s="46">
        <f t="shared" si="59"/>
        <v>25051.72</v>
      </c>
    </row>
    <row r="220" spans="1:17" ht="12.75">
      <c r="A220" s="15" t="s">
        <v>56</v>
      </c>
      <c r="B220" s="59"/>
      <c r="C220" s="106">
        <v>28279.1</v>
      </c>
      <c r="D220" s="75">
        <f>32.5+309.93+1009-14642.4+10000</f>
        <v>-3290.9699999999993</v>
      </c>
      <c r="E220" s="168"/>
      <c r="F220" s="198">
        <f t="shared" si="62"/>
        <v>24988.129999999997</v>
      </c>
      <c r="G220" s="211">
        <f>-805-4938.92-1893.7</f>
        <v>-7637.62</v>
      </c>
      <c r="H220" s="235"/>
      <c r="I220" s="181">
        <f t="shared" si="63"/>
        <v>17350.51</v>
      </c>
      <c r="J220" s="181">
        <f>-6722.74</f>
        <v>-6722.74</v>
      </c>
      <c r="K220" s="276"/>
      <c r="L220" s="181">
        <f t="shared" si="64"/>
        <v>10627.769999999999</v>
      </c>
      <c r="M220" s="219">
        <f>-8275.99-665.37</f>
        <v>-8941.36</v>
      </c>
      <c r="N220" s="292"/>
      <c r="O220" s="235">
        <f t="shared" si="65"/>
        <v>1686.409999999998</v>
      </c>
      <c r="P220" s="112"/>
      <c r="Q220" s="46">
        <f t="shared" si="59"/>
        <v>1686.409999999998</v>
      </c>
    </row>
    <row r="221" spans="1:17" ht="12.75">
      <c r="A221" s="18" t="s">
        <v>59</v>
      </c>
      <c r="B221" s="63"/>
      <c r="C221" s="133">
        <f>SUM(C223:C229)</f>
        <v>0</v>
      </c>
      <c r="D221" s="85">
        <f aca="true" t="shared" si="66" ref="D221:Q221">SUM(D223:D229)</f>
        <v>14420.23</v>
      </c>
      <c r="E221" s="172">
        <f t="shared" si="66"/>
        <v>0</v>
      </c>
      <c r="F221" s="202">
        <f t="shared" si="66"/>
        <v>14420.23</v>
      </c>
      <c r="G221" s="216">
        <f t="shared" si="66"/>
        <v>5267</v>
      </c>
      <c r="H221" s="240">
        <f t="shared" si="66"/>
        <v>0</v>
      </c>
      <c r="I221" s="186">
        <f t="shared" si="66"/>
        <v>19687.23</v>
      </c>
      <c r="J221" s="186">
        <f t="shared" si="66"/>
        <v>235.57999999999993</v>
      </c>
      <c r="K221" s="281">
        <f t="shared" si="66"/>
        <v>0</v>
      </c>
      <c r="L221" s="186">
        <f t="shared" si="66"/>
        <v>19922.809999999998</v>
      </c>
      <c r="M221" s="216">
        <f t="shared" si="66"/>
        <v>1677</v>
      </c>
      <c r="N221" s="297">
        <f t="shared" si="66"/>
        <v>0</v>
      </c>
      <c r="O221" s="240">
        <f t="shared" si="66"/>
        <v>21599.809999999998</v>
      </c>
      <c r="P221" s="124">
        <f t="shared" si="66"/>
        <v>0</v>
      </c>
      <c r="Q221" s="84">
        <f t="shared" si="66"/>
        <v>11783.240000000002</v>
      </c>
    </row>
    <row r="222" spans="1:17" ht="12.75">
      <c r="A222" s="13" t="s">
        <v>27</v>
      </c>
      <c r="B222" s="59"/>
      <c r="C222" s="106"/>
      <c r="D222" s="75"/>
      <c r="E222" s="168"/>
      <c r="F222" s="198"/>
      <c r="G222" s="211"/>
      <c r="H222" s="235"/>
      <c r="I222" s="182"/>
      <c r="J222" s="181"/>
      <c r="K222" s="276"/>
      <c r="L222" s="182"/>
      <c r="M222" s="211"/>
      <c r="N222" s="292"/>
      <c r="O222" s="234"/>
      <c r="P222" s="112"/>
      <c r="Q222" s="46"/>
    </row>
    <row r="223" spans="1:17" ht="12.75">
      <c r="A223" s="15" t="s">
        <v>97</v>
      </c>
      <c r="B223" s="59"/>
      <c r="C223" s="106"/>
      <c r="D223" s="75">
        <f>300+387.3</f>
        <v>687.3</v>
      </c>
      <c r="E223" s="168"/>
      <c r="F223" s="198">
        <f aca="true" t="shared" si="67" ref="F223:F229">C223+D223+E223</f>
        <v>687.3</v>
      </c>
      <c r="G223" s="211">
        <f>805</f>
        <v>805</v>
      </c>
      <c r="H223" s="235"/>
      <c r="I223" s="181">
        <f aca="true" t="shared" si="68" ref="I223:I229">F223+G223+H223</f>
        <v>1492.3</v>
      </c>
      <c r="J223" s="181">
        <v>715</v>
      </c>
      <c r="K223" s="276"/>
      <c r="L223" s="181">
        <f aca="true" t="shared" si="69" ref="L223:L229">I223+J223+K223</f>
        <v>2207.3</v>
      </c>
      <c r="M223" s="211">
        <f>59+1330+288</f>
        <v>1677</v>
      </c>
      <c r="N223" s="292"/>
      <c r="O223" s="235">
        <f aca="true" t="shared" si="70" ref="O223:O229">L223+M223+N223</f>
        <v>3884.3</v>
      </c>
      <c r="P223" s="112"/>
      <c r="Q223" s="46">
        <f t="shared" si="59"/>
        <v>3884.3</v>
      </c>
    </row>
    <row r="224" spans="1:17" ht="12.75">
      <c r="A224" s="15" t="s">
        <v>319</v>
      </c>
      <c r="B224" s="59" t="s">
        <v>321</v>
      </c>
      <c r="C224" s="106"/>
      <c r="D224" s="75">
        <f>4.05+68.88</f>
        <v>72.92999999999999</v>
      </c>
      <c r="E224" s="168"/>
      <c r="F224" s="198">
        <f t="shared" si="67"/>
        <v>72.92999999999999</v>
      </c>
      <c r="G224" s="211"/>
      <c r="H224" s="235"/>
      <c r="I224" s="181">
        <f t="shared" si="68"/>
        <v>72.92999999999999</v>
      </c>
      <c r="J224" s="181"/>
      <c r="K224" s="276"/>
      <c r="L224" s="181">
        <f t="shared" si="69"/>
        <v>72.92999999999999</v>
      </c>
      <c r="M224" s="211"/>
      <c r="N224" s="292"/>
      <c r="O224" s="235">
        <f t="shared" si="70"/>
        <v>72.92999999999999</v>
      </c>
      <c r="P224" s="112"/>
      <c r="Q224" s="46"/>
    </row>
    <row r="225" spans="1:17" ht="12.75">
      <c r="A225" s="15" t="s">
        <v>343</v>
      </c>
      <c r="B225" s="59"/>
      <c r="C225" s="106"/>
      <c r="D225" s="75"/>
      <c r="E225" s="168"/>
      <c r="F225" s="198"/>
      <c r="G225" s="211"/>
      <c r="H225" s="235"/>
      <c r="I225" s="181">
        <f t="shared" si="68"/>
        <v>0</v>
      </c>
      <c r="J225" s="181">
        <f>9743.64</f>
        <v>9743.64</v>
      </c>
      <c r="K225" s="276"/>
      <c r="L225" s="181">
        <f t="shared" si="69"/>
        <v>9743.64</v>
      </c>
      <c r="M225" s="211"/>
      <c r="N225" s="292"/>
      <c r="O225" s="235">
        <f t="shared" si="70"/>
        <v>9743.64</v>
      </c>
      <c r="P225" s="112"/>
      <c r="Q225" s="46"/>
    </row>
    <row r="226" spans="1:17" ht="12.75" hidden="1">
      <c r="A226" s="15" t="s">
        <v>74</v>
      </c>
      <c r="B226" s="59"/>
      <c r="C226" s="106"/>
      <c r="D226" s="75"/>
      <c r="E226" s="168"/>
      <c r="F226" s="198">
        <f t="shared" si="67"/>
        <v>0</v>
      </c>
      <c r="G226" s="211"/>
      <c r="H226" s="235"/>
      <c r="I226" s="181">
        <f t="shared" si="68"/>
        <v>0</v>
      </c>
      <c r="J226" s="181"/>
      <c r="K226" s="276"/>
      <c r="L226" s="181">
        <f t="shared" si="69"/>
        <v>0</v>
      </c>
      <c r="M226" s="211"/>
      <c r="N226" s="292"/>
      <c r="O226" s="235">
        <f t="shared" si="70"/>
        <v>0</v>
      </c>
      <c r="P226" s="112"/>
      <c r="Q226" s="46">
        <f t="shared" si="59"/>
        <v>0</v>
      </c>
    </row>
    <row r="227" spans="1:17" ht="12.75" hidden="1">
      <c r="A227" s="15" t="s">
        <v>98</v>
      </c>
      <c r="B227" s="59"/>
      <c r="C227" s="106"/>
      <c r="D227" s="75"/>
      <c r="E227" s="168"/>
      <c r="F227" s="198">
        <f t="shared" si="67"/>
        <v>0</v>
      </c>
      <c r="G227" s="211"/>
      <c r="H227" s="235"/>
      <c r="I227" s="181">
        <f t="shared" si="68"/>
        <v>0</v>
      </c>
      <c r="J227" s="181"/>
      <c r="K227" s="276"/>
      <c r="L227" s="181">
        <f t="shared" si="69"/>
        <v>0</v>
      </c>
      <c r="M227" s="211"/>
      <c r="N227" s="292"/>
      <c r="O227" s="235">
        <f t="shared" si="70"/>
        <v>0</v>
      </c>
      <c r="P227" s="112"/>
      <c r="Q227" s="46">
        <f t="shared" si="59"/>
        <v>0</v>
      </c>
    </row>
    <row r="228" spans="1:17" ht="12.75" hidden="1">
      <c r="A228" s="15" t="s">
        <v>60</v>
      </c>
      <c r="B228" s="59"/>
      <c r="C228" s="106"/>
      <c r="D228" s="75"/>
      <c r="E228" s="168"/>
      <c r="F228" s="198">
        <f t="shared" si="67"/>
        <v>0</v>
      </c>
      <c r="G228" s="211"/>
      <c r="H228" s="235"/>
      <c r="I228" s="181">
        <f t="shared" si="68"/>
        <v>0</v>
      </c>
      <c r="J228" s="181"/>
      <c r="K228" s="283"/>
      <c r="L228" s="181">
        <f t="shared" si="69"/>
        <v>0</v>
      </c>
      <c r="M228" s="211"/>
      <c r="N228" s="292"/>
      <c r="O228" s="235">
        <f t="shared" si="70"/>
        <v>0</v>
      </c>
      <c r="P228" s="112"/>
      <c r="Q228" s="46">
        <f t="shared" si="59"/>
        <v>0</v>
      </c>
    </row>
    <row r="229" spans="1:17" ht="12.75">
      <c r="A229" s="22" t="s">
        <v>85</v>
      </c>
      <c r="B229" s="62"/>
      <c r="C229" s="132"/>
      <c r="D229" s="83">
        <f>660+13000</f>
        <v>13660</v>
      </c>
      <c r="E229" s="192"/>
      <c r="F229" s="203">
        <f t="shared" si="67"/>
        <v>13660</v>
      </c>
      <c r="G229" s="217">
        <f>4462</f>
        <v>4462</v>
      </c>
      <c r="H229" s="233"/>
      <c r="I229" s="187">
        <f t="shared" si="68"/>
        <v>18122</v>
      </c>
      <c r="J229" s="187">
        <v>-10223.06</v>
      </c>
      <c r="K229" s="284"/>
      <c r="L229" s="187">
        <f t="shared" si="69"/>
        <v>7898.9400000000005</v>
      </c>
      <c r="M229" s="217"/>
      <c r="N229" s="298"/>
      <c r="O229" s="233">
        <f t="shared" si="70"/>
        <v>7898.9400000000005</v>
      </c>
      <c r="P229" s="270"/>
      <c r="Q229" s="48">
        <f t="shared" si="59"/>
        <v>7898.9400000000005</v>
      </c>
    </row>
    <row r="230" spans="1:17" ht="12.75">
      <c r="A230" s="8" t="s">
        <v>99</v>
      </c>
      <c r="B230" s="63"/>
      <c r="C230" s="113">
        <f aca="true" t="shared" si="71" ref="C230:Q230">C231+C242</f>
        <v>416450.8</v>
      </c>
      <c r="D230" s="74">
        <f t="shared" si="71"/>
        <v>70155.5</v>
      </c>
      <c r="E230" s="167">
        <f t="shared" si="71"/>
        <v>0</v>
      </c>
      <c r="F230" s="179">
        <f t="shared" si="71"/>
        <v>486606.3</v>
      </c>
      <c r="G230" s="210">
        <f t="shared" si="71"/>
        <v>67616.26</v>
      </c>
      <c r="H230" s="234">
        <f t="shared" si="71"/>
        <v>0</v>
      </c>
      <c r="I230" s="182">
        <f t="shared" si="71"/>
        <v>554222.5599999999</v>
      </c>
      <c r="J230" s="182">
        <f t="shared" si="71"/>
        <v>1360.89</v>
      </c>
      <c r="K230" s="275">
        <f t="shared" si="71"/>
        <v>0</v>
      </c>
      <c r="L230" s="182">
        <f t="shared" si="71"/>
        <v>555583.45</v>
      </c>
      <c r="M230" s="210">
        <f t="shared" si="71"/>
        <v>32307.949999999997</v>
      </c>
      <c r="N230" s="291">
        <f t="shared" si="71"/>
        <v>39300</v>
      </c>
      <c r="O230" s="234">
        <f t="shared" si="71"/>
        <v>627191.3999999999</v>
      </c>
      <c r="P230" s="98">
        <f t="shared" si="71"/>
        <v>0</v>
      </c>
      <c r="Q230" s="73">
        <f t="shared" si="71"/>
        <v>607539.0099999999</v>
      </c>
    </row>
    <row r="231" spans="1:17" ht="12.75">
      <c r="A231" s="17" t="s">
        <v>54</v>
      </c>
      <c r="B231" s="63"/>
      <c r="C231" s="131">
        <f aca="true" t="shared" si="72" ref="C231:Q231">SUM(C233:C241)</f>
        <v>416180.8</v>
      </c>
      <c r="D231" s="82">
        <f t="shared" si="72"/>
        <v>70155.5</v>
      </c>
      <c r="E231" s="171">
        <f t="shared" si="72"/>
        <v>0</v>
      </c>
      <c r="F231" s="201">
        <f t="shared" si="72"/>
        <v>486336.3</v>
      </c>
      <c r="G231" s="215">
        <f t="shared" si="72"/>
        <v>60159.07</v>
      </c>
      <c r="H231" s="239">
        <f t="shared" si="72"/>
        <v>0</v>
      </c>
      <c r="I231" s="185">
        <f t="shared" si="72"/>
        <v>546495.37</v>
      </c>
      <c r="J231" s="185">
        <f t="shared" si="72"/>
        <v>1360.89</v>
      </c>
      <c r="K231" s="280">
        <f t="shared" si="72"/>
        <v>0</v>
      </c>
      <c r="L231" s="185">
        <f t="shared" si="72"/>
        <v>547856.26</v>
      </c>
      <c r="M231" s="215">
        <f t="shared" si="72"/>
        <v>32307.949999999997</v>
      </c>
      <c r="N231" s="296">
        <f t="shared" si="72"/>
        <v>39300</v>
      </c>
      <c r="O231" s="239">
        <f t="shared" si="72"/>
        <v>619464.21</v>
      </c>
      <c r="P231" s="123">
        <f t="shared" si="72"/>
        <v>0</v>
      </c>
      <c r="Q231" s="81">
        <f t="shared" si="72"/>
        <v>600081.82</v>
      </c>
    </row>
    <row r="232" spans="1:17" ht="12.75">
      <c r="A232" s="13" t="s">
        <v>27</v>
      </c>
      <c r="B232" s="59"/>
      <c r="C232" s="106"/>
      <c r="D232" s="75"/>
      <c r="E232" s="168"/>
      <c r="F232" s="179"/>
      <c r="G232" s="211"/>
      <c r="H232" s="235"/>
      <c r="I232" s="182"/>
      <c r="J232" s="181"/>
      <c r="K232" s="276"/>
      <c r="L232" s="182"/>
      <c r="M232" s="211"/>
      <c r="N232" s="292"/>
      <c r="O232" s="234"/>
      <c r="P232" s="112"/>
      <c r="Q232" s="46"/>
    </row>
    <row r="233" spans="1:17" ht="12.75">
      <c r="A233" s="10" t="s">
        <v>82</v>
      </c>
      <c r="B233" s="59"/>
      <c r="C233" s="106">
        <v>230584</v>
      </c>
      <c r="D233" s="75">
        <f>2075+135</f>
        <v>2210</v>
      </c>
      <c r="E233" s="168"/>
      <c r="F233" s="198">
        <f aca="true" t="shared" si="73" ref="F233:F241">C233+D233+E233</f>
        <v>232794</v>
      </c>
      <c r="G233" s="211"/>
      <c r="H233" s="235"/>
      <c r="I233" s="181">
        <f aca="true" t="shared" si="74" ref="I233:I241">F233+G233+H233</f>
        <v>232794</v>
      </c>
      <c r="J233" s="181"/>
      <c r="K233" s="276"/>
      <c r="L233" s="181">
        <f aca="true" t="shared" si="75" ref="L233:L241">I233+J233+K233</f>
        <v>232794</v>
      </c>
      <c r="M233" s="211">
        <f>30500</f>
        <v>30500</v>
      </c>
      <c r="N233" s="292">
        <f>-700-2075+515</f>
        <v>-2260</v>
      </c>
      <c r="O233" s="235">
        <f aca="true" t="shared" si="76" ref="O233:O241">L233+M233+N233</f>
        <v>261034</v>
      </c>
      <c r="P233" s="112"/>
      <c r="Q233" s="46">
        <f>O233+P233</f>
        <v>261034</v>
      </c>
    </row>
    <row r="234" spans="1:17" ht="12.75">
      <c r="A234" s="60" t="s">
        <v>230</v>
      </c>
      <c r="B234" s="59"/>
      <c r="C234" s="106">
        <v>29670</v>
      </c>
      <c r="D234" s="75">
        <f>16015.5+1661-2075-10-300</f>
        <v>15291.5</v>
      </c>
      <c r="E234" s="168"/>
      <c r="F234" s="198">
        <f t="shared" si="73"/>
        <v>44961.5</v>
      </c>
      <c r="G234" s="211"/>
      <c r="H234" s="235"/>
      <c r="I234" s="181">
        <f t="shared" si="74"/>
        <v>44961.5</v>
      </c>
      <c r="J234" s="181"/>
      <c r="K234" s="276"/>
      <c r="L234" s="181">
        <f t="shared" si="75"/>
        <v>44961.5</v>
      </c>
      <c r="M234" s="211">
        <f>-30500</f>
        <v>-30500</v>
      </c>
      <c r="N234" s="292">
        <f>2075-515</f>
        <v>1560</v>
      </c>
      <c r="O234" s="235">
        <f t="shared" si="76"/>
        <v>16021.5</v>
      </c>
      <c r="P234" s="112"/>
      <c r="Q234" s="46"/>
    </row>
    <row r="235" spans="1:17" ht="12.75">
      <c r="A235" s="15" t="s">
        <v>69</v>
      </c>
      <c r="B235" s="59"/>
      <c r="C235" s="106">
        <v>90000</v>
      </c>
      <c r="D235" s="75">
        <f>600</f>
        <v>600</v>
      </c>
      <c r="E235" s="168">
        <v>90000</v>
      </c>
      <c r="F235" s="198">
        <f t="shared" si="73"/>
        <v>180600</v>
      </c>
      <c r="G235" s="211">
        <f>56000</f>
        <v>56000</v>
      </c>
      <c r="H235" s="235"/>
      <c r="I235" s="181">
        <f t="shared" si="74"/>
        <v>236600</v>
      </c>
      <c r="J235" s="181"/>
      <c r="K235" s="276"/>
      <c r="L235" s="181">
        <f t="shared" si="75"/>
        <v>236600</v>
      </c>
      <c r="M235" s="211">
        <f>24049.6+8258.35</f>
        <v>32307.949999999997</v>
      </c>
      <c r="N235" s="292">
        <f>40000</f>
        <v>40000</v>
      </c>
      <c r="O235" s="235">
        <f t="shared" si="76"/>
        <v>308907.95</v>
      </c>
      <c r="P235" s="112"/>
      <c r="Q235" s="46">
        <f>O235+P235</f>
        <v>308907.95</v>
      </c>
    </row>
    <row r="236" spans="1:17" ht="12.75">
      <c r="A236" s="15" t="s">
        <v>189</v>
      </c>
      <c r="B236" s="59"/>
      <c r="C236" s="106">
        <v>40000</v>
      </c>
      <c r="D236" s="86">
        <f>50000</f>
        <v>50000</v>
      </c>
      <c r="E236" s="168">
        <v>-90000</v>
      </c>
      <c r="F236" s="198">
        <f t="shared" si="73"/>
        <v>0</v>
      </c>
      <c r="G236" s="211"/>
      <c r="H236" s="235"/>
      <c r="I236" s="181">
        <f t="shared" si="74"/>
        <v>0</v>
      </c>
      <c r="J236" s="181"/>
      <c r="K236" s="276"/>
      <c r="L236" s="181">
        <f t="shared" si="75"/>
        <v>0</v>
      </c>
      <c r="M236" s="211"/>
      <c r="N236" s="292"/>
      <c r="O236" s="235">
        <f t="shared" si="76"/>
        <v>0</v>
      </c>
      <c r="P236" s="112"/>
      <c r="Q236" s="46"/>
    </row>
    <row r="237" spans="1:17" ht="12.75">
      <c r="A237" s="15" t="s">
        <v>56</v>
      </c>
      <c r="B237" s="59"/>
      <c r="C237" s="108">
        <v>25926.8</v>
      </c>
      <c r="D237" s="75">
        <f>690+300+500+100+289-125+300</f>
        <v>2054</v>
      </c>
      <c r="E237" s="168"/>
      <c r="F237" s="198">
        <f t="shared" si="73"/>
        <v>27980.8</v>
      </c>
      <c r="G237" s="211">
        <f>351+1638.07</f>
        <v>1989.07</v>
      </c>
      <c r="H237" s="235"/>
      <c r="I237" s="181">
        <f t="shared" si="74"/>
        <v>29969.87</v>
      </c>
      <c r="J237" s="181"/>
      <c r="K237" s="276"/>
      <c r="L237" s="181">
        <f t="shared" si="75"/>
        <v>29969.87</v>
      </c>
      <c r="M237" s="211"/>
      <c r="N237" s="292"/>
      <c r="O237" s="235">
        <f t="shared" si="76"/>
        <v>29969.87</v>
      </c>
      <c r="P237" s="112"/>
      <c r="Q237" s="46">
        <f>O237+P237</f>
        <v>29969.87</v>
      </c>
    </row>
    <row r="238" spans="1:17" ht="12.75" hidden="1">
      <c r="A238" s="15" t="s">
        <v>86</v>
      </c>
      <c r="B238" s="59"/>
      <c r="C238" s="108"/>
      <c r="D238" s="75"/>
      <c r="E238" s="168"/>
      <c r="F238" s="198">
        <f t="shared" si="73"/>
        <v>0</v>
      </c>
      <c r="G238" s="211"/>
      <c r="H238" s="235"/>
      <c r="I238" s="181">
        <f t="shared" si="74"/>
        <v>0</v>
      </c>
      <c r="J238" s="181"/>
      <c r="K238" s="276"/>
      <c r="L238" s="181">
        <f t="shared" si="75"/>
        <v>0</v>
      </c>
      <c r="M238" s="211"/>
      <c r="N238" s="292"/>
      <c r="O238" s="235">
        <f t="shared" si="76"/>
        <v>0</v>
      </c>
      <c r="P238" s="112"/>
      <c r="Q238" s="46">
        <f>O238+P238</f>
        <v>0</v>
      </c>
    </row>
    <row r="239" spans="1:17" ht="12.75">
      <c r="A239" s="15" t="s">
        <v>333</v>
      </c>
      <c r="B239" s="59">
        <v>35018</v>
      </c>
      <c r="C239" s="108"/>
      <c r="D239" s="75"/>
      <c r="E239" s="168"/>
      <c r="F239" s="198">
        <f t="shared" si="73"/>
        <v>0</v>
      </c>
      <c r="G239" s="211">
        <f>2000</f>
        <v>2000</v>
      </c>
      <c r="H239" s="235"/>
      <c r="I239" s="181">
        <f t="shared" si="74"/>
        <v>2000</v>
      </c>
      <c r="J239" s="181">
        <f>1360.89</f>
        <v>1360.89</v>
      </c>
      <c r="K239" s="276"/>
      <c r="L239" s="181">
        <f t="shared" si="75"/>
        <v>3360.8900000000003</v>
      </c>
      <c r="M239" s="211"/>
      <c r="N239" s="292"/>
      <c r="O239" s="235">
        <f t="shared" si="76"/>
        <v>3360.8900000000003</v>
      </c>
      <c r="P239" s="112"/>
      <c r="Q239" s="46"/>
    </row>
    <row r="240" spans="1:17" ht="12.75" hidden="1">
      <c r="A240" s="15" t="s">
        <v>151</v>
      </c>
      <c r="B240" s="59"/>
      <c r="C240" s="108"/>
      <c r="D240" s="75"/>
      <c r="E240" s="168"/>
      <c r="F240" s="198">
        <f t="shared" si="73"/>
        <v>0</v>
      </c>
      <c r="G240" s="211"/>
      <c r="H240" s="235"/>
      <c r="I240" s="181">
        <f t="shared" si="74"/>
        <v>0</v>
      </c>
      <c r="J240" s="181"/>
      <c r="K240" s="276"/>
      <c r="L240" s="181">
        <f t="shared" si="75"/>
        <v>0</v>
      </c>
      <c r="M240" s="211"/>
      <c r="N240" s="292"/>
      <c r="O240" s="235">
        <f t="shared" si="76"/>
        <v>0</v>
      </c>
      <c r="P240" s="112"/>
      <c r="Q240" s="46">
        <f>O240+P240</f>
        <v>0</v>
      </c>
    </row>
    <row r="241" spans="1:17" ht="12.75">
      <c r="A241" s="15" t="s">
        <v>100</v>
      </c>
      <c r="B241" s="59">
        <v>35063</v>
      </c>
      <c r="C241" s="106"/>
      <c r="D241" s="75"/>
      <c r="E241" s="168"/>
      <c r="F241" s="198">
        <f t="shared" si="73"/>
        <v>0</v>
      </c>
      <c r="G241" s="211">
        <f>170</f>
        <v>170</v>
      </c>
      <c r="H241" s="235"/>
      <c r="I241" s="181">
        <f t="shared" si="74"/>
        <v>170</v>
      </c>
      <c r="J241" s="181"/>
      <c r="K241" s="276"/>
      <c r="L241" s="181">
        <f t="shared" si="75"/>
        <v>170</v>
      </c>
      <c r="M241" s="211"/>
      <c r="N241" s="292"/>
      <c r="O241" s="235">
        <f t="shared" si="76"/>
        <v>170</v>
      </c>
      <c r="P241" s="112"/>
      <c r="Q241" s="46">
        <f>O241+P241</f>
        <v>170</v>
      </c>
    </row>
    <row r="242" spans="1:17" ht="12.75">
      <c r="A242" s="17" t="s">
        <v>59</v>
      </c>
      <c r="B242" s="63"/>
      <c r="C242" s="131">
        <f>SUM(C244:C248)</f>
        <v>270</v>
      </c>
      <c r="D242" s="82">
        <f aca="true" t="shared" si="77" ref="D242:Q242">SUM(D244:D248)</f>
        <v>0</v>
      </c>
      <c r="E242" s="171">
        <f t="shared" si="77"/>
        <v>0</v>
      </c>
      <c r="F242" s="201">
        <f t="shared" si="77"/>
        <v>270</v>
      </c>
      <c r="G242" s="215">
        <f t="shared" si="77"/>
        <v>7457.19</v>
      </c>
      <c r="H242" s="239">
        <f t="shared" si="77"/>
        <v>0</v>
      </c>
      <c r="I242" s="185">
        <f t="shared" si="77"/>
        <v>7727.19</v>
      </c>
      <c r="J242" s="185">
        <f t="shared" si="77"/>
        <v>0</v>
      </c>
      <c r="K242" s="280">
        <f t="shared" si="77"/>
        <v>0</v>
      </c>
      <c r="L242" s="185">
        <f t="shared" si="77"/>
        <v>7727.19</v>
      </c>
      <c r="M242" s="215">
        <f t="shared" si="77"/>
        <v>0</v>
      </c>
      <c r="N242" s="296">
        <f t="shared" si="77"/>
        <v>0</v>
      </c>
      <c r="O242" s="239">
        <f t="shared" si="77"/>
        <v>7727.19</v>
      </c>
      <c r="P242" s="123">
        <f t="shared" si="77"/>
        <v>0</v>
      </c>
      <c r="Q242" s="81">
        <f t="shared" si="77"/>
        <v>7457.19</v>
      </c>
    </row>
    <row r="243" spans="1:17" ht="12.75">
      <c r="A243" s="13" t="s">
        <v>27</v>
      </c>
      <c r="B243" s="59"/>
      <c r="C243" s="106"/>
      <c r="D243" s="75"/>
      <c r="E243" s="168"/>
      <c r="F243" s="198"/>
      <c r="G243" s="211"/>
      <c r="H243" s="235"/>
      <c r="I243" s="181"/>
      <c r="J243" s="181"/>
      <c r="K243" s="276"/>
      <c r="L243" s="181"/>
      <c r="M243" s="211"/>
      <c r="N243" s="292"/>
      <c r="O243" s="235"/>
      <c r="P243" s="112"/>
      <c r="Q243" s="46"/>
    </row>
    <row r="244" spans="1:17" ht="12.75">
      <c r="A244" s="15" t="s">
        <v>60</v>
      </c>
      <c r="B244" s="59"/>
      <c r="C244" s="106">
        <v>270</v>
      </c>
      <c r="D244" s="75"/>
      <c r="E244" s="168"/>
      <c r="F244" s="198">
        <f>C244+D244+E244</f>
        <v>270</v>
      </c>
      <c r="G244" s="211"/>
      <c r="H244" s="235"/>
      <c r="I244" s="181">
        <f>F244+G244+H244</f>
        <v>270</v>
      </c>
      <c r="J244" s="181"/>
      <c r="K244" s="276"/>
      <c r="L244" s="181">
        <f>I244+J244+K244</f>
        <v>270</v>
      </c>
      <c r="M244" s="211"/>
      <c r="N244" s="292"/>
      <c r="O244" s="235">
        <f>L244+M244+N244</f>
        <v>270</v>
      </c>
      <c r="P244" s="112"/>
      <c r="Q244" s="46"/>
    </row>
    <row r="245" spans="1:17" ht="12.75" hidden="1">
      <c r="A245" s="15" t="s">
        <v>276</v>
      </c>
      <c r="B245" s="59"/>
      <c r="C245" s="106"/>
      <c r="D245" s="75"/>
      <c r="E245" s="168"/>
      <c r="F245" s="198">
        <f>C245+D245+E245</f>
        <v>0</v>
      </c>
      <c r="G245" s="211"/>
      <c r="H245" s="235"/>
      <c r="I245" s="181">
        <f>F245+G245+H245</f>
        <v>0</v>
      </c>
      <c r="J245" s="181"/>
      <c r="K245" s="276"/>
      <c r="L245" s="181">
        <f>I245+J245+K245</f>
        <v>0</v>
      </c>
      <c r="M245" s="211"/>
      <c r="N245" s="292"/>
      <c r="O245" s="235"/>
      <c r="P245" s="112"/>
      <c r="Q245" s="46"/>
    </row>
    <row r="246" spans="1:17" ht="12.75" hidden="1">
      <c r="A246" s="15" t="s">
        <v>74</v>
      </c>
      <c r="B246" s="59"/>
      <c r="C246" s="106"/>
      <c r="D246" s="75"/>
      <c r="E246" s="168"/>
      <c r="F246" s="198">
        <f>C246+D246+E246</f>
        <v>0</v>
      </c>
      <c r="G246" s="211"/>
      <c r="H246" s="235"/>
      <c r="I246" s="181">
        <f>F246+G246+H246</f>
        <v>0</v>
      </c>
      <c r="J246" s="181"/>
      <c r="K246" s="276"/>
      <c r="L246" s="181">
        <f>I246+J246+K246</f>
        <v>0</v>
      </c>
      <c r="M246" s="211"/>
      <c r="N246" s="292"/>
      <c r="O246" s="235">
        <f>L246+M246+N246</f>
        <v>0</v>
      </c>
      <c r="P246" s="112"/>
      <c r="Q246" s="46">
        <f>O246+P246</f>
        <v>0</v>
      </c>
    </row>
    <row r="247" spans="1:17" ht="12.75" hidden="1">
      <c r="A247" s="15" t="s">
        <v>237</v>
      </c>
      <c r="B247" s="59"/>
      <c r="C247" s="106"/>
      <c r="D247" s="75"/>
      <c r="E247" s="168"/>
      <c r="F247" s="198">
        <f>C247+D247+E247</f>
        <v>0</v>
      </c>
      <c r="G247" s="211"/>
      <c r="H247" s="235"/>
      <c r="I247" s="181">
        <f>F247+G247+H247</f>
        <v>0</v>
      </c>
      <c r="J247" s="187"/>
      <c r="K247" s="282"/>
      <c r="L247" s="187">
        <f>I247+J247+K247</f>
        <v>0</v>
      </c>
      <c r="M247" s="217"/>
      <c r="N247" s="298"/>
      <c r="O247" s="233">
        <f>L247+M247+N247</f>
        <v>0</v>
      </c>
      <c r="P247" s="270"/>
      <c r="Q247" s="48">
        <f>O247+P247</f>
        <v>0</v>
      </c>
    </row>
    <row r="248" spans="1:17" ht="12.75">
      <c r="A248" s="14" t="s">
        <v>86</v>
      </c>
      <c r="B248" s="62"/>
      <c r="C248" s="132"/>
      <c r="D248" s="83"/>
      <c r="E248" s="192"/>
      <c r="F248" s="203">
        <f>C248+D248+E248</f>
        <v>0</v>
      </c>
      <c r="G248" s="217">
        <f>7457.19</f>
        <v>7457.19</v>
      </c>
      <c r="H248" s="233"/>
      <c r="I248" s="187">
        <f>F248+G248+H248</f>
        <v>7457.19</v>
      </c>
      <c r="J248" s="187"/>
      <c r="K248" s="282"/>
      <c r="L248" s="187">
        <f>I248+J248+K248</f>
        <v>7457.19</v>
      </c>
      <c r="M248" s="217"/>
      <c r="N248" s="298"/>
      <c r="O248" s="233">
        <f>L248+M248+N248</f>
        <v>7457.19</v>
      </c>
      <c r="P248" s="270"/>
      <c r="Q248" s="48">
        <f>O248+P248</f>
        <v>7457.19</v>
      </c>
    </row>
    <row r="249" spans="1:17" ht="12.75">
      <c r="A249" s="23" t="s">
        <v>101</v>
      </c>
      <c r="B249" s="64"/>
      <c r="C249" s="100">
        <f aca="true" t="shared" si="78" ref="C249:Q249">C250+C261</f>
        <v>189018.5</v>
      </c>
      <c r="D249" s="78">
        <f t="shared" si="78"/>
        <v>20284.020000000004</v>
      </c>
      <c r="E249" s="169">
        <f t="shared" si="78"/>
        <v>0</v>
      </c>
      <c r="F249" s="199">
        <f t="shared" si="78"/>
        <v>209302.52</v>
      </c>
      <c r="G249" s="213">
        <f t="shared" si="78"/>
        <v>4724.4</v>
      </c>
      <c r="H249" s="237">
        <f t="shared" si="78"/>
        <v>0</v>
      </c>
      <c r="I249" s="183">
        <f t="shared" si="78"/>
        <v>214026.91999999998</v>
      </c>
      <c r="J249" s="183">
        <f t="shared" si="78"/>
        <v>2400.25</v>
      </c>
      <c r="K249" s="278">
        <f t="shared" si="78"/>
        <v>0</v>
      </c>
      <c r="L249" s="183">
        <f t="shared" si="78"/>
        <v>216427.16999999998</v>
      </c>
      <c r="M249" s="213">
        <f t="shared" si="78"/>
        <v>305.5</v>
      </c>
      <c r="N249" s="294">
        <f t="shared" si="78"/>
        <v>0</v>
      </c>
      <c r="O249" s="237">
        <f t="shared" si="78"/>
        <v>216732.66999999998</v>
      </c>
      <c r="P249" s="121">
        <f t="shared" si="78"/>
        <v>0</v>
      </c>
      <c r="Q249" s="77">
        <f t="shared" si="78"/>
        <v>216020.66999999998</v>
      </c>
    </row>
    <row r="250" spans="1:17" ht="12.75">
      <c r="A250" s="17" t="s">
        <v>54</v>
      </c>
      <c r="B250" s="63"/>
      <c r="C250" s="131">
        <f aca="true" t="shared" si="79" ref="C250:Q250">SUM(C252:C260)</f>
        <v>189018.5</v>
      </c>
      <c r="D250" s="82">
        <f t="shared" si="79"/>
        <v>20284.020000000004</v>
      </c>
      <c r="E250" s="171">
        <f t="shared" si="79"/>
        <v>0</v>
      </c>
      <c r="F250" s="201">
        <f t="shared" si="79"/>
        <v>209302.52</v>
      </c>
      <c r="G250" s="215">
        <f t="shared" si="79"/>
        <v>964.4000000000001</v>
      </c>
      <c r="H250" s="239">
        <f t="shared" si="79"/>
        <v>0</v>
      </c>
      <c r="I250" s="185">
        <f t="shared" si="79"/>
        <v>210266.91999999998</v>
      </c>
      <c r="J250" s="185">
        <f t="shared" si="79"/>
        <v>2300.25</v>
      </c>
      <c r="K250" s="280">
        <f t="shared" si="79"/>
        <v>0</v>
      </c>
      <c r="L250" s="185">
        <f t="shared" si="79"/>
        <v>212567.16999999998</v>
      </c>
      <c r="M250" s="215">
        <f t="shared" si="79"/>
        <v>53.5</v>
      </c>
      <c r="N250" s="296">
        <f t="shared" si="79"/>
        <v>0</v>
      </c>
      <c r="O250" s="239">
        <f t="shared" si="79"/>
        <v>212620.66999999998</v>
      </c>
      <c r="P250" s="123">
        <f t="shared" si="79"/>
        <v>0</v>
      </c>
      <c r="Q250" s="81">
        <f t="shared" si="79"/>
        <v>212160.66999999998</v>
      </c>
    </row>
    <row r="251" spans="1:17" ht="12.75">
      <c r="A251" s="13" t="s">
        <v>27</v>
      </c>
      <c r="B251" s="59"/>
      <c r="C251" s="106"/>
      <c r="D251" s="75"/>
      <c r="E251" s="168"/>
      <c r="F251" s="198"/>
      <c r="G251" s="211"/>
      <c r="H251" s="235"/>
      <c r="I251" s="181"/>
      <c r="J251" s="181"/>
      <c r="K251" s="276"/>
      <c r="L251" s="181"/>
      <c r="M251" s="211"/>
      <c r="N251" s="292"/>
      <c r="O251" s="235"/>
      <c r="P251" s="112"/>
      <c r="Q251" s="46"/>
    </row>
    <row r="252" spans="1:17" ht="12.75">
      <c r="A252" s="15" t="s">
        <v>82</v>
      </c>
      <c r="B252" s="59"/>
      <c r="C252" s="106">
        <v>165134.5</v>
      </c>
      <c r="D252" s="75">
        <f>40+10015.44+8360+100+474+100+360</f>
        <v>19449.440000000002</v>
      </c>
      <c r="E252" s="168"/>
      <c r="F252" s="198">
        <f aca="true" t="shared" si="80" ref="F252:F260">C252+D252+E252</f>
        <v>184583.94</v>
      </c>
      <c r="G252" s="211">
        <f>-1360+526.4+300</f>
        <v>-533.6</v>
      </c>
      <c r="H252" s="235"/>
      <c r="I252" s="181">
        <f>F252+G252+H252</f>
        <v>184050.34</v>
      </c>
      <c r="J252" s="181">
        <f>-100+700.25</f>
        <v>600.25</v>
      </c>
      <c r="K252" s="276"/>
      <c r="L252" s="181">
        <f>I252+J252+K252</f>
        <v>184650.59</v>
      </c>
      <c r="M252" s="211">
        <f>-6300</f>
        <v>-6300</v>
      </c>
      <c r="N252" s="292"/>
      <c r="O252" s="235">
        <f>L252+M252+N252</f>
        <v>178350.59</v>
      </c>
      <c r="P252" s="112"/>
      <c r="Q252" s="46">
        <f aca="true" t="shared" si="81" ref="Q252:Q260">O252+P252</f>
        <v>178350.59</v>
      </c>
    </row>
    <row r="253" spans="1:17" ht="12.75">
      <c r="A253" s="15" t="s">
        <v>56</v>
      </c>
      <c r="B253" s="59"/>
      <c r="C253" s="106">
        <v>20590</v>
      </c>
      <c r="D253" s="75">
        <f>-5122+67.75-75+130+376.83-25</f>
        <v>-4647.42</v>
      </c>
      <c r="E253" s="168"/>
      <c r="F253" s="198">
        <f t="shared" si="80"/>
        <v>15942.58</v>
      </c>
      <c r="G253" s="211">
        <f>600-1110-335</f>
        <v>-845</v>
      </c>
      <c r="H253" s="235"/>
      <c r="I253" s="181">
        <f aca="true" t="shared" si="82" ref="I253:I260">F253+G253+H253</f>
        <v>15097.58</v>
      </c>
      <c r="J253" s="181">
        <v>1200</v>
      </c>
      <c r="K253" s="276"/>
      <c r="L253" s="181">
        <f aca="true" t="shared" si="83" ref="L253:L260">I253+J253+K253</f>
        <v>16297.58</v>
      </c>
      <c r="M253" s="211">
        <f>6300+3.5+50</f>
        <v>6353.5</v>
      </c>
      <c r="N253" s="292"/>
      <c r="O253" s="235">
        <f aca="true" t="shared" si="84" ref="O253:O260">L253+M253+N253</f>
        <v>22651.08</v>
      </c>
      <c r="P253" s="112"/>
      <c r="Q253" s="46">
        <f t="shared" si="81"/>
        <v>22651.08</v>
      </c>
    </row>
    <row r="254" spans="1:17" ht="12.75">
      <c r="A254" s="15" t="s">
        <v>143</v>
      </c>
      <c r="B254" s="59"/>
      <c r="C254" s="106">
        <v>3294</v>
      </c>
      <c r="D254" s="75">
        <f>25</f>
        <v>25</v>
      </c>
      <c r="E254" s="168"/>
      <c r="F254" s="198">
        <f t="shared" si="80"/>
        <v>3319</v>
      </c>
      <c r="G254" s="211"/>
      <c r="H254" s="235"/>
      <c r="I254" s="181">
        <f t="shared" si="82"/>
        <v>3319</v>
      </c>
      <c r="J254" s="181"/>
      <c r="K254" s="276"/>
      <c r="L254" s="181">
        <f t="shared" si="83"/>
        <v>3319</v>
      </c>
      <c r="M254" s="211"/>
      <c r="N254" s="292"/>
      <c r="O254" s="235">
        <f t="shared" si="84"/>
        <v>3319</v>
      </c>
      <c r="P254" s="112"/>
      <c r="Q254" s="46">
        <f t="shared" si="81"/>
        <v>3319</v>
      </c>
    </row>
    <row r="255" spans="1:17" ht="12.75">
      <c r="A255" s="15" t="s">
        <v>70</v>
      </c>
      <c r="B255" s="59"/>
      <c r="C255" s="106"/>
      <c r="D255" s="75">
        <f>5122+335</f>
        <v>5457</v>
      </c>
      <c r="E255" s="168"/>
      <c r="F255" s="198">
        <f t="shared" si="80"/>
        <v>5457</v>
      </c>
      <c r="G255" s="211">
        <f>1110+335</f>
        <v>1445</v>
      </c>
      <c r="H255" s="235"/>
      <c r="I255" s="181">
        <f t="shared" si="82"/>
        <v>6902</v>
      </c>
      <c r="J255" s="181"/>
      <c r="K255" s="276"/>
      <c r="L255" s="181">
        <f t="shared" si="83"/>
        <v>6902</v>
      </c>
      <c r="M255" s="211"/>
      <c r="N255" s="292"/>
      <c r="O255" s="235">
        <f t="shared" si="84"/>
        <v>6902</v>
      </c>
      <c r="P255" s="112"/>
      <c r="Q255" s="46">
        <f t="shared" si="81"/>
        <v>6902</v>
      </c>
    </row>
    <row r="256" spans="1:17" ht="12.75">
      <c r="A256" s="15" t="s">
        <v>102</v>
      </c>
      <c r="B256" s="59">
        <v>34070</v>
      </c>
      <c r="C256" s="106"/>
      <c r="D256" s="75"/>
      <c r="E256" s="168"/>
      <c r="F256" s="198">
        <f t="shared" si="80"/>
        <v>0</v>
      </c>
      <c r="G256" s="211">
        <f>150+340+88</f>
        <v>578</v>
      </c>
      <c r="H256" s="235"/>
      <c r="I256" s="181">
        <f t="shared" si="82"/>
        <v>578</v>
      </c>
      <c r="J256" s="181">
        <f>40</f>
        <v>40</v>
      </c>
      <c r="K256" s="276"/>
      <c r="L256" s="181">
        <f t="shared" si="83"/>
        <v>618</v>
      </c>
      <c r="M256" s="211"/>
      <c r="N256" s="292"/>
      <c r="O256" s="235">
        <f t="shared" si="84"/>
        <v>618</v>
      </c>
      <c r="P256" s="112"/>
      <c r="Q256" s="46">
        <f t="shared" si="81"/>
        <v>618</v>
      </c>
    </row>
    <row r="257" spans="1:17" ht="13.5" thickBot="1">
      <c r="A257" s="105" t="s">
        <v>103</v>
      </c>
      <c r="B257" s="103">
        <v>34053</v>
      </c>
      <c r="C257" s="134"/>
      <c r="D257" s="104"/>
      <c r="E257" s="193"/>
      <c r="F257" s="204">
        <f t="shared" si="80"/>
        <v>0</v>
      </c>
      <c r="G257" s="317">
        <f>320</f>
        <v>320</v>
      </c>
      <c r="H257" s="318"/>
      <c r="I257" s="319">
        <f t="shared" si="82"/>
        <v>320</v>
      </c>
      <c r="J257" s="319"/>
      <c r="K257" s="320"/>
      <c r="L257" s="319">
        <f t="shared" si="83"/>
        <v>320</v>
      </c>
      <c r="M257" s="317"/>
      <c r="N257" s="321"/>
      <c r="O257" s="318">
        <f t="shared" si="84"/>
        <v>320</v>
      </c>
      <c r="P257" s="112"/>
      <c r="Q257" s="46">
        <f t="shared" si="81"/>
        <v>320</v>
      </c>
    </row>
    <row r="258" spans="1:17" ht="12.75">
      <c r="A258" s="15" t="s">
        <v>345</v>
      </c>
      <c r="B258" s="59">
        <v>34013</v>
      </c>
      <c r="C258" s="106"/>
      <c r="D258" s="75"/>
      <c r="E258" s="168"/>
      <c r="F258" s="198"/>
      <c r="G258" s="211"/>
      <c r="H258" s="235"/>
      <c r="I258" s="181">
        <f t="shared" si="82"/>
        <v>0</v>
      </c>
      <c r="J258" s="181">
        <f>114+100+107</f>
        <v>321</v>
      </c>
      <c r="K258" s="276"/>
      <c r="L258" s="181">
        <f t="shared" si="83"/>
        <v>321</v>
      </c>
      <c r="M258" s="211"/>
      <c r="N258" s="292"/>
      <c r="O258" s="235">
        <f t="shared" si="84"/>
        <v>321</v>
      </c>
      <c r="P258" s="112"/>
      <c r="Q258" s="46"/>
    </row>
    <row r="259" spans="1:17" ht="12.75">
      <c r="A259" s="15" t="s">
        <v>346</v>
      </c>
      <c r="B259" s="59">
        <v>34019</v>
      </c>
      <c r="C259" s="106"/>
      <c r="D259" s="75"/>
      <c r="E259" s="168"/>
      <c r="F259" s="198"/>
      <c r="G259" s="211"/>
      <c r="H259" s="235"/>
      <c r="I259" s="181">
        <f t="shared" si="82"/>
        <v>0</v>
      </c>
      <c r="J259" s="181">
        <f>32+107</f>
        <v>139</v>
      </c>
      <c r="K259" s="276"/>
      <c r="L259" s="181">
        <f t="shared" si="83"/>
        <v>139</v>
      </c>
      <c r="M259" s="211"/>
      <c r="N259" s="292"/>
      <c r="O259" s="235">
        <f t="shared" si="84"/>
        <v>139</v>
      </c>
      <c r="P259" s="112"/>
      <c r="Q259" s="46"/>
    </row>
    <row r="260" spans="1:17" ht="12.75" hidden="1">
      <c r="A260" s="15" t="s">
        <v>86</v>
      </c>
      <c r="B260" s="59"/>
      <c r="C260" s="106"/>
      <c r="D260" s="75"/>
      <c r="E260" s="168"/>
      <c r="F260" s="198">
        <f t="shared" si="80"/>
        <v>0</v>
      </c>
      <c r="G260" s="211"/>
      <c r="H260" s="235"/>
      <c r="I260" s="181">
        <f t="shared" si="82"/>
        <v>0</v>
      </c>
      <c r="J260" s="181"/>
      <c r="K260" s="276"/>
      <c r="L260" s="181">
        <f t="shared" si="83"/>
        <v>0</v>
      </c>
      <c r="M260" s="211"/>
      <c r="N260" s="292"/>
      <c r="O260" s="235">
        <f t="shared" si="84"/>
        <v>0</v>
      </c>
      <c r="P260" s="112"/>
      <c r="Q260" s="46">
        <f t="shared" si="81"/>
        <v>0</v>
      </c>
    </row>
    <row r="261" spans="1:17" ht="12.75">
      <c r="A261" s="17" t="s">
        <v>59</v>
      </c>
      <c r="B261" s="63"/>
      <c r="C261" s="131">
        <f>SUM(C263:C267)</f>
        <v>0</v>
      </c>
      <c r="D261" s="82">
        <f aca="true" t="shared" si="85" ref="D261:Q261">SUM(D263:D267)</f>
        <v>0</v>
      </c>
      <c r="E261" s="171">
        <f t="shared" si="85"/>
        <v>0</v>
      </c>
      <c r="F261" s="201">
        <f t="shared" si="85"/>
        <v>0</v>
      </c>
      <c r="G261" s="215">
        <f t="shared" si="85"/>
        <v>3760</v>
      </c>
      <c r="H261" s="239">
        <f t="shared" si="85"/>
        <v>0</v>
      </c>
      <c r="I261" s="185">
        <f t="shared" si="85"/>
        <v>3760</v>
      </c>
      <c r="J261" s="185">
        <f t="shared" si="85"/>
        <v>100</v>
      </c>
      <c r="K261" s="280">
        <f t="shared" si="85"/>
        <v>0</v>
      </c>
      <c r="L261" s="185">
        <f t="shared" si="85"/>
        <v>3860</v>
      </c>
      <c r="M261" s="215">
        <f t="shared" si="85"/>
        <v>252</v>
      </c>
      <c r="N261" s="296">
        <f t="shared" si="85"/>
        <v>0</v>
      </c>
      <c r="O261" s="239">
        <f t="shared" si="85"/>
        <v>4112</v>
      </c>
      <c r="P261" s="123">
        <f t="shared" si="85"/>
        <v>0</v>
      </c>
      <c r="Q261" s="81">
        <f t="shared" si="85"/>
        <v>3860</v>
      </c>
    </row>
    <row r="262" spans="1:17" ht="12.75">
      <c r="A262" s="13" t="s">
        <v>27</v>
      </c>
      <c r="B262" s="59"/>
      <c r="C262" s="106"/>
      <c r="D262" s="75"/>
      <c r="E262" s="168"/>
      <c r="F262" s="198"/>
      <c r="G262" s="211"/>
      <c r="H262" s="235"/>
      <c r="I262" s="181"/>
      <c r="J262" s="181"/>
      <c r="K262" s="276"/>
      <c r="L262" s="181"/>
      <c r="M262" s="211"/>
      <c r="N262" s="292"/>
      <c r="O262" s="235"/>
      <c r="P262" s="112"/>
      <c r="Q262" s="46"/>
    </row>
    <row r="263" spans="1:17" ht="12.75" hidden="1">
      <c r="A263" s="15" t="s">
        <v>103</v>
      </c>
      <c r="B263" s="59">
        <v>34544</v>
      </c>
      <c r="C263" s="106"/>
      <c r="D263" s="75"/>
      <c r="E263" s="168"/>
      <c r="F263" s="198">
        <f>C263+D263+E263</f>
        <v>0</v>
      </c>
      <c r="G263" s="211"/>
      <c r="H263" s="235"/>
      <c r="I263" s="181">
        <f>F263+G263+H263</f>
        <v>0</v>
      </c>
      <c r="J263" s="181"/>
      <c r="K263" s="276"/>
      <c r="L263" s="181">
        <f>I263+J263+K263</f>
        <v>0</v>
      </c>
      <c r="M263" s="211"/>
      <c r="N263" s="292"/>
      <c r="O263" s="235">
        <f>L263+M263+N263</f>
        <v>0</v>
      </c>
      <c r="P263" s="112"/>
      <c r="Q263" s="46">
        <f>O263+P263</f>
        <v>0</v>
      </c>
    </row>
    <row r="264" spans="1:17" ht="12.75">
      <c r="A264" s="57" t="s">
        <v>363</v>
      </c>
      <c r="B264" s="59">
        <v>34949</v>
      </c>
      <c r="C264" s="106"/>
      <c r="D264" s="75"/>
      <c r="E264" s="168"/>
      <c r="F264" s="198"/>
      <c r="G264" s="211"/>
      <c r="H264" s="235"/>
      <c r="I264" s="181"/>
      <c r="J264" s="181"/>
      <c r="K264" s="276"/>
      <c r="L264" s="181">
        <f>I264+J264+K264</f>
        <v>0</v>
      </c>
      <c r="M264" s="211">
        <f>252</f>
        <v>252</v>
      </c>
      <c r="N264" s="292"/>
      <c r="O264" s="235">
        <f>L264+M264+N264</f>
        <v>252</v>
      </c>
      <c r="P264" s="112"/>
      <c r="Q264" s="46"/>
    </row>
    <row r="265" spans="1:17" ht="12.75">
      <c r="A265" s="311" t="s">
        <v>97</v>
      </c>
      <c r="B265" s="62"/>
      <c r="C265" s="132"/>
      <c r="D265" s="83"/>
      <c r="E265" s="192"/>
      <c r="F265" s="203">
        <f>C265+D265+E265</f>
        <v>0</v>
      </c>
      <c r="G265" s="217">
        <f>1360+2400</f>
        <v>3760</v>
      </c>
      <c r="H265" s="233"/>
      <c r="I265" s="187">
        <f>F265+G265+H265</f>
        <v>3760</v>
      </c>
      <c r="J265" s="187">
        <f>100</f>
        <v>100</v>
      </c>
      <c r="K265" s="282"/>
      <c r="L265" s="187">
        <f>I265+J265+K265</f>
        <v>3860</v>
      </c>
      <c r="M265" s="217"/>
      <c r="N265" s="298"/>
      <c r="O265" s="233">
        <f>L265+M265+N265</f>
        <v>3860</v>
      </c>
      <c r="P265" s="112"/>
      <c r="Q265" s="46">
        <f>O265+P265</f>
        <v>3860</v>
      </c>
    </row>
    <row r="266" spans="1:17" ht="12.75" hidden="1">
      <c r="A266" s="57" t="s">
        <v>60</v>
      </c>
      <c r="B266" s="59"/>
      <c r="C266" s="106"/>
      <c r="D266" s="75"/>
      <c r="E266" s="168"/>
      <c r="F266" s="198">
        <f>C266+D266+E266</f>
        <v>0</v>
      </c>
      <c r="G266" s="211"/>
      <c r="H266" s="235"/>
      <c r="I266" s="181">
        <f>F266+G266+H266</f>
        <v>0</v>
      </c>
      <c r="J266" s="181"/>
      <c r="K266" s="276"/>
      <c r="L266" s="181">
        <f>I266+J266+K266</f>
        <v>0</v>
      </c>
      <c r="M266" s="211"/>
      <c r="N266" s="292"/>
      <c r="O266" s="235">
        <f>L266+M266+N266</f>
        <v>0</v>
      </c>
      <c r="P266" s="112"/>
      <c r="Q266" s="46">
        <f>O266+P266</f>
        <v>0</v>
      </c>
    </row>
    <row r="267" spans="1:17" ht="13.5" hidden="1" thickBot="1">
      <c r="A267" s="105" t="s">
        <v>86</v>
      </c>
      <c r="B267" s="103"/>
      <c r="C267" s="134"/>
      <c r="D267" s="104"/>
      <c r="E267" s="193"/>
      <c r="F267" s="204">
        <f>C267+D267+E267</f>
        <v>0</v>
      </c>
      <c r="G267" s="217"/>
      <c r="H267" s="233"/>
      <c r="I267" s="187">
        <f>F267+G267+H267</f>
        <v>0</v>
      </c>
      <c r="J267" s="187"/>
      <c r="K267" s="282"/>
      <c r="L267" s="187">
        <f>I267+J267+K267</f>
        <v>0</v>
      </c>
      <c r="M267" s="299"/>
      <c r="N267" s="298"/>
      <c r="O267" s="233">
        <f>L267+M267+N267</f>
        <v>0</v>
      </c>
      <c r="P267" s="270"/>
      <c r="Q267" s="48">
        <f>O267+P267</f>
        <v>0</v>
      </c>
    </row>
    <row r="268" spans="1:17" ht="12.75">
      <c r="A268" s="8" t="s">
        <v>53</v>
      </c>
      <c r="B268" s="61"/>
      <c r="C268" s="113">
        <f aca="true" t="shared" si="86" ref="C268:Q268">C269+C281</f>
        <v>48902.7</v>
      </c>
      <c r="D268" s="74">
        <f t="shared" si="86"/>
        <v>11333.35</v>
      </c>
      <c r="E268" s="167">
        <f t="shared" si="86"/>
        <v>0</v>
      </c>
      <c r="F268" s="179">
        <f t="shared" si="86"/>
        <v>60236.049999999996</v>
      </c>
      <c r="G268" s="210">
        <f t="shared" si="86"/>
        <v>2000</v>
      </c>
      <c r="H268" s="234">
        <f t="shared" si="86"/>
        <v>0</v>
      </c>
      <c r="I268" s="182">
        <f t="shared" si="86"/>
        <v>62236.049999999996</v>
      </c>
      <c r="J268" s="182">
        <f t="shared" si="86"/>
        <v>0</v>
      </c>
      <c r="K268" s="275">
        <f t="shared" si="86"/>
        <v>0</v>
      </c>
      <c r="L268" s="182">
        <f t="shared" si="86"/>
        <v>62236.049999999996</v>
      </c>
      <c r="M268" s="210">
        <f t="shared" si="86"/>
        <v>0</v>
      </c>
      <c r="N268" s="291">
        <f t="shared" si="86"/>
        <v>0</v>
      </c>
      <c r="O268" s="234">
        <f t="shared" si="86"/>
        <v>62236.049999999996</v>
      </c>
      <c r="P268" s="98">
        <f t="shared" si="86"/>
        <v>0</v>
      </c>
      <c r="Q268" s="73">
        <f t="shared" si="86"/>
        <v>50002.049999999996</v>
      </c>
    </row>
    <row r="269" spans="1:17" ht="12.75">
      <c r="A269" s="17" t="s">
        <v>54</v>
      </c>
      <c r="B269" s="61"/>
      <c r="C269" s="131">
        <f aca="true" t="shared" si="87" ref="C269:Q269">SUM(C271:C280)</f>
        <v>48902.7</v>
      </c>
      <c r="D269" s="82">
        <f t="shared" si="87"/>
        <v>11333.35</v>
      </c>
      <c r="E269" s="171">
        <f t="shared" si="87"/>
        <v>0</v>
      </c>
      <c r="F269" s="201">
        <f t="shared" si="87"/>
        <v>60236.049999999996</v>
      </c>
      <c r="G269" s="215">
        <f t="shared" si="87"/>
        <v>2000</v>
      </c>
      <c r="H269" s="239">
        <f t="shared" si="87"/>
        <v>0</v>
      </c>
      <c r="I269" s="185">
        <f t="shared" si="87"/>
        <v>62236.049999999996</v>
      </c>
      <c r="J269" s="185">
        <f t="shared" si="87"/>
        <v>-250</v>
      </c>
      <c r="K269" s="280">
        <f t="shared" si="87"/>
        <v>0</v>
      </c>
      <c r="L269" s="185">
        <f t="shared" si="87"/>
        <v>61986.049999999996</v>
      </c>
      <c r="M269" s="215">
        <f t="shared" si="87"/>
        <v>0</v>
      </c>
      <c r="N269" s="296">
        <f t="shared" si="87"/>
        <v>0</v>
      </c>
      <c r="O269" s="239">
        <f t="shared" si="87"/>
        <v>61986.049999999996</v>
      </c>
      <c r="P269" s="123">
        <f t="shared" si="87"/>
        <v>0</v>
      </c>
      <c r="Q269" s="81">
        <f t="shared" si="87"/>
        <v>49752.049999999996</v>
      </c>
    </row>
    <row r="270" spans="1:17" ht="12.75">
      <c r="A270" s="13" t="s">
        <v>27</v>
      </c>
      <c r="B270" s="42"/>
      <c r="C270" s="106"/>
      <c r="D270" s="75"/>
      <c r="E270" s="168"/>
      <c r="F270" s="198"/>
      <c r="G270" s="211"/>
      <c r="H270" s="235"/>
      <c r="I270" s="181"/>
      <c r="J270" s="181"/>
      <c r="K270" s="276"/>
      <c r="L270" s="181"/>
      <c r="M270" s="211"/>
      <c r="N270" s="292"/>
      <c r="O270" s="235"/>
      <c r="P270" s="112"/>
      <c r="Q270" s="46"/>
    </row>
    <row r="271" spans="1:17" ht="12.75">
      <c r="A271" s="11" t="s">
        <v>147</v>
      </c>
      <c r="B271" s="59"/>
      <c r="C271" s="106">
        <v>20297.2</v>
      </c>
      <c r="D271" s="75">
        <f>5328.94</f>
        <v>5328.94</v>
      </c>
      <c r="E271" s="168"/>
      <c r="F271" s="198">
        <f aca="true" t="shared" si="88" ref="F271:F280">C271+D271+E271</f>
        <v>25626.14</v>
      </c>
      <c r="G271" s="211"/>
      <c r="H271" s="235"/>
      <c r="I271" s="181">
        <f>F271+G271+H271</f>
        <v>25626.14</v>
      </c>
      <c r="J271" s="181"/>
      <c r="K271" s="276"/>
      <c r="L271" s="181">
        <f aca="true" t="shared" si="89" ref="L271:L280">I271+J271+K271</f>
        <v>25626.14</v>
      </c>
      <c r="M271" s="211"/>
      <c r="N271" s="292"/>
      <c r="O271" s="235">
        <f>L271+M271+N271</f>
        <v>25626.14</v>
      </c>
      <c r="P271" s="112"/>
      <c r="Q271" s="46">
        <f>O271+P271</f>
        <v>25626.14</v>
      </c>
    </row>
    <row r="272" spans="1:17" ht="12.75">
      <c r="A272" s="11" t="s">
        <v>55</v>
      </c>
      <c r="B272" s="59"/>
      <c r="C272" s="106">
        <v>5133</v>
      </c>
      <c r="D272" s="75">
        <f>2089.17</f>
        <v>2089.17</v>
      </c>
      <c r="E272" s="168"/>
      <c r="F272" s="198">
        <f t="shared" si="88"/>
        <v>7222.17</v>
      </c>
      <c r="G272" s="211"/>
      <c r="H272" s="235"/>
      <c r="I272" s="181">
        <f>F272+G272+H272</f>
        <v>7222.17</v>
      </c>
      <c r="J272" s="181"/>
      <c r="K272" s="276"/>
      <c r="L272" s="181">
        <f t="shared" si="89"/>
        <v>7222.17</v>
      </c>
      <c r="M272" s="211"/>
      <c r="N272" s="292"/>
      <c r="O272" s="235">
        <f>L272+M272+N272</f>
        <v>7222.17</v>
      </c>
      <c r="P272" s="112"/>
      <c r="Q272" s="46">
        <f>O272+P272</f>
        <v>7222.17</v>
      </c>
    </row>
    <row r="273" spans="1:17" ht="12.75">
      <c r="A273" s="11" t="s">
        <v>285</v>
      </c>
      <c r="B273" s="59"/>
      <c r="C273" s="106">
        <v>1450</v>
      </c>
      <c r="D273" s="75"/>
      <c r="E273" s="168"/>
      <c r="F273" s="198">
        <f t="shared" si="88"/>
        <v>1450</v>
      </c>
      <c r="G273" s="211"/>
      <c r="H273" s="235"/>
      <c r="I273" s="181">
        <f>F273+G273+H273</f>
        <v>1450</v>
      </c>
      <c r="J273" s="181"/>
      <c r="K273" s="276"/>
      <c r="L273" s="181">
        <f t="shared" si="89"/>
        <v>1450</v>
      </c>
      <c r="M273" s="211"/>
      <c r="N273" s="292"/>
      <c r="O273" s="235">
        <f>L273+M273+N273</f>
        <v>1450</v>
      </c>
      <c r="P273" s="112"/>
      <c r="Q273" s="46">
        <f>O273+P273</f>
        <v>1450</v>
      </c>
    </row>
    <row r="274" spans="1:17" ht="12.75" hidden="1">
      <c r="A274" s="11" t="s">
        <v>166</v>
      </c>
      <c r="B274" s="59"/>
      <c r="C274" s="106"/>
      <c r="D274" s="75"/>
      <c r="E274" s="168"/>
      <c r="F274" s="198">
        <f t="shared" si="88"/>
        <v>0</v>
      </c>
      <c r="G274" s="211"/>
      <c r="H274" s="235"/>
      <c r="I274" s="181">
        <f>F274+G274+H274</f>
        <v>0</v>
      </c>
      <c r="J274" s="181"/>
      <c r="K274" s="276"/>
      <c r="L274" s="181">
        <f t="shared" si="89"/>
        <v>0</v>
      </c>
      <c r="M274" s="211"/>
      <c r="N274" s="292"/>
      <c r="O274" s="235">
        <f>L274+M274+N274</f>
        <v>0</v>
      </c>
      <c r="P274" s="112"/>
      <c r="Q274" s="46">
        <f>O274+P274</f>
        <v>0</v>
      </c>
    </row>
    <row r="275" spans="1:17" ht="12.75">
      <c r="A275" s="11" t="s">
        <v>56</v>
      </c>
      <c r="B275" s="59"/>
      <c r="C275" s="106">
        <v>13648.5</v>
      </c>
      <c r="D275" s="75">
        <f>225.34+2500-600-70.1</f>
        <v>2055.2400000000002</v>
      </c>
      <c r="E275" s="168"/>
      <c r="F275" s="198">
        <f t="shared" si="88"/>
        <v>15703.74</v>
      </c>
      <c r="G275" s="211"/>
      <c r="H275" s="235"/>
      <c r="I275" s="181">
        <f>F275+G275+H275</f>
        <v>15703.74</v>
      </c>
      <c r="J275" s="181">
        <f>-500-250</f>
        <v>-750</v>
      </c>
      <c r="K275" s="276"/>
      <c r="L275" s="181">
        <f t="shared" si="89"/>
        <v>14953.74</v>
      </c>
      <c r="M275" s="211"/>
      <c r="N275" s="292"/>
      <c r="O275" s="235">
        <f>L275+M275+N275</f>
        <v>14953.74</v>
      </c>
      <c r="P275" s="112"/>
      <c r="Q275" s="46">
        <f>O275+P275</f>
        <v>14953.74</v>
      </c>
    </row>
    <row r="276" spans="1:17" ht="12.75" hidden="1">
      <c r="A276" s="11" t="s">
        <v>86</v>
      </c>
      <c r="B276" s="59"/>
      <c r="C276" s="106"/>
      <c r="D276" s="75"/>
      <c r="E276" s="168"/>
      <c r="F276" s="198">
        <f t="shared" si="88"/>
        <v>0</v>
      </c>
      <c r="G276" s="211"/>
      <c r="H276" s="235"/>
      <c r="I276" s="181"/>
      <c r="J276" s="181"/>
      <c r="K276" s="276"/>
      <c r="L276" s="181">
        <f t="shared" si="89"/>
        <v>0</v>
      </c>
      <c r="M276" s="211"/>
      <c r="N276" s="292"/>
      <c r="O276" s="235"/>
      <c r="P276" s="112"/>
      <c r="Q276" s="46"/>
    </row>
    <row r="277" spans="1:17" ht="12.75">
      <c r="A277" s="11" t="s">
        <v>57</v>
      </c>
      <c r="B277" s="59"/>
      <c r="C277" s="106">
        <v>500</v>
      </c>
      <c r="D277" s="75"/>
      <c r="E277" s="168"/>
      <c r="F277" s="198">
        <f t="shared" si="88"/>
        <v>500</v>
      </c>
      <c r="G277" s="211"/>
      <c r="H277" s="235"/>
      <c r="I277" s="181">
        <f>F277+G277+H277</f>
        <v>500</v>
      </c>
      <c r="J277" s="181"/>
      <c r="K277" s="276"/>
      <c r="L277" s="181">
        <f t="shared" si="89"/>
        <v>500</v>
      </c>
      <c r="M277" s="211"/>
      <c r="N277" s="292"/>
      <c r="O277" s="235">
        <f>L277+M277+N277</f>
        <v>500</v>
      </c>
      <c r="P277" s="112"/>
      <c r="Q277" s="46">
        <f>O277+P277</f>
        <v>500</v>
      </c>
    </row>
    <row r="278" spans="1:17" ht="12.75">
      <c r="A278" s="11" t="s">
        <v>286</v>
      </c>
      <c r="B278" s="316">
        <v>1102</v>
      </c>
      <c r="C278" s="106">
        <v>7274</v>
      </c>
      <c r="D278" s="75">
        <f>1900-40</f>
        <v>1860</v>
      </c>
      <c r="E278" s="168">
        <v>-2694</v>
      </c>
      <c r="F278" s="198">
        <f t="shared" si="88"/>
        <v>6440</v>
      </c>
      <c r="G278" s="211">
        <f>2000</f>
        <v>2000</v>
      </c>
      <c r="H278" s="235"/>
      <c r="I278" s="181">
        <f>F278+G278+H278</f>
        <v>8440</v>
      </c>
      <c r="J278" s="181">
        <f>500</f>
        <v>500</v>
      </c>
      <c r="K278" s="276"/>
      <c r="L278" s="181">
        <f t="shared" si="89"/>
        <v>8940</v>
      </c>
      <c r="M278" s="211"/>
      <c r="N278" s="292"/>
      <c r="O278" s="235">
        <f>L278+M278+N278</f>
        <v>8940</v>
      </c>
      <c r="P278" s="112"/>
      <c r="Q278" s="46"/>
    </row>
    <row r="279" spans="1:17" ht="12.75">
      <c r="A279" s="11" t="s">
        <v>287</v>
      </c>
      <c r="B279" s="316">
        <v>1260</v>
      </c>
      <c r="C279" s="106">
        <v>600</v>
      </c>
      <c r="D279" s="75"/>
      <c r="E279" s="168">
        <v>2694</v>
      </c>
      <c r="F279" s="198">
        <f t="shared" si="88"/>
        <v>3294</v>
      </c>
      <c r="G279" s="211"/>
      <c r="H279" s="235"/>
      <c r="I279" s="181">
        <f>F279+G279+H279</f>
        <v>3294</v>
      </c>
      <c r="J279" s="181"/>
      <c r="K279" s="276"/>
      <c r="L279" s="181">
        <f t="shared" si="89"/>
        <v>3294</v>
      </c>
      <c r="M279" s="211"/>
      <c r="N279" s="292"/>
      <c r="O279" s="235">
        <f>L279+M279+N279</f>
        <v>3294</v>
      </c>
      <c r="P279" s="112"/>
      <c r="Q279" s="46"/>
    </row>
    <row r="280" spans="1:17" ht="12.75" hidden="1">
      <c r="A280" s="11" t="s">
        <v>58</v>
      </c>
      <c r="B280" s="59"/>
      <c r="C280" s="106"/>
      <c r="D280" s="75"/>
      <c r="E280" s="168"/>
      <c r="F280" s="198">
        <f t="shared" si="88"/>
        <v>0</v>
      </c>
      <c r="G280" s="211"/>
      <c r="H280" s="235"/>
      <c r="I280" s="181">
        <f>F280+G280+H280</f>
        <v>0</v>
      </c>
      <c r="J280" s="181"/>
      <c r="K280" s="276"/>
      <c r="L280" s="181">
        <f t="shared" si="89"/>
        <v>0</v>
      </c>
      <c r="M280" s="211"/>
      <c r="N280" s="292"/>
      <c r="O280" s="235">
        <f>L280+M280+N280</f>
        <v>0</v>
      </c>
      <c r="P280" s="112"/>
      <c r="Q280" s="46">
        <f>O280+P280</f>
        <v>0</v>
      </c>
    </row>
    <row r="281" spans="1:17" ht="12.75">
      <c r="A281" s="18" t="s">
        <v>59</v>
      </c>
      <c r="B281" s="63"/>
      <c r="C281" s="133">
        <f aca="true" t="shared" si="90" ref="C281:Q281">SUM(C283:C285)</f>
        <v>0</v>
      </c>
      <c r="D281" s="85">
        <f t="shared" si="90"/>
        <v>0</v>
      </c>
      <c r="E281" s="172">
        <f t="shared" si="90"/>
        <v>0</v>
      </c>
      <c r="F281" s="202">
        <f t="shared" si="90"/>
        <v>0</v>
      </c>
      <c r="G281" s="216">
        <f t="shared" si="90"/>
        <v>0</v>
      </c>
      <c r="H281" s="240">
        <f t="shared" si="90"/>
        <v>0</v>
      </c>
      <c r="I281" s="186">
        <f t="shared" si="90"/>
        <v>0</v>
      </c>
      <c r="J281" s="186">
        <f t="shared" si="90"/>
        <v>250</v>
      </c>
      <c r="K281" s="281">
        <f t="shared" si="90"/>
        <v>0</v>
      </c>
      <c r="L281" s="186">
        <f t="shared" si="90"/>
        <v>250</v>
      </c>
      <c r="M281" s="216">
        <f t="shared" si="90"/>
        <v>0</v>
      </c>
      <c r="N281" s="297">
        <f t="shared" si="90"/>
        <v>0</v>
      </c>
      <c r="O281" s="240">
        <f t="shared" si="90"/>
        <v>250</v>
      </c>
      <c r="P281" s="124">
        <f t="shared" si="90"/>
        <v>0</v>
      </c>
      <c r="Q281" s="84">
        <f t="shared" si="90"/>
        <v>250</v>
      </c>
    </row>
    <row r="282" spans="1:17" ht="12.75">
      <c r="A282" s="9" t="s">
        <v>27</v>
      </c>
      <c r="B282" s="59"/>
      <c r="C282" s="100"/>
      <c r="D282" s="78"/>
      <c r="E282" s="169"/>
      <c r="F282" s="199"/>
      <c r="G282" s="213"/>
      <c r="H282" s="237"/>
      <c r="I282" s="183"/>
      <c r="J282" s="183"/>
      <c r="K282" s="278"/>
      <c r="L282" s="183"/>
      <c r="M282" s="213"/>
      <c r="N282" s="294"/>
      <c r="O282" s="237"/>
      <c r="P282" s="112"/>
      <c r="Q282" s="46"/>
    </row>
    <row r="283" spans="1:17" ht="12.75" hidden="1">
      <c r="A283" s="11" t="s">
        <v>167</v>
      </c>
      <c r="B283" s="59"/>
      <c r="C283" s="106"/>
      <c r="D283" s="75"/>
      <c r="E283" s="168"/>
      <c r="F283" s="198">
        <f>C283+D283+E283</f>
        <v>0</v>
      </c>
      <c r="G283" s="211"/>
      <c r="H283" s="235"/>
      <c r="I283" s="181">
        <f>F283+G283+H283</f>
        <v>0</v>
      </c>
      <c r="J283" s="181"/>
      <c r="K283" s="276"/>
      <c r="L283" s="181">
        <f>I283+J283+K283</f>
        <v>0</v>
      </c>
      <c r="M283" s="211"/>
      <c r="N283" s="292"/>
      <c r="O283" s="235">
        <f>L283+M283+N283</f>
        <v>0</v>
      </c>
      <c r="P283" s="112"/>
      <c r="Q283" s="46">
        <f>O283+P283</f>
        <v>0</v>
      </c>
    </row>
    <row r="284" spans="1:17" ht="12.75" hidden="1">
      <c r="A284" s="11" t="s">
        <v>58</v>
      </c>
      <c r="B284" s="59"/>
      <c r="C284" s="106"/>
      <c r="D284" s="75"/>
      <c r="E284" s="168"/>
      <c r="F284" s="198">
        <f>C284+D284+E284</f>
        <v>0</v>
      </c>
      <c r="G284" s="217"/>
      <c r="H284" s="233"/>
      <c r="I284" s="187">
        <f>F284+G284+H284</f>
        <v>0</v>
      </c>
      <c r="J284" s="187"/>
      <c r="K284" s="282"/>
      <c r="L284" s="187">
        <f>I284+J284+K284</f>
        <v>0</v>
      </c>
      <c r="M284" s="217"/>
      <c r="N284" s="298"/>
      <c r="O284" s="233">
        <f>L284+M284+N284</f>
        <v>0</v>
      </c>
      <c r="P284" s="270"/>
      <c r="Q284" s="48">
        <f>O284+P284</f>
        <v>0</v>
      </c>
    </row>
    <row r="285" spans="1:17" ht="12.75">
      <c r="A285" s="14" t="s">
        <v>60</v>
      </c>
      <c r="B285" s="62"/>
      <c r="C285" s="132"/>
      <c r="D285" s="83"/>
      <c r="E285" s="192"/>
      <c r="F285" s="203">
        <f>C285+D285+E285</f>
        <v>0</v>
      </c>
      <c r="G285" s="217"/>
      <c r="H285" s="233"/>
      <c r="I285" s="187">
        <f>F285+G285+H285</f>
        <v>0</v>
      </c>
      <c r="J285" s="187">
        <v>250</v>
      </c>
      <c r="K285" s="282"/>
      <c r="L285" s="187">
        <f>I285+J285+K285</f>
        <v>250</v>
      </c>
      <c r="M285" s="217"/>
      <c r="N285" s="298"/>
      <c r="O285" s="233">
        <f>L285+M285+N285</f>
        <v>250</v>
      </c>
      <c r="P285" s="112"/>
      <c r="Q285" s="46">
        <f>O285+P285</f>
        <v>250</v>
      </c>
    </row>
    <row r="286" spans="1:17" ht="12.75">
      <c r="A286" s="8" t="s">
        <v>294</v>
      </c>
      <c r="B286" s="63"/>
      <c r="C286" s="113">
        <f aca="true" t="shared" si="91" ref="C286:Q286">C287+C306</f>
        <v>373953.11</v>
      </c>
      <c r="D286" s="74">
        <f t="shared" si="91"/>
        <v>25824.489999999998</v>
      </c>
      <c r="E286" s="167">
        <f t="shared" si="91"/>
        <v>0</v>
      </c>
      <c r="F286" s="179">
        <f t="shared" si="91"/>
        <v>399777.6</v>
      </c>
      <c r="G286" s="210">
        <f t="shared" si="91"/>
        <v>1214</v>
      </c>
      <c r="H286" s="234">
        <f t="shared" si="91"/>
        <v>0</v>
      </c>
      <c r="I286" s="182">
        <f t="shared" si="91"/>
        <v>400991.6</v>
      </c>
      <c r="J286" s="182">
        <f t="shared" si="91"/>
        <v>3830.12</v>
      </c>
      <c r="K286" s="275">
        <f t="shared" si="91"/>
        <v>0</v>
      </c>
      <c r="L286" s="182">
        <f t="shared" si="91"/>
        <v>404821.72</v>
      </c>
      <c r="M286" s="210">
        <f t="shared" si="91"/>
        <v>200</v>
      </c>
      <c r="N286" s="291">
        <f t="shared" si="91"/>
        <v>0</v>
      </c>
      <c r="O286" s="234">
        <f t="shared" si="91"/>
        <v>405021.72</v>
      </c>
      <c r="P286" s="98">
        <f t="shared" si="91"/>
        <v>0</v>
      </c>
      <c r="Q286" s="73">
        <f t="shared" si="91"/>
        <v>402893.72</v>
      </c>
    </row>
    <row r="287" spans="1:17" ht="12.75">
      <c r="A287" s="17" t="s">
        <v>54</v>
      </c>
      <c r="B287" s="63"/>
      <c r="C287" s="131">
        <f aca="true" t="shared" si="92" ref="C287:Q287">SUM(C289:C305)</f>
        <v>373953.11</v>
      </c>
      <c r="D287" s="82">
        <f t="shared" si="92"/>
        <v>19975.01</v>
      </c>
      <c r="E287" s="171">
        <f t="shared" si="92"/>
        <v>0</v>
      </c>
      <c r="F287" s="201">
        <f t="shared" si="92"/>
        <v>393928.12</v>
      </c>
      <c r="G287" s="215">
        <f t="shared" si="92"/>
        <v>1214</v>
      </c>
      <c r="H287" s="239">
        <f t="shared" si="92"/>
        <v>0</v>
      </c>
      <c r="I287" s="185">
        <f t="shared" si="92"/>
        <v>395142.12</v>
      </c>
      <c r="J287" s="185">
        <f t="shared" si="92"/>
        <v>3830.12</v>
      </c>
      <c r="K287" s="280">
        <f t="shared" si="92"/>
        <v>0</v>
      </c>
      <c r="L287" s="185">
        <f t="shared" si="92"/>
        <v>398972.24</v>
      </c>
      <c r="M287" s="215">
        <f t="shared" si="92"/>
        <v>200</v>
      </c>
      <c r="N287" s="296">
        <f t="shared" si="92"/>
        <v>0</v>
      </c>
      <c r="O287" s="239">
        <f t="shared" si="92"/>
        <v>399172.24</v>
      </c>
      <c r="P287" s="123">
        <f t="shared" si="92"/>
        <v>0</v>
      </c>
      <c r="Q287" s="81">
        <f t="shared" si="92"/>
        <v>397044.24</v>
      </c>
    </row>
    <row r="288" spans="1:17" ht="12.75">
      <c r="A288" s="13" t="s">
        <v>27</v>
      </c>
      <c r="B288" s="59"/>
      <c r="C288" s="106"/>
      <c r="D288" s="75"/>
      <c r="E288" s="168"/>
      <c r="F288" s="198"/>
      <c r="G288" s="211"/>
      <c r="H288" s="235"/>
      <c r="I288" s="181"/>
      <c r="J288" s="181"/>
      <c r="K288" s="276"/>
      <c r="L288" s="181"/>
      <c r="M288" s="211"/>
      <c r="N288" s="292"/>
      <c r="O288" s="235"/>
      <c r="P288" s="112"/>
      <c r="Q288" s="46"/>
    </row>
    <row r="289" spans="1:17" ht="12.75">
      <c r="A289" s="20" t="s">
        <v>148</v>
      </c>
      <c r="B289" s="59"/>
      <c r="C289" s="106">
        <v>184639.38</v>
      </c>
      <c r="D289" s="75">
        <f>8226.4+1200</f>
        <v>9426.4</v>
      </c>
      <c r="E289" s="168"/>
      <c r="F289" s="198">
        <f aca="true" t="shared" si="93" ref="F289:F305">C289+D289+E289</f>
        <v>194065.78</v>
      </c>
      <c r="G289" s="211">
        <f>-80</f>
        <v>-80</v>
      </c>
      <c r="H289" s="235"/>
      <c r="I289" s="181">
        <f>F289+G289+H289</f>
        <v>193985.78</v>
      </c>
      <c r="J289" s="181">
        <f>100+1000+317.47</f>
        <v>1417.47</v>
      </c>
      <c r="K289" s="276"/>
      <c r="L289" s="181">
        <f>I289+J289+K289</f>
        <v>195403.25</v>
      </c>
      <c r="M289" s="211"/>
      <c r="N289" s="292"/>
      <c r="O289" s="235">
        <f>L289+M289+N289</f>
        <v>195403.25</v>
      </c>
      <c r="P289" s="112"/>
      <c r="Q289" s="46">
        <f aca="true" t="shared" si="94" ref="Q289:Q296">O289+P289</f>
        <v>195403.25</v>
      </c>
    </row>
    <row r="290" spans="1:17" ht="12.75">
      <c r="A290" s="11" t="s">
        <v>55</v>
      </c>
      <c r="B290" s="59"/>
      <c r="C290" s="106">
        <v>62979.15</v>
      </c>
      <c r="D290" s="75">
        <v>2831.94</v>
      </c>
      <c r="E290" s="168"/>
      <c r="F290" s="198">
        <f t="shared" si="93"/>
        <v>65811.09</v>
      </c>
      <c r="G290" s="211">
        <f>408+80</f>
        <v>488</v>
      </c>
      <c r="H290" s="235"/>
      <c r="I290" s="181">
        <f aca="true" t="shared" si="95" ref="I290:I300">F290+G290+H290</f>
        <v>66299.09</v>
      </c>
      <c r="J290" s="181">
        <f>-100+344.25+109.29</f>
        <v>353.54</v>
      </c>
      <c r="K290" s="276"/>
      <c r="L290" s="181">
        <f aca="true" t="shared" si="96" ref="L290:L302">I290+J290+K290</f>
        <v>66652.62999999999</v>
      </c>
      <c r="M290" s="211"/>
      <c r="N290" s="292"/>
      <c r="O290" s="235">
        <f aca="true" t="shared" si="97" ref="O290:O304">L290+M290+N290</f>
        <v>66652.62999999999</v>
      </c>
      <c r="P290" s="112"/>
      <c r="Q290" s="46">
        <f t="shared" si="94"/>
        <v>66652.62999999999</v>
      </c>
    </row>
    <row r="291" spans="1:17" ht="12.75">
      <c r="A291" s="11" t="s">
        <v>285</v>
      </c>
      <c r="B291" s="59"/>
      <c r="C291" s="106">
        <v>200</v>
      </c>
      <c r="D291" s="75"/>
      <c r="E291" s="168"/>
      <c r="F291" s="198">
        <f t="shared" si="93"/>
        <v>200</v>
      </c>
      <c r="G291" s="211">
        <f>40</f>
        <v>40</v>
      </c>
      <c r="H291" s="235"/>
      <c r="I291" s="181">
        <f t="shared" si="95"/>
        <v>240</v>
      </c>
      <c r="J291" s="181"/>
      <c r="K291" s="276"/>
      <c r="L291" s="181">
        <f t="shared" si="96"/>
        <v>240</v>
      </c>
      <c r="M291" s="211"/>
      <c r="N291" s="292"/>
      <c r="O291" s="235">
        <f t="shared" si="97"/>
        <v>240</v>
      </c>
      <c r="P291" s="112"/>
      <c r="Q291" s="46">
        <f t="shared" si="94"/>
        <v>240</v>
      </c>
    </row>
    <row r="292" spans="1:17" ht="12.75">
      <c r="A292" s="11" t="s">
        <v>56</v>
      </c>
      <c r="B292" s="59"/>
      <c r="C292" s="106">
        <v>60808.58</v>
      </c>
      <c r="D292" s="102">
        <f>287.92+748.61+5640</f>
        <v>6676.53</v>
      </c>
      <c r="E292" s="168"/>
      <c r="F292" s="198">
        <f t="shared" si="93"/>
        <v>67485.11</v>
      </c>
      <c r="G292" s="211">
        <f>516</f>
        <v>516</v>
      </c>
      <c r="H292" s="235"/>
      <c r="I292" s="181">
        <f t="shared" si="95"/>
        <v>68001.11</v>
      </c>
      <c r="J292" s="181">
        <f>185+130+35+11.11</f>
        <v>361.11</v>
      </c>
      <c r="K292" s="276"/>
      <c r="L292" s="181">
        <f t="shared" si="96"/>
        <v>68362.22</v>
      </c>
      <c r="M292" s="211"/>
      <c r="N292" s="292"/>
      <c r="O292" s="235">
        <f t="shared" si="97"/>
        <v>68362.22</v>
      </c>
      <c r="P292" s="112"/>
      <c r="Q292" s="46">
        <f t="shared" si="94"/>
        <v>68362.22</v>
      </c>
    </row>
    <row r="293" spans="1:17" ht="12.75">
      <c r="A293" s="11" t="s">
        <v>61</v>
      </c>
      <c r="B293" s="59">
        <v>1115</v>
      </c>
      <c r="C293" s="106">
        <v>462</v>
      </c>
      <c r="D293" s="75"/>
      <c r="E293" s="168"/>
      <c r="F293" s="198">
        <f t="shared" si="93"/>
        <v>462</v>
      </c>
      <c r="G293" s="211"/>
      <c r="H293" s="235"/>
      <c r="I293" s="181">
        <f t="shared" si="95"/>
        <v>462</v>
      </c>
      <c r="J293" s="181"/>
      <c r="K293" s="276"/>
      <c r="L293" s="181">
        <f t="shared" si="96"/>
        <v>462</v>
      </c>
      <c r="M293" s="211"/>
      <c r="N293" s="292"/>
      <c r="O293" s="235">
        <f t="shared" si="97"/>
        <v>462</v>
      </c>
      <c r="P293" s="112"/>
      <c r="Q293" s="46">
        <f t="shared" si="94"/>
        <v>462</v>
      </c>
    </row>
    <row r="294" spans="1:17" ht="12.75" hidden="1">
      <c r="A294" s="11" t="s">
        <v>62</v>
      </c>
      <c r="B294" s="59"/>
      <c r="C294" s="106"/>
      <c r="D294" s="75"/>
      <c r="E294" s="168"/>
      <c r="F294" s="198">
        <f t="shared" si="93"/>
        <v>0</v>
      </c>
      <c r="G294" s="211"/>
      <c r="H294" s="235"/>
      <c r="I294" s="181">
        <f t="shared" si="95"/>
        <v>0</v>
      </c>
      <c r="J294" s="181"/>
      <c r="K294" s="276"/>
      <c r="L294" s="181">
        <f t="shared" si="96"/>
        <v>0</v>
      </c>
      <c r="M294" s="211"/>
      <c r="N294" s="292"/>
      <c r="O294" s="235">
        <f t="shared" si="97"/>
        <v>0</v>
      </c>
      <c r="P294" s="112"/>
      <c r="Q294" s="46">
        <f t="shared" si="94"/>
        <v>0</v>
      </c>
    </row>
    <row r="295" spans="1:17" ht="12.75">
      <c r="A295" s="11" t="s">
        <v>63</v>
      </c>
      <c r="B295" s="59">
        <v>51</v>
      </c>
      <c r="C295" s="106">
        <v>64864</v>
      </c>
      <c r="D295" s="75"/>
      <c r="E295" s="168"/>
      <c r="F295" s="198">
        <f t="shared" si="93"/>
        <v>64864</v>
      </c>
      <c r="G295" s="211"/>
      <c r="H295" s="235"/>
      <c r="I295" s="181">
        <f t="shared" si="95"/>
        <v>64864</v>
      </c>
      <c r="J295" s="181"/>
      <c r="K295" s="276"/>
      <c r="L295" s="181">
        <f t="shared" si="96"/>
        <v>64864</v>
      </c>
      <c r="M295" s="211"/>
      <c r="N295" s="292"/>
      <c r="O295" s="235">
        <f t="shared" si="97"/>
        <v>64864</v>
      </c>
      <c r="P295" s="112"/>
      <c r="Q295" s="46">
        <f t="shared" si="94"/>
        <v>64864</v>
      </c>
    </row>
    <row r="296" spans="1:17" ht="12.75">
      <c r="A296" s="11" t="s">
        <v>85</v>
      </c>
      <c r="B296" s="59"/>
      <c r="C296" s="106"/>
      <c r="D296" s="75">
        <f>52.55+13.59+744</f>
        <v>810.14</v>
      </c>
      <c r="E296" s="168"/>
      <c r="F296" s="198">
        <f t="shared" si="93"/>
        <v>810.14</v>
      </c>
      <c r="G296" s="211"/>
      <c r="H296" s="235"/>
      <c r="I296" s="181">
        <f t="shared" si="95"/>
        <v>810.14</v>
      </c>
      <c r="J296" s="181"/>
      <c r="K296" s="276"/>
      <c r="L296" s="181">
        <f t="shared" si="96"/>
        <v>810.14</v>
      </c>
      <c r="M296" s="211"/>
      <c r="N296" s="292"/>
      <c r="O296" s="235">
        <f t="shared" si="97"/>
        <v>810.14</v>
      </c>
      <c r="P296" s="112"/>
      <c r="Q296" s="46">
        <f t="shared" si="94"/>
        <v>810.14</v>
      </c>
    </row>
    <row r="297" spans="1:17" ht="12.75" hidden="1">
      <c r="A297" s="11" t="s">
        <v>223</v>
      </c>
      <c r="B297" s="59">
        <v>13234</v>
      </c>
      <c r="C297" s="106"/>
      <c r="D297" s="75"/>
      <c r="E297" s="168"/>
      <c r="F297" s="198">
        <f t="shared" si="93"/>
        <v>0</v>
      </c>
      <c r="G297" s="211"/>
      <c r="H297" s="235"/>
      <c r="I297" s="181">
        <f t="shared" si="95"/>
        <v>0</v>
      </c>
      <c r="J297" s="181"/>
      <c r="K297" s="276"/>
      <c r="L297" s="181">
        <f t="shared" si="96"/>
        <v>0</v>
      </c>
      <c r="M297" s="211"/>
      <c r="N297" s="292"/>
      <c r="O297" s="235">
        <f t="shared" si="97"/>
        <v>0</v>
      </c>
      <c r="P297" s="112"/>
      <c r="Q297" s="46"/>
    </row>
    <row r="298" spans="1:17" ht="12.75" hidden="1">
      <c r="A298" s="11" t="s">
        <v>64</v>
      </c>
      <c r="B298" s="59"/>
      <c r="C298" s="106"/>
      <c r="D298" s="75"/>
      <c r="E298" s="168"/>
      <c r="F298" s="198">
        <f t="shared" si="93"/>
        <v>0</v>
      </c>
      <c r="G298" s="211"/>
      <c r="H298" s="235"/>
      <c r="I298" s="181">
        <f t="shared" si="95"/>
        <v>0</v>
      </c>
      <c r="J298" s="181"/>
      <c r="K298" s="276"/>
      <c r="L298" s="181">
        <f t="shared" si="96"/>
        <v>0</v>
      </c>
      <c r="M298" s="211"/>
      <c r="N298" s="292"/>
      <c r="O298" s="235">
        <f t="shared" si="97"/>
        <v>0</v>
      </c>
      <c r="P298" s="112"/>
      <c r="Q298" s="46">
        <f>O298+P298</f>
        <v>0</v>
      </c>
    </row>
    <row r="299" spans="1:17" ht="12.75">
      <c r="A299" s="11" t="s">
        <v>298</v>
      </c>
      <c r="B299" s="59">
        <v>98008</v>
      </c>
      <c r="C299" s="106"/>
      <c r="D299" s="75">
        <f>200</f>
        <v>200</v>
      </c>
      <c r="E299" s="168"/>
      <c r="F299" s="198">
        <f t="shared" si="93"/>
        <v>200</v>
      </c>
      <c r="G299" s="211"/>
      <c r="H299" s="235"/>
      <c r="I299" s="181">
        <f t="shared" si="95"/>
        <v>200</v>
      </c>
      <c r="J299" s="181"/>
      <c r="K299" s="276"/>
      <c r="L299" s="181">
        <f t="shared" si="96"/>
        <v>200</v>
      </c>
      <c r="M299" s="211"/>
      <c r="N299" s="292"/>
      <c r="O299" s="235">
        <f t="shared" si="97"/>
        <v>200</v>
      </c>
      <c r="P299" s="112"/>
      <c r="Q299" s="46"/>
    </row>
    <row r="300" spans="1:17" ht="12.75">
      <c r="A300" s="11" t="s">
        <v>299</v>
      </c>
      <c r="B300" s="59">
        <v>98071</v>
      </c>
      <c r="C300" s="106"/>
      <c r="D300" s="75">
        <v>30</v>
      </c>
      <c r="E300" s="168"/>
      <c r="F300" s="198">
        <f t="shared" si="93"/>
        <v>30</v>
      </c>
      <c r="G300" s="211"/>
      <c r="H300" s="235"/>
      <c r="I300" s="181">
        <f t="shared" si="95"/>
        <v>30</v>
      </c>
      <c r="J300" s="181"/>
      <c r="K300" s="276"/>
      <c r="L300" s="181">
        <f t="shared" si="96"/>
        <v>30</v>
      </c>
      <c r="M300" s="211"/>
      <c r="N300" s="292"/>
      <c r="O300" s="235">
        <f t="shared" si="97"/>
        <v>30</v>
      </c>
      <c r="P300" s="112"/>
      <c r="Q300" s="46"/>
    </row>
    <row r="301" spans="1:17" ht="12.75" hidden="1">
      <c r="A301" s="11" t="s">
        <v>65</v>
      </c>
      <c r="B301" s="59">
        <v>98074</v>
      </c>
      <c r="C301" s="106"/>
      <c r="D301" s="75"/>
      <c r="E301" s="168"/>
      <c r="F301" s="198">
        <f t="shared" si="93"/>
        <v>0</v>
      </c>
      <c r="G301" s="211"/>
      <c r="H301" s="235"/>
      <c r="I301" s="181">
        <f>F301+G301+H301</f>
        <v>0</v>
      </c>
      <c r="J301" s="181"/>
      <c r="K301" s="276"/>
      <c r="L301" s="181">
        <f t="shared" si="96"/>
        <v>0</v>
      </c>
      <c r="M301" s="211"/>
      <c r="N301" s="292"/>
      <c r="O301" s="235">
        <f t="shared" si="97"/>
        <v>0</v>
      </c>
      <c r="P301" s="112"/>
      <c r="Q301" s="46">
        <f>O301+P301</f>
        <v>0</v>
      </c>
    </row>
    <row r="302" spans="1:17" ht="12.75">
      <c r="A302" s="11" t="s">
        <v>356</v>
      </c>
      <c r="B302" s="59">
        <v>98187</v>
      </c>
      <c r="C302" s="106"/>
      <c r="D302" s="75"/>
      <c r="E302" s="168"/>
      <c r="F302" s="198"/>
      <c r="G302" s="211"/>
      <c r="H302" s="235"/>
      <c r="I302" s="181"/>
      <c r="J302" s="181"/>
      <c r="K302" s="276"/>
      <c r="L302" s="181">
        <f t="shared" si="96"/>
        <v>0</v>
      </c>
      <c r="M302" s="211">
        <f>200</f>
        <v>200</v>
      </c>
      <c r="N302" s="292"/>
      <c r="O302" s="235">
        <f t="shared" si="97"/>
        <v>200</v>
      </c>
      <c r="P302" s="112"/>
      <c r="Q302" s="46"/>
    </row>
    <row r="303" spans="1:17" ht="12.75" hidden="1">
      <c r="A303" s="11" t="s">
        <v>66</v>
      </c>
      <c r="B303" s="59"/>
      <c r="C303" s="106"/>
      <c r="D303" s="75"/>
      <c r="E303" s="168"/>
      <c r="F303" s="198">
        <f t="shared" si="93"/>
        <v>0</v>
      </c>
      <c r="G303" s="211"/>
      <c r="H303" s="235"/>
      <c r="I303" s="181">
        <f>F303+G303+H303</f>
        <v>0</v>
      </c>
      <c r="J303" s="181"/>
      <c r="K303" s="276"/>
      <c r="L303" s="181">
        <f>I303+J303+K303</f>
        <v>0</v>
      </c>
      <c r="M303" s="211"/>
      <c r="N303" s="292"/>
      <c r="O303" s="235">
        <f t="shared" si="97"/>
        <v>0</v>
      </c>
      <c r="P303" s="112"/>
      <c r="Q303" s="46">
        <f>O303+P303</f>
        <v>0</v>
      </c>
    </row>
    <row r="304" spans="1:17" ht="12.75">
      <c r="A304" s="11" t="s">
        <v>350</v>
      </c>
      <c r="B304" s="59">
        <v>13015</v>
      </c>
      <c r="C304" s="106"/>
      <c r="D304" s="75"/>
      <c r="E304" s="168"/>
      <c r="F304" s="198"/>
      <c r="G304" s="211"/>
      <c r="H304" s="235"/>
      <c r="I304" s="181">
        <f>F304+G304+H304</f>
        <v>0</v>
      </c>
      <c r="J304" s="181">
        <f>1698</f>
        <v>1698</v>
      </c>
      <c r="K304" s="276"/>
      <c r="L304" s="181">
        <f>I304+J304+K304</f>
        <v>1698</v>
      </c>
      <c r="M304" s="211"/>
      <c r="N304" s="292"/>
      <c r="O304" s="235">
        <f t="shared" si="97"/>
        <v>1698</v>
      </c>
      <c r="P304" s="112"/>
      <c r="Q304" s="46"/>
    </row>
    <row r="305" spans="1:17" ht="12.75">
      <c r="A305" s="11" t="s">
        <v>67</v>
      </c>
      <c r="B305" s="59">
        <v>4001</v>
      </c>
      <c r="C305" s="106"/>
      <c r="D305" s="75"/>
      <c r="E305" s="168"/>
      <c r="F305" s="198">
        <f t="shared" si="93"/>
        <v>0</v>
      </c>
      <c r="G305" s="211">
        <f>250</f>
        <v>250</v>
      </c>
      <c r="H305" s="235"/>
      <c r="I305" s="181">
        <f>F305+G305+H305</f>
        <v>250</v>
      </c>
      <c r="J305" s="181"/>
      <c r="K305" s="276"/>
      <c r="L305" s="181">
        <f>I305+J305+K305</f>
        <v>250</v>
      </c>
      <c r="M305" s="211"/>
      <c r="N305" s="292"/>
      <c r="O305" s="235">
        <f>L305+M305+N305</f>
        <v>250</v>
      </c>
      <c r="P305" s="112"/>
      <c r="Q305" s="46">
        <f>O305+P305</f>
        <v>250</v>
      </c>
    </row>
    <row r="306" spans="1:17" ht="12.75">
      <c r="A306" s="17" t="s">
        <v>59</v>
      </c>
      <c r="B306" s="63"/>
      <c r="C306" s="131">
        <f>C309+C308</f>
        <v>0</v>
      </c>
      <c r="D306" s="82">
        <f aca="true" t="shared" si="98" ref="D306:Q306">D309+D308</f>
        <v>5849.48</v>
      </c>
      <c r="E306" s="171">
        <f t="shared" si="98"/>
        <v>0</v>
      </c>
      <c r="F306" s="201">
        <f t="shared" si="98"/>
        <v>5849.48</v>
      </c>
      <c r="G306" s="215">
        <f t="shared" si="98"/>
        <v>0</v>
      </c>
      <c r="H306" s="239">
        <f t="shared" si="98"/>
        <v>0</v>
      </c>
      <c r="I306" s="185">
        <f t="shared" si="98"/>
        <v>5849.48</v>
      </c>
      <c r="J306" s="185">
        <f t="shared" si="98"/>
        <v>0</v>
      </c>
      <c r="K306" s="280">
        <f t="shared" si="98"/>
        <v>0</v>
      </c>
      <c r="L306" s="185">
        <f t="shared" si="98"/>
        <v>5849.48</v>
      </c>
      <c r="M306" s="215">
        <f t="shared" si="98"/>
        <v>0</v>
      </c>
      <c r="N306" s="296">
        <f t="shared" si="98"/>
        <v>0</v>
      </c>
      <c r="O306" s="239">
        <f t="shared" si="98"/>
        <v>5849.48</v>
      </c>
      <c r="P306" s="123">
        <f t="shared" si="98"/>
        <v>0</v>
      </c>
      <c r="Q306" s="81">
        <f t="shared" si="98"/>
        <v>5849.48</v>
      </c>
    </row>
    <row r="307" spans="1:17" ht="12.75">
      <c r="A307" s="13" t="s">
        <v>27</v>
      </c>
      <c r="B307" s="59"/>
      <c r="C307" s="106"/>
      <c r="D307" s="75"/>
      <c r="E307" s="168"/>
      <c r="F307" s="179"/>
      <c r="G307" s="211"/>
      <c r="H307" s="235"/>
      <c r="I307" s="182"/>
      <c r="J307" s="181"/>
      <c r="K307" s="276"/>
      <c r="L307" s="182"/>
      <c r="M307" s="211"/>
      <c r="N307" s="292"/>
      <c r="O307" s="234"/>
      <c r="P307" s="112"/>
      <c r="Q307" s="46"/>
    </row>
    <row r="308" spans="1:17" ht="12.75" hidden="1">
      <c r="A308" s="10" t="s">
        <v>60</v>
      </c>
      <c r="B308" s="59"/>
      <c r="C308" s="106"/>
      <c r="D308" s="75"/>
      <c r="E308" s="168"/>
      <c r="F308" s="198">
        <f>C308+D308+E308</f>
        <v>0</v>
      </c>
      <c r="G308" s="211"/>
      <c r="H308" s="235"/>
      <c r="I308" s="181">
        <f>F308+G308+H308</f>
        <v>0</v>
      </c>
      <c r="J308" s="181"/>
      <c r="K308" s="276"/>
      <c r="L308" s="181">
        <f>I308+J308+K308</f>
        <v>0</v>
      </c>
      <c r="M308" s="211"/>
      <c r="N308" s="292"/>
      <c r="O308" s="235">
        <f>L308+M308+N308</f>
        <v>0</v>
      </c>
      <c r="P308" s="112"/>
      <c r="Q308" s="46">
        <f>O308+P308</f>
        <v>0</v>
      </c>
    </row>
    <row r="309" spans="1:17" ht="12.75">
      <c r="A309" s="14" t="s">
        <v>86</v>
      </c>
      <c r="B309" s="62"/>
      <c r="C309" s="132"/>
      <c r="D309" s="83">
        <f>1753.48+4096</f>
        <v>5849.48</v>
      </c>
      <c r="E309" s="192"/>
      <c r="F309" s="203">
        <f>C309+D309+E309</f>
        <v>5849.48</v>
      </c>
      <c r="G309" s="217"/>
      <c r="H309" s="233"/>
      <c r="I309" s="187">
        <f>F309+G309+H309</f>
        <v>5849.48</v>
      </c>
      <c r="J309" s="187"/>
      <c r="K309" s="282"/>
      <c r="L309" s="187">
        <f>I309+J309+K309</f>
        <v>5849.48</v>
      </c>
      <c r="M309" s="217"/>
      <c r="N309" s="298"/>
      <c r="O309" s="233">
        <f>L309+M309+N309</f>
        <v>5849.48</v>
      </c>
      <c r="P309" s="270"/>
      <c r="Q309" s="48">
        <f>O309+P309</f>
        <v>5849.48</v>
      </c>
    </row>
    <row r="310" spans="1:17" ht="12.75">
      <c r="A310" s="23" t="s">
        <v>180</v>
      </c>
      <c r="B310" s="64"/>
      <c r="C310" s="113">
        <f aca="true" t="shared" si="99" ref="C310:Q310">C311+C336</f>
        <v>511531.20000000007</v>
      </c>
      <c r="D310" s="74">
        <f t="shared" si="99"/>
        <v>1444476.4900000002</v>
      </c>
      <c r="E310" s="167">
        <f t="shared" si="99"/>
        <v>-22622.4</v>
      </c>
      <c r="F310" s="179">
        <f t="shared" si="99"/>
        <v>1933385.29</v>
      </c>
      <c r="G310" s="210">
        <f t="shared" si="99"/>
        <v>458185.01999999996</v>
      </c>
      <c r="H310" s="234">
        <f t="shared" si="99"/>
        <v>-877.53</v>
      </c>
      <c r="I310" s="182">
        <f t="shared" si="99"/>
        <v>2390692.7800000003</v>
      </c>
      <c r="J310" s="182">
        <f t="shared" si="99"/>
        <v>258511.61000000002</v>
      </c>
      <c r="K310" s="275">
        <f t="shared" si="99"/>
        <v>7.958078640513122E-13</v>
      </c>
      <c r="L310" s="182">
        <f t="shared" si="99"/>
        <v>2649204.3899999997</v>
      </c>
      <c r="M310" s="210">
        <f t="shared" si="99"/>
        <v>324773.8200000001</v>
      </c>
      <c r="N310" s="291">
        <f t="shared" si="99"/>
        <v>0</v>
      </c>
      <c r="O310" s="234">
        <f t="shared" si="99"/>
        <v>2973978.21</v>
      </c>
      <c r="P310" s="98">
        <f t="shared" si="99"/>
        <v>0</v>
      </c>
      <c r="Q310" s="73">
        <f t="shared" si="99"/>
        <v>0</v>
      </c>
    </row>
    <row r="311" spans="1:17" ht="12.75">
      <c r="A311" s="17" t="s">
        <v>54</v>
      </c>
      <c r="B311" s="63"/>
      <c r="C311" s="131">
        <f aca="true" t="shared" si="100" ref="C311:Q311">SUM(C313:C324)</f>
        <v>66348.6</v>
      </c>
      <c r="D311" s="82">
        <f t="shared" si="100"/>
        <v>44821.27</v>
      </c>
      <c r="E311" s="171">
        <f t="shared" si="100"/>
        <v>32.67</v>
      </c>
      <c r="F311" s="201">
        <f t="shared" si="100"/>
        <v>111202.54000000001</v>
      </c>
      <c r="G311" s="215">
        <f t="shared" si="100"/>
        <v>12155.240000000002</v>
      </c>
      <c r="H311" s="239">
        <f t="shared" si="100"/>
        <v>0</v>
      </c>
      <c r="I311" s="185">
        <f t="shared" si="100"/>
        <v>123357.78000000003</v>
      </c>
      <c r="J311" s="185">
        <f t="shared" si="100"/>
        <v>2045.4299999999998</v>
      </c>
      <c r="K311" s="280">
        <f t="shared" si="100"/>
        <v>94.38</v>
      </c>
      <c r="L311" s="185">
        <f t="shared" si="100"/>
        <v>125497.59000000003</v>
      </c>
      <c r="M311" s="215">
        <f t="shared" si="100"/>
        <v>-9453.800000000001</v>
      </c>
      <c r="N311" s="296">
        <f t="shared" si="100"/>
        <v>0</v>
      </c>
      <c r="O311" s="239">
        <f t="shared" si="100"/>
        <v>116043.79000000001</v>
      </c>
      <c r="P311" s="123">
        <f t="shared" si="100"/>
        <v>0</v>
      </c>
      <c r="Q311" s="81">
        <f t="shared" si="100"/>
        <v>0</v>
      </c>
    </row>
    <row r="312" spans="1:17" ht="12.75">
      <c r="A312" s="13" t="s">
        <v>27</v>
      </c>
      <c r="B312" s="59"/>
      <c r="C312" s="131"/>
      <c r="D312" s="96"/>
      <c r="E312" s="194"/>
      <c r="F312" s="201"/>
      <c r="G312" s="211"/>
      <c r="H312" s="235"/>
      <c r="I312" s="181"/>
      <c r="J312" s="181"/>
      <c r="K312" s="276"/>
      <c r="L312" s="181"/>
      <c r="M312" s="219"/>
      <c r="N312" s="292"/>
      <c r="O312" s="235"/>
      <c r="P312" s="112"/>
      <c r="Q312" s="46"/>
    </row>
    <row r="313" spans="1:17" ht="12.75">
      <c r="A313" s="15" t="s">
        <v>56</v>
      </c>
      <c r="B313" s="59"/>
      <c r="C313" s="106">
        <v>1613.6</v>
      </c>
      <c r="D313" s="86"/>
      <c r="E313" s="173"/>
      <c r="F313" s="198">
        <f aca="true" t="shared" si="101" ref="F313:F335">C313+D313+E313</f>
        <v>1613.6</v>
      </c>
      <c r="G313" s="211"/>
      <c r="H313" s="235"/>
      <c r="I313" s="181">
        <f aca="true" t="shared" si="102" ref="I313:I335">F313+G313+H313</f>
        <v>1613.6</v>
      </c>
      <c r="J313" s="181"/>
      <c r="K313" s="276"/>
      <c r="L313" s="181">
        <f>I313+J313+K313</f>
        <v>1613.6</v>
      </c>
      <c r="M313" s="219">
        <f>-455.47+57.6</f>
        <v>-397.87</v>
      </c>
      <c r="N313" s="292"/>
      <c r="O313" s="235">
        <f>L313+M313+N313</f>
        <v>1215.73</v>
      </c>
      <c r="P313" s="112"/>
      <c r="Q313" s="46"/>
    </row>
    <row r="314" spans="1:17" ht="12.75">
      <c r="A314" s="15" t="s">
        <v>190</v>
      </c>
      <c r="B314" s="59">
        <v>1080</v>
      </c>
      <c r="C314" s="106"/>
      <c r="D314" s="86">
        <f>2430.75</f>
        <v>2430.75</v>
      </c>
      <c r="E314" s="173"/>
      <c r="F314" s="198">
        <f t="shared" si="101"/>
        <v>2430.75</v>
      </c>
      <c r="G314" s="211"/>
      <c r="H314" s="235"/>
      <c r="I314" s="181">
        <f t="shared" si="102"/>
        <v>2430.75</v>
      </c>
      <c r="J314" s="181"/>
      <c r="K314" s="276"/>
      <c r="L314" s="181">
        <f aca="true" t="shared" si="103" ref="L314:L335">I314+J314+K314</f>
        <v>2430.75</v>
      </c>
      <c r="M314" s="219"/>
      <c r="N314" s="292"/>
      <c r="O314" s="235">
        <f aca="true" t="shared" si="104" ref="O314:O323">L314+M314+N314</f>
        <v>2430.75</v>
      </c>
      <c r="P314" s="112"/>
      <c r="Q314" s="46"/>
    </row>
    <row r="315" spans="1:17" ht="12.75">
      <c r="A315" s="15" t="s">
        <v>191</v>
      </c>
      <c r="B315" s="151">
        <v>1081.1202</v>
      </c>
      <c r="C315" s="106">
        <v>2804</v>
      </c>
      <c r="D315" s="86">
        <f>1114.3</f>
        <v>1114.3</v>
      </c>
      <c r="E315" s="173"/>
      <c r="F315" s="198">
        <f t="shared" si="101"/>
        <v>3918.3</v>
      </c>
      <c r="G315" s="211"/>
      <c r="H315" s="235"/>
      <c r="I315" s="181">
        <f t="shared" si="102"/>
        <v>3918.3</v>
      </c>
      <c r="J315" s="181"/>
      <c r="K315" s="276"/>
      <c r="L315" s="181">
        <f t="shared" si="103"/>
        <v>3918.3</v>
      </c>
      <c r="M315" s="219"/>
      <c r="N315" s="292"/>
      <c r="O315" s="235">
        <f t="shared" si="104"/>
        <v>3918.3</v>
      </c>
      <c r="P315" s="112"/>
      <c r="Q315" s="46"/>
    </row>
    <row r="316" spans="1:17" ht="12.75">
      <c r="A316" s="60" t="s">
        <v>89</v>
      </c>
      <c r="B316" s="59"/>
      <c r="C316" s="106">
        <v>600</v>
      </c>
      <c r="D316" s="86"/>
      <c r="E316" s="173"/>
      <c r="F316" s="198">
        <f t="shared" si="101"/>
        <v>600</v>
      </c>
      <c r="G316" s="211"/>
      <c r="H316" s="235"/>
      <c r="I316" s="181">
        <f t="shared" si="102"/>
        <v>600</v>
      </c>
      <c r="J316" s="181"/>
      <c r="K316" s="276"/>
      <c r="L316" s="181">
        <f t="shared" si="103"/>
        <v>600</v>
      </c>
      <c r="M316" s="219"/>
      <c r="N316" s="292"/>
      <c r="O316" s="235">
        <f t="shared" si="104"/>
        <v>600</v>
      </c>
      <c r="P316" s="112"/>
      <c r="Q316" s="46"/>
    </row>
    <row r="317" spans="1:17" ht="12.75">
      <c r="A317" s="11" t="s">
        <v>199</v>
      </c>
      <c r="B317" s="59"/>
      <c r="C317" s="106">
        <v>33842</v>
      </c>
      <c r="D317" s="86"/>
      <c r="E317" s="173"/>
      <c r="F317" s="198">
        <f t="shared" si="101"/>
        <v>33842</v>
      </c>
      <c r="G317" s="211">
        <f>5000</f>
        <v>5000</v>
      </c>
      <c r="H317" s="235"/>
      <c r="I317" s="181">
        <f t="shared" si="102"/>
        <v>38842</v>
      </c>
      <c r="J317" s="181"/>
      <c r="K317" s="276"/>
      <c r="L317" s="181">
        <f t="shared" si="103"/>
        <v>38842</v>
      </c>
      <c r="M317" s="219"/>
      <c r="N317" s="292"/>
      <c r="O317" s="235">
        <f t="shared" si="104"/>
        <v>38842</v>
      </c>
      <c r="P317" s="112"/>
      <c r="Q317" s="46"/>
    </row>
    <row r="318" spans="1:17" ht="12.75" hidden="1">
      <c r="A318" s="15" t="s">
        <v>200</v>
      </c>
      <c r="B318" s="59"/>
      <c r="C318" s="106"/>
      <c r="D318" s="86"/>
      <c r="E318" s="173"/>
      <c r="F318" s="198">
        <f t="shared" si="101"/>
        <v>0</v>
      </c>
      <c r="G318" s="211"/>
      <c r="H318" s="235"/>
      <c r="I318" s="181">
        <f t="shared" si="102"/>
        <v>0</v>
      </c>
      <c r="J318" s="181"/>
      <c r="K318" s="276"/>
      <c r="L318" s="181">
        <f t="shared" si="103"/>
        <v>0</v>
      </c>
      <c r="M318" s="219"/>
      <c r="N318" s="292"/>
      <c r="O318" s="235">
        <f t="shared" si="104"/>
        <v>0</v>
      </c>
      <c r="P318" s="112"/>
      <c r="Q318" s="46"/>
    </row>
    <row r="319" spans="1:17" ht="12.75" hidden="1">
      <c r="A319" s="15" t="s">
        <v>259</v>
      </c>
      <c r="B319" s="59"/>
      <c r="C319" s="106"/>
      <c r="D319" s="86"/>
      <c r="E319" s="173"/>
      <c r="F319" s="198">
        <f t="shared" si="101"/>
        <v>0</v>
      </c>
      <c r="G319" s="211"/>
      <c r="H319" s="235"/>
      <c r="I319" s="181">
        <f t="shared" si="102"/>
        <v>0</v>
      </c>
      <c r="J319" s="181"/>
      <c r="K319" s="276"/>
      <c r="L319" s="181">
        <f t="shared" si="103"/>
        <v>0</v>
      </c>
      <c r="M319" s="219"/>
      <c r="N319" s="292"/>
      <c r="O319" s="235">
        <f t="shared" si="104"/>
        <v>0</v>
      </c>
      <c r="P319" s="112"/>
      <c r="Q319" s="46"/>
    </row>
    <row r="320" spans="1:17" ht="12.75">
      <c r="A320" s="15" t="s">
        <v>263</v>
      </c>
      <c r="B320" s="59"/>
      <c r="C320" s="106"/>
      <c r="D320" s="86">
        <f>192.3</f>
        <v>192.3</v>
      </c>
      <c r="E320" s="173"/>
      <c r="F320" s="198">
        <f t="shared" si="101"/>
        <v>192.3</v>
      </c>
      <c r="G320" s="211"/>
      <c r="H320" s="235"/>
      <c r="I320" s="181">
        <f t="shared" si="102"/>
        <v>192.3</v>
      </c>
      <c r="J320" s="181"/>
      <c r="K320" s="276"/>
      <c r="L320" s="181">
        <f t="shared" si="103"/>
        <v>192.3</v>
      </c>
      <c r="M320" s="219"/>
      <c r="N320" s="292"/>
      <c r="O320" s="235">
        <f t="shared" si="104"/>
        <v>192.3</v>
      </c>
      <c r="P320" s="112"/>
      <c r="Q320" s="46"/>
    </row>
    <row r="321" spans="1:17" ht="12.75">
      <c r="A321" s="11" t="s">
        <v>332</v>
      </c>
      <c r="B321" s="116">
        <v>212163</v>
      </c>
      <c r="C321" s="106"/>
      <c r="D321" s="86">
        <f>1724.05</f>
        <v>1724.05</v>
      </c>
      <c r="E321" s="173"/>
      <c r="F321" s="198">
        <f t="shared" si="101"/>
        <v>1724.05</v>
      </c>
      <c r="G321" s="211"/>
      <c r="H321" s="235"/>
      <c r="I321" s="181">
        <f t="shared" si="102"/>
        <v>1724.05</v>
      </c>
      <c r="J321" s="181"/>
      <c r="K321" s="276"/>
      <c r="L321" s="181">
        <f t="shared" si="103"/>
        <v>1724.05</v>
      </c>
      <c r="M321" s="219"/>
      <c r="N321" s="292"/>
      <c r="O321" s="235">
        <f t="shared" si="104"/>
        <v>1724.05</v>
      </c>
      <c r="P321" s="112"/>
      <c r="Q321" s="46"/>
    </row>
    <row r="322" spans="1:17" ht="12.75">
      <c r="A322" s="15" t="s">
        <v>183</v>
      </c>
      <c r="B322" s="116">
        <v>212162</v>
      </c>
      <c r="C322" s="106"/>
      <c r="D322" s="86">
        <f>658.97</f>
        <v>658.97</v>
      </c>
      <c r="E322" s="173"/>
      <c r="F322" s="198">
        <f>C322+D322+E322</f>
        <v>658.97</v>
      </c>
      <c r="G322" s="211"/>
      <c r="H322" s="235"/>
      <c r="I322" s="181">
        <f t="shared" si="102"/>
        <v>658.97</v>
      </c>
      <c r="J322" s="181"/>
      <c r="K322" s="276"/>
      <c r="L322" s="181">
        <f t="shared" si="103"/>
        <v>658.97</v>
      </c>
      <c r="M322" s="219"/>
      <c r="N322" s="292"/>
      <c r="O322" s="235">
        <f t="shared" si="104"/>
        <v>658.97</v>
      </c>
      <c r="P322" s="112"/>
      <c r="Q322" s="46"/>
    </row>
    <row r="323" spans="1:17" ht="12.75">
      <c r="A323" s="15" t="s">
        <v>331</v>
      </c>
      <c r="B323" s="116">
        <v>95113</v>
      </c>
      <c r="C323" s="106"/>
      <c r="D323" s="86"/>
      <c r="E323" s="173"/>
      <c r="F323" s="198">
        <f>C323+D323+E323</f>
        <v>0</v>
      </c>
      <c r="G323" s="211"/>
      <c r="H323" s="235"/>
      <c r="I323" s="181">
        <f t="shared" si="102"/>
        <v>0</v>
      </c>
      <c r="J323" s="181"/>
      <c r="K323" s="276"/>
      <c r="L323" s="181">
        <f t="shared" si="103"/>
        <v>0</v>
      </c>
      <c r="M323" s="219">
        <f>71.5</f>
        <v>71.5</v>
      </c>
      <c r="N323" s="292"/>
      <c r="O323" s="235">
        <f t="shared" si="104"/>
        <v>71.5</v>
      </c>
      <c r="P323" s="230"/>
      <c r="Q323" s="230"/>
    </row>
    <row r="324" spans="1:17" ht="12.75">
      <c r="A324" s="11" t="s">
        <v>86</v>
      </c>
      <c r="B324" s="59"/>
      <c r="C324" s="108">
        <f>SUM(C325:C335)</f>
        <v>27489</v>
      </c>
      <c r="D324" s="86">
        <f aca="true" t="shared" si="105" ref="D324:Q324">SUM(D325:D335)</f>
        <v>38700.899999999994</v>
      </c>
      <c r="E324" s="173">
        <f t="shared" si="105"/>
        <v>32.67</v>
      </c>
      <c r="F324" s="205">
        <f t="shared" si="105"/>
        <v>66222.56999999999</v>
      </c>
      <c r="G324" s="219">
        <f t="shared" si="105"/>
        <v>7155.240000000002</v>
      </c>
      <c r="H324" s="242">
        <f t="shared" si="105"/>
        <v>0</v>
      </c>
      <c r="I324" s="189">
        <f t="shared" si="105"/>
        <v>73377.81000000001</v>
      </c>
      <c r="J324" s="189">
        <f t="shared" si="105"/>
        <v>2045.4299999999998</v>
      </c>
      <c r="K324" s="283">
        <f t="shared" si="105"/>
        <v>94.38</v>
      </c>
      <c r="L324" s="189">
        <f t="shared" si="105"/>
        <v>75517.62000000002</v>
      </c>
      <c r="M324" s="219">
        <f t="shared" si="105"/>
        <v>-9127.43</v>
      </c>
      <c r="N324" s="300">
        <f t="shared" si="105"/>
        <v>0</v>
      </c>
      <c r="O324" s="242">
        <f t="shared" si="105"/>
        <v>66390.19</v>
      </c>
      <c r="P324" s="125">
        <f t="shared" si="105"/>
        <v>0</v>
      </c>
      <c r="Q324" s="108">
        <f t="shared" si="105"/>
        <v>0</v>
      </c>
    </row>
    <row r="325" spans="1:17" ht="12.75">
      <c r="A325" s="11" t="s">
        <v>246</v>
      </c>
      <c r="B325" s="59"/>
      <c r="C325" s="108">
        <v>14000</v>
      </c>
      <c r="D325" s="86">
        <f>2000</f>
        <v>2000</v>
      </c>
      <c r="E325" s="168"/>
      <c r="F325" s="198">
        <f t="shared" si="101"/>
        <v>16000</v>
      </c>
      <c r="G325" s="211"/>
      <c r="H325" s="235"/>
      <c r="I325" s="181">
        <f t="shared" si="102"/>
        <v>16000</v>
      </c>
      <c r="J325" s="181"/>
      <c r="K325" s="276"/>
      <c r="L325" s="181">
        <f t="shared" si="103"/>
        <v>16000</v>
      </c>
      <c r="M325" s="219"/>
      <c r="N325" s="292"/>
      <c r="O325" s="235">
        <f aca="true" t="shared" si="106" ref="O325:O335">L325+M325+N325</f>
        <v>16000</v>
      </c>
      <c r="P325" s="112"/>
      <c r="Q325" s="46"/>
    </row>
    <row r="326" spans="1:17" ht="12.75">
      <c r="A326" s="11" t="s">
        <v>198</v>
      </c>
      <c r="B326" s="59"/>
      <c r="C326" s="108"/>
      <c r="D326" s="86">
        <f>15999.31+2736.03+17203.48</f>
        <v>35938.82</v>
      </c>
      <c r="E326" s="168"/>
      <c r="F326" s="198">
        <f t="shared" si="101"/>
        <v>35938.82</v>
      </c>
      <c r="G326" s="211">
        <f>1245.41+2413.78+73.26+110.15+141.99</f>
        <v>3984.590000000001</v>
      </c>
      <c r="H326" s="235"/>
      <c r="I326" s="181">
        <f t="shared" si="102"/>
        <v>39923.41</v>
      </c>
      <c r="J326" s="189">
        <f>1872.57+33.6</f>
        <v>1906.1699999999998</v>
      </c>
      <c r="K326" s="276"/>
      <c r="L326" s="181">
        <f t="shared" si="103"/>
        <v>41829.58</v>
      </c>
      <c r="M326" s="219">
        <f>571.25+3.05+51.86-191.3+455.47-7000-6000-2000-1000</f>
        <v>-15109.67</v>
      </c>
      <c r="N326" s="292"/>
      <c r="O326" s="235">
        <f t="shared" si="106"/>
        <v>26719.910000000003</v>
      </c>
      <c r="P326" s="112"/>
      <c r="Q326" s="46"/>
    </row>
    <row r="327" spans="1:17" ht="12.75" hidden="1">
      <c r="A327" s="11" t="s">
        <v>233</v>
      </c>
      <c r="B327" s="59"/>
      <c r="C327" s="108"/>
      <c r="D327" s="97"/>
      <c r="E327" s="168"/>
      <c r="F327" s="198">
        <f t="shared" si="101"/>
        <v>0</v>
      </c>
      <c r="G327" s="211"/>
      <c r="H327" s="235"/>
      <c r="I327" s="181">
        <f t="shared" si="102"/>
        <v>0</v>
      </c>
      <c r="J327" s="181"/>
      <c r="K327" s="276"/>
      <c r="L327" s="181">
        <f t="shared" si="103"/>
        <v>0</v>
      </c>
      <c r="M327" s="219"/>
      <c r="N327" s="292"/>
      <c r="O327" s="235">
        <f t="shared" si="106"/>
        <v>0</v>
      </c>
      <c r="P327" s="112"/>
      <c r="Q327" s="46"/>
    </row>
    <row r="328" spans="1:17" ht="12.75" hidden="1">
      <c r="A328" s="11" t="s">
        <v>229</v>
      </c>
      <c r="B328" s="59"/>
      <c r="C328" s="108"/>
      <c r="D328" s="86"/>
      <c r="E328" s="168"/>
      <c r="F328" s="198">
        <f t="shared" si="101"/>
        <v>0</v>
      </c>
      <c r="G328" s="211"/>
      <c r="H328" s="235"/>
      <c r="I328" s="181">
        <f t="shared" si="102"/>
        <v>0</v>
      </c>
      <c r="J328" s="181"/>
      <c r="K328" s="276"/>
      <c r="L328" s="181">
        <f t="shared" si="103"/>
        <v>0</v>
      </c>
      <c r="M328" s="219"/>
      <c r="N328" s="292"/>
      <c r="O328" s="235">
        <f t="shared" si="106"/>
        <v>0</v>
      </c>
      <c r="P328" s="112"/>
      <c r="Q328" s="46"/>
    </row>
    <row r="329" spans="1:17" ht="12.75">
      <c r="A329" s="11" t="s">
        <v>262</v>
      </c>
      <c r="B329" s="59"/>
      <c r="C329" s="108"/>
      <c r="D329" s="86">
        <f>8937.1</f>
        <v>8937.1</v>
      </c>
      <c r="E329" s="168"/>
      <c r="F329" s="198">
        <f t="shared" si="101"/>
        <v>8937.1</v>
      </c>
      <c r="G329" s="211"/>
      <c r="H329" s="235"/>
      <c r="I329" s="181">
        <f t="shared" si="102"/>
        <v>8937.1</v>
      </c>
      <c r="J329" s="181"/>
      <c r="K329" s="276"/>
      <c r="L329" s="181">
        <f t="shared" si="103"/>
        <v>8937.1</v>
      </c>
      <c r="M329" s="219"/>
      <c r="N329" s="292"/>
      <c r="O329" s="235">
        <f t="shared" si="106"/>
        <v>8937.1</v>
      </c>
      <c r="P329" s="112"/>
      <c r="Q329" s="46"/>
    </row>
    <row r="330" spans="1:17" ht="12.75">
      <c r="A330" s="11" t="s">
        <v>197</v>
      </c>
      <c r="B330" s="59"/>
      <c r="C330" s="108"/>
      <c r="D330" s="86">
        <f>6.33+1000</f>
        <v>1006.33</v>
      </c>
      <c r="E330" s="168">
        <v>32.67</v>
      </c>
      <c r="F330" s="198">
        <f t="shared" si="101"/>
        <v>1039</v>
      </c>
      <c r="G330" s="211">
        <f>1700+720.65-32.67</f>
        <v>2387.98</v>
      </c>
      <c r="H330" s="235"/>
      <c r="I330" s="181">
        <f t="shared" si="102"/>
        <v>3426.98</v>
      </c>
      <c r="J330" s="181">
        <f>0.86+108.39+24.96</f>
        <v>134.21</v>
      </c>
      <c r="K330" s="276">
        <f>58.08</f>
        <v>58.08</v>
      </c>
      <c r="L330" s="181">
        <f t="shared" si="103"/>
        <v>3619.27</v>
      </c>
      <c r="M330" s="219">
        <f>384.04+966.15+1815.14+984.36+63.13+721.18+565.79+2.5+101.18+43.56+4.84+78.39+226.99+89.43+290.4</f>
        <v>6337.080000000001</v>
      </c>
      <c r="N330" s="292"/>
      <c r="O330" s="235">
        <f t="shared" si="106"/>
        <v>9956.35</v>
      </c>
      <c r="P330" s="112"/>
      <c r="Q330" s="46"/>
    </row>
    <row r="331" spans="1:17" ht="12.75">
      <c r="A331" s="11" t="s">
        <v>201</v>
      </c>
      <c r="B331" s="59"/>
      <c r="C331" s="108"/>
      <c r="D331" s="86">
        <f>2617.13</f>
        <v>2617.13</v>
      </c>
      <c r="E331" s="168"/>
      <c r="F331" s="198">
        <f t="shared" si="101"/>
        <v>2617.13</v>
      </c>
      <c r="G331" s="211"/>
      <c r="H331" s="235"/>
      <c r="I331" s="181">
        <f t="shared" si="102"/>
        <v>2617.13</v>
      </c>
      <c r="J331" s="181"/>
      <c r="K331" s="276"/>
      <c r="L331" s="181">
        <f t="shared" si="103"/>
        <v>2617.13</v>
      </c>
      <c r="M331" s="219"/>
      <c r="N331" s="292"/>
      <c r="O331" s="235">
        <f t="shared" si="106"/>
        <v>2617.13</v>
      </c>
      <c r="P331" s="112"/>
      <c r="Q331" s="46"/>
    </row>
    <row r="332" spans="1:17" ht="12.75">
      <c r="A332" s="11" t="s">
        <v>207</v>
      </c>
      <c r="B332" s="59"/>
      <c r="C332" s="108"/>
      <c r="D332" s="86"/>
      <c r="E332" s="168"/>
      <c r="F332" s="198">
        <f t="shared" si="101"/>
        <v>0</v>
      </c>
      <c r="G332" s="211"/>
      <c r="H332" s="235"/>
      <c r="I332" s="181">
        <f t="shared" si="102"/>
        <v>0</v>
      </c>
      <c r="J332" s="181">
        <v>5.05</v>
      </c>
      <c r="K332" s="276">
        <f>36.3</f>
        <v>36.3</v>
      </c>
      <c r="L332" s="181">
        <f t="shared" si="103"/>
        <v>41.349999999999994</v>
      </c>
      <c r="M332" s="219"/>
      <c r="N332" s="292"/>
      <c r="O332" s="235">
        <f t="shared" si="106"/>
        <v>41.349999999999994</v>
      </c>
      <c r="P332" s="112"/>
      <c r="Q332" s="46"/>
    </row>
    <row r="333" spans="1:17" ht="12.75">
      <c r="A333" s="11" t="s">
        <v>205</v>
      </c>
      <c r="B333" s="59"/>
      <c r="C333" s="108">
        <v>11831</v>
      </c>
      <c r="D333" s="86">
        <f>-10829.48+583.56-1001-214.56</f>
        <v>-11461.48</v>
      </c>
      <c r="E333" s="168"/>
      <c r="F333" s="198">
        <f t="shared" si="101"/>
        <v>369.52000000000044</v>
      </c>
      <c r="G333" s="211"/>
      <c r="H333" s="235"/>
      <c r="I333" s="181">
        <f t="shared" si="102"/>
        <v>369.52000000000044</v>
      </c>
      <c r="J333" s="181"/>
      <c r="K333" s="276"/>
      <c r="L333" s="181">
        <f t="shared" si="103"/>
        <v>369.52000000000044</v>
      </c>
      <c r="M333" s="219"/>
      <c r="N333" s="292"/>
      <c r="O333" s="235">
        <f t="shared" si="106"/>
        <v>369.52000000000044</v>
      </c>
      <c r="P333" s="112"/>
      <c r="Q333" s="46"/>
    </row>
    <row r="334" spans="1:17" ht="12.75">
      <c r="A334" s="11" t="s">
        <v>234</v>
      </c>
      <c r="B334" s="59"/>
      <c r="C334" s="108">
        <v>1658</v>
      </c>
      <c r="D334" s="86">
        <f>-506-802+300-350+1021</f>
        <v>-337</v>
      </c>
      <c r="E334" s="168"/>
      <c r="F334" s="198">
        <f t="shared" si="101"/>
        <v>1321</v>
      </c>
      <c r="G334" s="211"/>
      <c r="H334" s="235"/>
      <c r="I334" s="181">
        <f t="shared" si="102"/>
        <v>1321</v>
      </c>
      <c r="J334" s="181"/>
      <c r="K334" s="276"/>
      <c r="L334" s="181">
        <f t="shared" si="103"/>
        <v>1321</v>
      </c>
      <c r="M334" s="219">
        <f>-300-50</f>
        <v>-350</v>
      </c>
      <c r="N334" s="292"/>
      <c r="O334" s="235">
        <f t="shared" si="106"/>
        <v>971</v>
      </c>
      <c r="P334" s="112"/>
      <c r="Q334" s="46"/>
    </row>
    <row r="335" spans="1:17" ht="12.75">
      <c r="A335" s="11" t="s">
        <v>278</v>
      </c>
      <c r="B335" s="59"/>
      <c r="C335" s="108"/>
      <c r="D335" s="97"/>
      <c r="E335" s="168"/>
      <c r="F335" s="198">
        <f t="shared" si="101"/>
        <v>0</v>
      </c>
      <c r="G335" s="211">
        <f>750+32.67</f>
        <v>782.67</v>
      </c>
      <c r="H335" s="235"/>
      <c r="I335" s="181">
        <f t="shared" si="102"/>
        <v>782.67</v>
      </c>
      <c r="J335" s="181"/>
      <c r="K335" s="276"/>
      <c r="L335" s="181">
        <f t="shared" si="103"/>
        <v>782.67</v>
      </c>
      <c r="M335" s="219">
        <f>-4.84</f>
        <v>-4.84</v>
      </c>
      <c r="N335" s="292"/>
      <c r="O335" s="235">
        <f t="shared" si="106"/>
        <v>777.8299999999999</v>
      </c>
      <c r="P335" s="112"/>
      <c r="Q335" s="46"/>
    </row>
    <row r="336" spans="1:17" ht="12.75">
      <c r="A336" s="17" t="s">
        <v>59</v>
      </c>
      <c r="B336" s="63"/>
      <c r="C336" s="131">
        <f aca="true" t="shared" si="107" ref="C336:Q336">SUM(C338:C354)</f>
        <v>445182.60000000003</v>
      </c>
      <c r="D336" s="82">
        <f t="shared" si="107"/>
        <v>1399655.2200000002</v>
      </c>
      <c r="E336" s="171">
        <f t="shared" si="107"/>
        <v>-22655.07</v>
      </c>
      <c r="F336" s="201">
        <f t="shared" si="107"/>
        <v>1822182.75</v>
      </c>
      <c r="G336" s="215">
        <f t="shared" si="107"/>
        <v>446029.77999999997</v>
      </c>
      <c r="H336" s="239">
        <f t="shared" si="107"/>
        <v>-877.53</v>
      </c>
      <c r="I336" s="185">
        <f t="shared" si="107"/>
        <v>2267335</v>
      </c>
      <c r="J336" s="185">
        <f t="shared" si="107"/>
        <v>256466.18000000002</v>
      </c>
      <c r="K336" s="280">
        <f t="shared" si="107"/>
        <v>-94.3799999999992</v>
      </c>
      <c r="L336" s="185">
        <f t="shared" si="107"/>
        <v>2523706.8</v>
      </c>
      <c r="M336" s="215">
        <f t="shared" si="107"/>
        <v>334227.6200000001</v>
      </c>
      <c r="N336" s="296">
        <f t="shared" si="107"/>
        <v>0</v>
      </c>
      <c r="O336" s="239">
        <f t="shared" si="107"/>
        <v>2857934.42</v>
      </c>
      <c r="P336" s="123">
        <f t="shared" si="107"/>
        <v>0</v>
      </c>
      <c r="Q336" s="81">
        <f t="shared" si="107"/>
        <v>0</v>
      </c>
    </row>
    <row r="337" spans="1:17" ht="12.75">
      <c r="A337" s="15" t="s">
        <v>27</v>
      </c>
      <c r="B337" s="59"/>
      <c r="C337" s="106"/>
      <c r="D337" s="75"/>
      <c r="E337" s="168"/>
      <c r="F337" s="198"/>
      <c r="G337" s="211"/>
      <c r="H337" s="235"/>
      <c r="I337" s="181"/>
      <c r="J337" s="181"/>
      <c r="K337" s="276"/>
      <c r="L337" s="181"/>
      <c r="M337" s="219"/>
      <c r="N337" s="292"/>
      <c r="O337" s="235"/>
      <c r="P337" s="112"/>
      <c r="Q337" s="46"/>
    </row>
    <row r="338" spans="1:17" ht="12.75" hidden="1">
      <c r="A338" s="15" t="s">
        <v>192</v>
      </c>
      <c r="B338" s="59"/>
      <c r="C338" s="106"/>
      <c r="D338" s="75"/>
      <c r="E338" s="168"/>
      <c r="F338" s="198">
        <f aca="true" t="shared" si="108" ref="F338:F366">C338+D338+E338</f>
        <v>0</v>
      </c>
      <c r="G338" s="211"/>
      <c r="H338" s="235"/>
      <c r="I338" s="181">
        <f aca="true" t="shared" si="109" ref="I338:I366">F338+G338+H338</f>
        <v>0</v>
      </c>
      <c r="J338" s="181"/>
      <c r="K338" s="276"/>
      <c r="L338" s="181">
        <f aca="true" t="shared" si="110" ref="L338:L366">I338+J338+K338</f>
        <v>0</v>
      </c>
      <c r="M338" s="219"/>
      <c r="N338" s="292"/>
      <c r="O338" s="235"/>
      <c r="P338" s="112"/>
      <c r="Q338" s="46"/>
    </row>
    <row r="339" spans="1:17" ht="12.75">
      <c r="A339" s="15" t="s">
        <v>191</v>
      </c>
      <c r="B339" s="151">
        <v>1081.1202</v>
      </c>
      <c r="C339" s="106">
        <v>5423</v>
      </c>
      <c r="D339" s="75">
        <f>892.37</f>
        <v>892.37</v>
      </c>
      <c r="E339" s="168"/>
      <c r="F339" s="198">
        <f t="shared" si="108"/>
        <v>6315.37</v>
      </c>
      <c r="G339" s="211"/>
      <c r="H339" s="235"/>
      <c r="I339" s="181">
        <f t="shared" si="109"/>
        <v>6315.37</v>
      </c>
      <c r="J339" s="181"/>
      <c r="K339" s="276"/>
      <c r="L339" s="181">
        <f t="shared" si="110"/>
        <v>6315.37</v>
      </c>
      <c r="M339" s="219"/>
      <c r="N339" s="292"/>
      <c r="O339" s="235">
        <f aca="true" t="shared" si="111" ref="O339:O366">L339+M339+N339</f>
        <v>6315.37</v>
      </c>
      <c r="P339" s="112"/>
      <c r="Q339" s="46"/>
    </row>
    <row r="340" spans="1:17" ht="12.75">
      <c r="A340" s="15" t="s">
        <v>182</v>
      </c>
      <c r="B340" s="59"/>
      <c r="C340" s="106">
        <v>13853</v>
      </c>
      <c r="D340" s="75">
        <f>9223.46</f>
        <v>9223.46</v>
      </c>
      <c r="E340" s="168"/>
      <c r="F340" s="198">
        <f t="shared" si="108"/>
        <v>23076.46</v>
      </c>
      <c r="G340" s="211"/>
      <c r="H340" s="235"/>
      <c r="I340" s="181">
        <f t="shared" si="109"/>
        <v>23076.46</v>
      </c>
      <c r="J340" s="181">
        <f>34920-2500</f>
        <v>32420</v>
      </c>
      <c r="K340" s="276"/>
      <c r="L340" s="181">
        <f t="shared" si="110"/>
        <v>55496.46</v>
      </c>
      <c r="M340" s="219"/>
      <c r="N340" s="292"/>
      <c r="O340" s="235">
        <f t="shared" si="111"/>
        <v>55496.46</v>
      </c>
      <c r="P340" s="112"/>
      <c r="Q340" s="46"/>
    </row>
    <row r="341" spans="1:17" ht="12.75" hidden="1">
      <c r="A341" s="15" t="s">
        <v>259</v>
      </c>
      <c r="B341" s="59">
        <v>3000</v>
      </c>
      <c r="C341" s="106"/>
      <c r="D341" s="86"/>
      <c r="E341" s="173"/>
      <c r="F341" s="198">
        <f t="shared" si="108"/>
        <v>0</v>
      </c>
      <c r="G341" s="211"/>
      <c r="H341" s="235"/>
      <c r="I341" s="181">
        <f t="shared" si="109"/>
        <v>0</v>
      </c>
      <c r="J341" s="181"/>
      <c r="K341" s="276"/>
      <c r="L341" s="181">
        <f t="shared" si="110"/>
        <v>0</v>
      </c>
      <c r="M341" s="219"/>
      <c r="N341" s="292"/>
      <c r="O341" s="235">
        <f t="shared" si="111"/>
        <v>0</v>
      </c>
      <c r="P341" s="112"/>
      <c r="Q341" s="46"/>
    </row>
    <row r="342" spans="1:17" ht="12.75">
      <c r="A342" s="15" t="s">
        <v>244</v>
      </c>
      <c r="B342" s="59"/>
      <c r="C342" s="106"/>
      <c r="D342" s="86">
        <f>802.9</f>
        <v>802.9</v>
      </c>
      <c r="E342" s="173"/>
      <c r="F342" s="198">
        <f t="shared" si="108"/>
        <v>802.9</v>
      </c>
      <c r="G342" s="211"/>
      <c r="H342" s="235"/>
      <c r="I342" s="181">
        <f t="shared" si="109"/>
        <v>802.9</v>
      </c>
      <c r="J342" s="181"/>
      <c r="K342" s="276"/>
      <c r="L342" s="181">
        <f t="shared" si="110"/>
        <v>802.9</v>
      </c>
      <c r="M342" s="219"/>
      <c r="N342" s="292"/>
      <c r="O342" s="235">
        <f t="shared" si="111"/>
        <v>802.9</v>
      </c>
      <c r="P342" s="112"/>
      <c r="Q342" s="46"/>
    </row>
    <row r="343" spans="1:17" ht="13.5" thickBot="1">
      <c r="A343" s="323" t="s">
        <v>263</v>
      </c>
      <c r="B343" s="103"/>
      <c r="C343" s="134">
        <v>85000</v>
      </c>
      <c r="D343" s="324">
        <f>323102.36</f>
        <v>323102.36</v>
      </c>
      <c r="E343" s="325">
        <v>-20000</v>
      </c>
      <c r="F343" s="204">
        <f t="shared" si="108"/>
        <v>388102.36</v>
      </c>
      <c r="G343" s="317"/>
      <c r="H343" s="318"/>
      <c r="I343" s="319">
        <f t="shared" si="109"/>
        <v>388102.36</v>
      </c>
      <c r="J343" s="319">
        <v>-65000</v>
      </c>
      <c r="K343" s="320"/>
      <c r="L343" s="319">
        <f t="shared" si="110"/>
        <v>323102.36</v>
      </c>
      <c r="M343" s="326"/>
      <c r="N343" s="321"/>
      <c r="O343" s="318">
        <f t="shared" si="111"/>
        <v>323102.36</v>
      </c>
      <c r="P343" s="112"/>
      <c r="Q343" s="46"/>
    </row>
    <row r="344" spans="1:17" ht="12.75">
      <c r="A344" s="15" t="s">
        <v>288</v>
      </c>
      <c r="B344" s="116">
        <v>212161</v>
      </c>
      <c r="C344" s="106">
        <v>66696.7</v>
      </c>
      <c r="D344" s="86">
        <f>54009.82</f>
        <v>54009.82</v>
      </c>
      <c r="E344" s="173"/>
      <c r="F344" s="198">
        <f t="shared" si="108"/>
        <v>120706.51999999999</v>
      </c>
      <c r="G344" s="211"/>
      <c r="H344" s="235"/>
      <c r="I344" s="181">
        <f t="shared" si="109"/>
        <v>120706.51999999999</v>
      </c>
      <c r="J344" s="181"/>
      <c r="K344" s="276"/>
      <c r="L344" s="181">
        <f t="shared" si="110"/>
        <v>120706.51999999999</v>
      </c>
      <c r="M344" s="219"/>
      <c r="N344" s="292"/>
      <c r="O344" s="235">
        <f t="shared" si="111"/>
        <v>120706.51999999999</v>
      </c>
      <c r="P344" s="112"/>
      <c r="Q344" s="46"/>
    </row>
    <row r="345" spans="1:17" ht="12.75">
      <c r="A345" s="15" t="s">
        <v>271</v>
      </c>
      <c r="B345" s="116">
        <v>22777</v>
      </c>
      <c r="C345" s="106"/>
      <c r="D345" s="86"/>
      <c r="E345" s="173"/>
      <c r="F345" s="198">
        <f t="shared" si="108"/>
        <v>0</v>
      </c>
      <c r="G345" s="211"/>
      <c r="H345" s="235"/>
      <c r="I345" s="181">
        <f t="shared" si="109"/>
        <v>0</v>
      </c>
      <c r="J345" s="181">
        <f>28638.93</f>
        <v>28638.93</v>
      </c>
      <c r="K345" s="276"/>
      <c r="L345" s="181">
        <f t="shared" si="110"/>
        <v>28638.93</v>
      </c>
      <c r="M345" s="219"/>
      <c r="N345" s="292"/>
      <c r="O345" s="235">
        <f t="shared" si="111"/>
        <v>28638.93</v>
      </c>
      <c r="P345" s="112"/>
      <c r="Q345" s="46"/>
    </row>
    <row r="346" spans="1:17" ht="12.75">
      <c r="A346" s="15" t="s">
        <v>183</v>
      </c>
      <c r="B346" s="116">
        <v>212162</v>
      </c>
      <c r="C346" s="106"/>
      <c r="D346" s="86">
        <f>87850.14</f>
        <v>87850.14</v>
      </c>
      <c r="E346" s="173"/>
      <c r="F346" s="198">
        <f t="shared" si="108"/>
        <v>87850.14</v>
      </c>
      <c r="G346" s="211"/>
      <c r="H346" s="235"/>
      <c r="I346" s="181">
        <f t="shared" si="109"/>
        <v>87850.14</v>
      </c>
      <c r="J346" s="181">
        <f>-35000</f>
        <v>-35000</v>
      </c>
      <c r="K346" s="276"/>
      <c r="L346" s="181">
        <f t="shared" si="110"/>
        <v>52850.14</v>
      </c>
      <c r="M346" s="219"/>
      <c r="N346" s="292"/>
      <c r="O346" s="235">
        <f t="shared" si="111"/>
        <v>52850.14</v>
      </c>
      <c r="P346" s="112"/>
      <c r="Q346" s="46"/>
    </row>
    <row r="347" spans="1:17" ht="12.75">
      <c r="A347" s="15" t="s">
        <v>347</v>
      </c>
      <c r="B347" s="116">
        <v>22777</v>
      </c>
      <c r="C347" s="106"/>
      <c r="D347" s="86"/>
      <c r="E347" s="173"/>
      <c r="F347" s="198"/>
      <c r="G347" s="211"/>
      <c r="H347" s="235"/>
      <c r="I347" s="181">
        <f t="shared" si="109"/>
        <v>0</v>
      </c>
      <c r="J347" s="181">
        <f>6866.99+10303.63</f>
        <v>17170.62</v>
      </c>
      <c r="K347" s="276"/>
      <c r="L347" s="181">
        <f t="shared" si="110"/>
        <v>17170.62</v>
      </c>
      <c r="M347" s="219"/>
      <c r="N347" s="292"/>
      <c r="O347" s="235">
        <f t="shared" si="111"/>
        <v>17170.62</v>
      </c>
      <c r="P347" s="112"/>
      <c r="Q347" s="46"/>
    </row>
    <row r="348" spans="1:17" ht="12.75">
      <c r="A348" s="15" t="s">
        <v>336</v>
      </c>
      <c r="B348" s="116">
        <v>91628</v>
      </c>
      <c r="C348" s="106"/>
      <c r="D348" s="86"/>
      <c r="E348" s="173"/>
      <c r="F348" s="198">
        <f t="shared" si="108"/>
        <v>0</v>
      </c>
      <c r="G348" s="211">
        <f>190000</f>
        <v>190000</v>
      </c>
      <c r="H348" s="235"/>
      <c r="I348" s="181">
        <f t="shared" si="109"/>
        <v>190000</v>
      </c>
      <c r="J348" s="181"/>
      <c r="K348" s="276"/>
      <c r="L348" s="181">
        <f t="shared" si="110"/>
        <v>190000</v>
      </c>
      <c r="M348" s="219">
        <f>-14645</f>
        <v>-14645</v>
      </c>
      <c r="N348" s="292"/>
      <c r="O348" s="235">
        <f t="shared" si="111"/>
        <v>175355</v>
      </c>
      <c r="P348" s="112"/>
      <c r="Q348" s="46"/>
    </row>
    <row r="349" spans="1:17" ht="12.75">
      <c r="A349" s="15" t="s">
        <v>338</v>
      </c>
      <c r="B349" s="116">
        <v>91628</v>
      </c>
      <c r="C349" s="106"/>
      <c r="D349" s="86"/>
      <c r="E349" s="173"/>
      <c r="F349" s="198">
        <f t="shared" si="108"/>
        <v>0</v>
      </c>
      <c r="G349" s="211">
        <f>83617.95</f>
        <v>83617.95</v>
      </c>
      <c r="H349" s="235"/>
      <c r="I349" s="181">
        <f t="shared" si="109"/>
        <v>83617.95</v>
      </c>
      <c r="J349" s="181"/>
      <c r="K349" s="276"/>
      <c r="L349" s="181">
        <f t="shared" si="110"/>
        <v>83617.95</v>
      </c>
      <c r="M349" s="219"/>
      <c r="N349" s="292"/>
      <c r="O349" s="235">
        <f t="shared" si="111"/>
        <v>83617.95</v>
      </c>
      <c r="P349" s="112"/>
      <c r="Q349" s="46"/>
    </row>
    <row r="350" spans="1:17" ht="12.75">
      <c r="A350" s="15" t="s">
        <v>357</v>
      </c>
      <c r="B350" s="116">
        <v>98858</v>
      </c>
      <c r="C350" s="106"/>
      <c r="D350" s="86"/>
      <c r="E350" s="173"/>
      <c r="F350" s="198"/>
      <c r="G350" s="211"/>
      <c r="H350" s="235"/>
      <c r="I350" s="181"/>
      <c r="J350" s="181"/>
      <c r="K350" s="276"/>
      <c r="L350" s="181">
        <f t="shared" si="110"/>
        <v>0</v>
      </c>
      <c r="M350" s="219">
        <f>36500</f>
        <v>36500</v>
      </c>
      <c r="N350" s="292"/>
      <c r="O350" s="235">
        <f t="shared" si="111"/>
        <v>36500</v>
      </c>
      <c r="P350" s="112"/>
      <c r="Q350" s="46"/>
    </row>
    <row r="351" spans="1:17" ht="12.75">
      <c r="A351" s="15" t="s">
        <v>331</v>
      </c>
      <c r="B351" s="116">
        <v>95823</v>
      </c>
      <c r="C351" s="106"/>
      <c r="D351" s="86"/>
      <c r="E351" s="173"/>
      <c r="F351" s="198">
        <f t="shared" si="108"/>
        <v>0</v>
      </c>
      <c r="G351" s="211"/>
      <c r="H351" s="235"/>
      <c r="I351" s="181">
        <f t="shared" si="109"/>
        <v>0</v>
      </c>
      <c r="J351" s="181"/>
      <c r="K351" s="276"/>
      <c r="L351" s="181">
        <f t="shared" si="110"/>
        <v>0</v>
      </c>
      <c r="M351" s="219">
        <f>10535.8</f>
        <v>10535.8</v>
      </c>
      <c r="N351" s="292"/>
      <c r="O351" s="235">
        <f t="shared" si="111"/>
        <v>10535.8</v>
      </c>
      <c r="P351" s="112"/>
      <c r="Q351" s="46"/>
    </row>
    <row r="352" spans="1:17" ht="12.75">
      <c r="A352" s="15" t="s">
        <v>351</v>
      </c>
      <c r="B352" s="260" t="s">
        <v>352</v>
      </c>
      <c r="C352" s="106"/>
      <c r="D352" s="86"/>
      <c r="E352" s="173"/>
      <c r="F352" s="198"/>
      <c r="G352" s="211"/>
      <c r="H352" s="235"/>
      <c r="I352" s="181"/>
      <c r="J352" s="181">
        <v>2474.55</v>
      </c>
      <c r="K352" s="276"/>
      <c r="L352" s="181">
        <f t="shared" si="110"/>
        <v>2474.55</v>
      </c>
      <c r="M352" s="219"/>
      <c r="N352" s="292"/>
      <c r="O352" s="235">
        <f t="shared" si="111"/>
        <v>2474.55</v>
      </c>
      <c r="P352" s="112"/>
      <c r="Q352" s="46"/>
    </row>
    <row r="353" spans="1:17" ht="12.75">
      <c r="A353" s="15" t="s">
        <v>225</v>
      </c>
      <c r="B353" s="59"/>
      <c r="C353" s="106">
        <v>1200</v>
      </c>
      <c r="D353" s="86"/>
      <c r="E353" s="173"/>
      <c r="F353" s="198">
        <f t="shared" si="108"/>
        <v>1200</v>
      </c>
      <c r="G353" s="211"/>
      <c r="H353" s="235"/>
      <c r="I353" s="181">
        <f t="shared" si="109"/>
        <v>1200</v>
      </c>
      <c r="J353" s="181"/>
      <c r="K353" s="276"/>
      <c r="L353" s="181">
        <f t="shared" si="110"/>
        <v>1200</v>
      </c>
      <c r="M353" s="219"/>
      <c r="N353" s="292"/>
      <c r="O353" s="235">
        <f t="shared" si="111"/>
        <v>1200</v>
      </c>
      <c r="P353" s="112"/>
      <c r="Q353" s="46"/>
    </row>
    <row r="354" spans="1:17" ht="12.75">
      <c r="A354" s="15" t="s">
        <v>184</v>
      </c>
      <c r="B354" s="59"/>
      <c r="C354" s="106">
        <f>SUM(C355:C366)</f>
        <v>273009.9</v>
      </c>
      <c r="D354" s="75">
        <f aca="true" t="shared" si="112" ref="D354:Q354">SUM(D355:D366)</f>
        <v>923774.1700000002</v>
      </c>
      <c r="E354" s="168">
        <f t="shared" si="112"/>
        <v>-2655.07</v>
      </c>
      <c r="F354" s="198">
        <f t="shared" si="112"/>
        <v>1194129</v>
      </c>
      <c r="G354" s="211">
        <f t="shared" si="112"/>
        <v>172411.82999999996</v>
      </c>
      <c r="H354" s="235">
        <f t="shared" si="112"/>
        <v>-877.53</v>
      </c>
      <c r="I354" s="181">
        <f t="shared" si="112"/>
        <v>1365663.3</v>
      </c>
      <c r="J354" s="181">
        <f t="shared" si="112"/>
        <v>275762.08</v>
      </c>
      <c r="K354" s="276">
        <f t="shared" si="112"/>
        <v>-94.3799999999992</v>
      </c>
      <c r="L354" s="181">
        <f t="shared" si="112"/>
        <v>1641331</v>
      </c>
      <c r="M354" s="211">
        <f t="shared" si="112"/>
        <v>301836.8200000001</v>
      </c>
      <c r="N354" s="292">
        <f t="shared" si="112"/>
        <v>0</v>
      </c>
      <c r="O354" s="235">
        <f t="shared" si="112"/>
        <v>1943167.8199999998</v>
      </c>
      <c r="P354" s="107">
        <f t="shared" si="112"/>
        <v>0</v>
      </c>
      <c r="Q354" s="106">
        <f t="shared" si="112"/>
        <v>0</v>
      </c>
    </row>
    <row r="355" spans="1:17" ht="12.75">
      <c r="A355" s="15" t="s">
        <v>185</v>
      </c>
      <c r="B355" s="59"/>
      <c r="C355" s="106">
        <f>28200</f>
        <v>28200</v>
      </c>
      <c r="D355" s="86">
        <f>6000+124756.58+12000</f>
        <v>142756.58000000002</v>
      </c>
      <c r="E355" s="168"/>
      <c r="F355" s="198">
        <f t="shared" si="108"/>
        <v>170956.58000000002</v>
      </c>
      <c r="G355" s="211">
        <f>8486.19+17525+499.19+297.65</f>
        <v>26808.030000000002</v>
      </c>
      <c r="H355" s="235"/>
      <c r="I355" s="181">
        <f t="shared" si="109"/>
        <v>197764.61000000002</v>
      </c>
      <c r="J355" s="189">
        <f>643.32+10936.47+5060.02+4507.32+1502.83+8931.07+7830.97+246.78-1500</f>
        <v>38158.78</v>
      </c>
      <c r="K355" s="276"/>
      <c r="L355" s="181">
        <f t="shared" si="110"/>
        <v>235923.39</v>
      </c>
      <c r="M355" s="219">
        <f>4195.18+7269.4+10368.23+4950.82+74.45+1265.65+5181.6+1242.9+6000-1500-500</f>
        <v>38548.23</v>
      </c>
      <c r="N355" s="292"/>
      <c r="O355" s="235">
        <f t="shared" si="111"/>
        <v>274471.62</v>
      </c>
      <c r="P355" s="112"/>
      <c r="Q355" s="46"/>
    </row>
    <row r="356" spans="1:17" ht="12.75" hidden="1">
      <c r="A356" s="15" t="s">
        <v>208</v>
      </c>
      <c r="B356" s="59"/>
      <c r="C356" s="106"/>
      <c r="D356" s="86"/>
      <c r="E356" s="168"/>
      <c r="F356" s="198">
        <f t="shared" si="108"/>
        <v>0</v>
      </c>
      <c r="G356" s="211"/>
      <c r="H356" s="235"/>
      <c r="I356" s="181">
        <f t="shared" si="109"/>
        <v>0</v>
      </c>
      <c r="J356" s="181"/>
      <c r="K356" s="276"/>
      <c r="L356" s="181">
        <f t="shared" si="110"/>
        <v>0</v>
      </c>
      <c r="M356" s="219"/>
      <c r="N356" s="292"/>
      <c r="O356" s="235">
        <f t="shared" si="111"/>
        <v>0</v>
      </c>
      <c r="P356" s="112"/>
      <c r="Q356" s="46"/>
    </row>
    <row r="357" spans="1:17" ht="12.75">
      <c r="A357" s="15" t="s">
        <v>193</v>
      </c>
      <c r="B357" s="59"/>
      <c r="C357" s="106"/>
      <c r="D357" s="86">
        <f>6918.68-4000</f>
        <v>2918.6800000000003</v>
      </c>
      <c r="E357" s="168"/>
      <c r="F357" s="198">
        <f t="shared" si="108"/>
        <v>2918.6800000000003</v>
      </c>
      <c r="G357" s="211">
        <f>-1200</f>
        <v>-1200</v>
      </c>
      <c r="H357" s="235"/>
      <c r="I357" s="181">
        <f t="shared" si="109"/>
        <v>1718.6800000000003</v>
      </c>
      <c r="J357" s="181"/>
      <c r="K357" s="276"/>
      <c r="L357" s="181">
        <f t="shared" si="110"/>
        <v>1718.6800000000003</v>
      </c>
      <c r="M357" s="219"/>
      <c r="N357" s="292"/>
      <c r="O357" s="235">
        <f t="shared" si="111"/>
        <v>1718.6800000000003</v>
      </c>
      <c r="P357" s="112"/>
      <c r="Q357" s="46"/>
    </row>
    <row r="358" spans="1:17" ht="12.75" hidden="1">
      <c r="A358" s="15" t="s">
        <v>220</v>
      </c>
      <c r="B358" s="59"/>
      <c r="C358" s="106"/>
      <c r="D358" s="86"/>
      <c r="E358" s="168"/>
      <c r="F358" s="198">
        <f t="shared" si="108"/>
        <v>0</v>
      </c>
      <c r="G358" s="211"/>
      <c r="H358" s="235"/>
      <c r="I358" s="181">
        <f t="shared" si="109"/>
        <v>0</v>
      </c>
      <c r="J358" s="181"/>
      <c r="K358" s="276"/>
      <c r="L358" s="181">
        <f t="shared" si="110"/>
        <v>0</v>
      </c>
      <c r="M358" s="219"/>
      <c r="N358" s="292"/>
      <c r="O358" s="235">
        <f t="shared" si="111"/>
        <v>0</v>
      </c>
      <c r="P358" s="112"/>
      <c r="Q358" s="46"/>
    </row>
    <row r="359" spans="1:17" ht="12.75">
      <c r="A359" s="15" t="s">
        <v>186</v>
      </c>
      <c r="B359" s="59"/>
      <c r="C359" s="106">
        <v>105826</v>
      </c>
      <c r="D359" s="86">
        <f>293.65+4388.99+169925.07+3000+1001+999+4295+5000</f>
        <v>188902.71000000002</v>
      </c>
      <c r="E359" s="168"/>
      <c r="F359" s="198">
        <f t="shared" si="108"/>
        <v>294728.71</v>
      </c>
      <c r="G359" s="211">
        <f>392.34+236.73+2144.93+4940.43+62.15+2603</f>
        <v>10379.58</v>
      </c>
      <c r="H359" s="235"/>
      <c r="I359" s="181">
        <f t="shared" si="109"/>
        <v>305108.29000000004</v>
      </c>
      <c r="J359" s="181">
        <f>241.33+439.45+244.81+90450.1-62.15+43.42</f>
        <v>91356.96</v>
      </c>
      <c r="K359" s="276"/>
      <c r="L359" s="181">
        <f t="shared" si="110"/>
        <v>396465.25000000006</v>
      </c>
      <c r="M359" s="219">
        <f>233.33+123644.63+0.8-75.82-308.3-1452.72+2000+51319.65</f>
        <v>175361.57</v>
      </c>
      <c r="N359" s="292"/>
      <c r="O359" s="235">
        <f t="shared" si="111"/>
        <v>571826.8200000001</v>
      </c>
      <c r="P359" s="112"/>
      <c r="Q359" s="46"/>
    </row>
    <row r="360" spans="1:17" ht="12.75">
      <c r="A360" s="15" t="s">
        <v>187</v>
      </c>
      <c r="B360" s="59"/>
      <c r="C360" s="106">
        <v>70970</v>
      </c>
      <c r="D360" s="86">
        <f>2785.56+1964.29+16.4+1012.1+24686.08+2900.87-25341+200+2663.24+4000+400+48.79+2011.13</f>
        <v>17347.460000000003</v>
      </c>
      <c r="E360" s="168">
        <v>-32.67</v>
      </c>
      <c r="F360" s="198">
        <f t="shared" si="108"/>
        <v>88284.79000000001</v>
      </c>
      <c r="G360" s="211">
        <f>1525.85+2760.02+2355.48+3533.22+128.24+5000.32+267+2930+545.17+2605.02-1166.33+4649.7+6414.07+448.87+36.81+17.24+3986.74+8573.55</f>
        <v>44610.97</v>
      </c>
      <c r="H360" s="235"/>
      <c r="I360" s="181">
        <f t="shared" si="109"/>
        <v>132895.76</v>
      </c>
      <c r="J360" s="181">
        <f>295.13+1014.74+2670.06+2392.1+1646.06+1196.7+10.89+4025.54+2720.07+829.53+8.28+18.51+5390.64+290.34+507.75+9.26+8082.87+17706.57+12615.21+4586.83+534.35+43.56+263.74+108.39+332.15+2515.49+17.24+805.75+3872.36+1569.83+387.33+18.51+3135.35+141.16+712.35+2357.86+209.07+21.78+19.6+318.91+23.96-108.39-13.96+1340.47+2015.61+821.49+2121.94+570.27+14.16+1009.68+3667.37+930.7+36.88+3962.49+3626.99+855.31+4410.18+682.86+805.69+321.67+2420+1070.66+12.35+21.78+311.98+548.54+830.48</f>
        <v>115713.02000000003</v>
      </c>
      <c r="K360" s="276">
        <f>8119.81</f>
        <v>8119.81</v>
      </c>
      <c r="L360" s="181">
        <f t="shared" si="110"/>
        <v>256728.59000000003</v>
      </c>
      <c r="M360" s="219">
        <f>2076.94+11.98+576.35+32.9+6005.29+175.43+1227.68+5253.7+2253.29+4847.55+1290.1+1273.14+18.15+8742.14+1779.45+7070.18+18.51+3154.53+27.23+1032.83+1752.4+35.26+30.25+66.23+2871.07+1689.32+3523.1+32.9+1891.68+10418.74+710.11+1375.38+1271.62+21.78+2345.06+19.6+1135.86+27.22+32.51+5.45+18.51+219.96+808.67+101.18+1375.41+2343.22+3776.98+379.82+4555.17+293.28+1350.16+18.15+1914.34-101.18+1899.61+4091.81+5189.23+735.86+5.23+431.42+1686.4+18.51+1753+6288.39+1000-769.48-290.4</f>
        <v>115216.15999999999</v>
      </c>
      <c r="N360" s="292"/>
      <c r="O360" s="235">
        <f t="shared" si="111"/>
        <v>371944.75</v>
      </c>
      <c r="P360" s="112"/>
      <c r="Q360" s="46"/>
    </row>
    <row r="361" spans="1:17" ht="12.75">
      <c r="A361" s="15" t="s">
        <v>194</v>
      </c>
      <c r="B361" s="59"/>
      <c r="C361" s="106">
        <v>5112</v>
      </c>
      <c r="D361" s="86">
        <f>28155.98+861.34+4000</f>
        <v>33017.32</v>
      </c>
      <c r="E361" s="168"/>
      <c r="F361" s="198">
        <f t="shared" si="108"/>
        <v>38129.32</v>
      </c>
      <c r="G361" s="211"/>
      <c r="H361" s="235"/>
      <c r="I361" s="181">
        <f t="shared" si="109"/>
        <v>38129.32</v>
      </c>
      <c r="J361" s="181">
        <f>60-18100</f>
        <v>-18040</v>
      </c>
      <c r="K361" s="276"/>
      <c r="L361" s="181">
        <f t="shared" si="110"/>
        <v>20089.32</v>
      </c>
      <c r="M361" s="219">
        <f>1380.53+7459.54</f>
        <v>8840.07</v>
      </c>
      <c r="N361" s="292"/>
      <c r="O361" s="235">
        <f t="shared" si="111"/>
        <v>28929.39</v>
      </c>
      <c r="P361" s="112"/>
      <c r="Q361" s="46"/>
    </row>
    <row r="362" spans="1:17" ht="12.75">
      <c r="A362" s="15" t="s">
        <v>206</v>
      </c>
      <c r="B362" s="59"/>
      <c r="C362" s="106">
        <v>51388</v>
      </c>
      <c r="D362" s="86">
        <f>27.78+24476.16-3000-4295-5014-11260</f>
        <v>934.9399999999987</v>
      </c>
      <c r="E362" s="168"/>
      <c r="F362" s="198">
        <f t="shared" si="108"/>
        <v>52322.94</v>
      </c>
      <c r="G362" s="211">
        <f>350-4630+752.84</f>
        <v>-3527.16</v>
      </c>
      <c r="H362" s="235">
        <v>266.02</v>
      </c>
      <c r="I362" s="181">
        <f t="shared" si="109"/>
        <v>49061.799999999996</v>
      </c>
      <c r="J362" s="181">
        <f>14.16+1059.91+16.34+852.66+4.28-5.05</f>
        <v>1942.3000000000002</v>
      </c>
      <c r="K362" s="276">
        <f>993.06</f>
        <v>993.06</v>
      </c>
      <c r="L362" s="181">
        <f t="shared" si="110"/>
        <v>51997.159999999996</v>
      </c>
      <c r="M362" s="219">
        <f>10.89+348.71+2071.47+16.34+191.3-18096+659.87</f>
        <v>-14797.42</v>
      </c>
      <c r="N362" s="292"/>
      <c r="O362" s="235">
        <f t="shared" si="111"/>
        <v>37199.74</v>
      </c>
      <c r="P362" s="112"/>
      <c r="Q362" s="46"/>
    </row>
    <row r="363" spans="1:17" ht="12.75">
      <c r="A363" s="15" t="s">
        <v>188</v>
      </c>
      <c r="B363" s="59"/>
      <c r="C363" s="106">
        <v>4480</v>
      </c>
      <c r="D363" s="75">
        <f>30457.95+214.56+3157.39+6000</f>
        <v>39829.9</v>
      </c>
      <c r="E363" s="168"/>
      <c r="F363" s="198">
        <f t="shared" si="108"/>
        <v>44309.9</v>
      </c>
      <c r="G363" s="211">
        <f>220</f>
        <v>220</v>
      </c>
      <c r="H363" s="235"/>
      <c r="I363" s="181">
        <f t="shared" si="109"/>
        <v>44529.9</v>
      </c>
      <c r="J363" s="189"/>
      <c r="K363" s="276"/>
      <c r="L363" s="181">
        <f t="shared" si="110"/>
        <v>44529.9</v>
      </c>
      <c r="M363" s="219"/>
      <c r="N363" s="292"/>
      <c r="O363" s="235">
        <f t="shared" si="111"/>
        <v>44529.9</v>
      </c>
      <c r="P363" s="112"/>
      <c r="Q363" s="46"/>
    </row>
    <row r="364" spans="1:17" ht="12.75">
      <c r="A364" s="15" t="s">
        <v>268</v>
      </c>
      <c r="B364" s="59">
        <v>2088</v>
      </c>
      <c r="C364" s="106"/>
      <c r="D364" s="75">
        <f>70948.69</f>
        <v>70948.69</v>
      </c>
      <c r="E364" s="168"/>
      <c r="F364" s="198">
        <f t="shared" si="108"/>
        <v>70948.69</v>
      </c>
      <c r="G364" s="211">
        <f>12284.06+17096.88+3934.39+1706.91+20683.32+18227.47+23024.59</f>
        <v>96957.62</v>
      </c>
      <c r="H364" s="235"/>
      <c r="I364" s="181">
        <f t="shared" si="109"/>
        <v>167906.31</v>
      </c>
      <c r="J364" s="181">
        <f>1871.38-90450.1+153.55+15062.51+25721.3+30709.14</f>
        <v>-16932.22</v>
      </c>
      <c r="K364" s="276"/>
      <c r="L364" s="181">
        <f t="shared" si="110"/>
        <v>150974.09</v>
      </c>
      <c r="M364" s="219">
        <f>45231.07-123644.63+10313.8+11057.56+48817.19+30104.94+16210.21+16138.17+14270.99+16009.21+15837.05-51319.65</f>
        <v>49025.91000000001</v>
      </c>
      <c r="N364" s="292"/>
      <c r="O364" s="235">
        <f t="shared" si="111"/>
        <v>200000</v>
      </c>
      <c r="P364" s="112"/>
      <c r="Q364" s="46"/>
    </row>
    <row r="365" spans="1:17" ht="12.75">
      <c r="A365" s="15" t="s">
        <v>269</v>
      </c>
      <c r="B365" s="59">
        <v>2077</v>
      </c>
      <c r="C365" s="106">
        <v>7033.9</v>
      </c>
      <c r="D365" s="75">
        <f>-1671.34-27.78-9.84+115737.11-999+5014+11260+25341-2663.24-120-1330-620-650+96.67</f>
        <v>149357.58000000002</v>
      </c>
      <c r="E365" s="168"/>
      <c r="F365" s="198">
        <f t="shared" si="108"/>
        <v>156391.48</v>
      </c>
      <c r="G365" s="211">
        <f>-3533.22-720.65-327.1-1563.01+450+1166.33-745.72-3074.02-1290.71-269.32-22.09</f>
        <v>-9929.510000000002</v>
      </c>
      <c r="H365" s="235">
        <f>-266.02</f>
        <v>-266.02</v>
      </c>
      <c r="I365" s="181">
        <f t="shared" si="109"/>
        <v>146195.95</v>
      </c>
      <c r="J365" s="181">
        <f>-177.08-608.84-1602.04-987.64-2415.32-1374.56-429.14-515.12-1163.78-575.85-483.45-2320.99-4.05-629.33-520.95-1881.21-427.41-1273.16-558.42-22.13-2377.49-609.94-193-12000-4.28-12.35</f>
        <v>-33167.52999999999</v>
      </c>
      <c r="K365" s="276"/>
      <c r="L365" s="181">
        <f t="shared" si="110"/>
        <v>113028.42000000001</v>
      </c>
      <c r="M365" s="219">
        <f>-19.74-175.43-756.74-3152.22-811.56-10.89-6252.23-35.26-30.25-66.23-1311.65-3513.42-19.74-80.87-1366.58-69.58-2266.19-227.89-4542.25-293.28-10.89-1148.6-361.44+308.3+18096+1500+500+769.48</f>
        <v>-5349.149999999998</v>
      </c>
      <c r="N365" s="292"/>
      <c r="O365" s="235">
        <f t="shared" si="111"/>
        <v>107679.27000000002</v>
      </c>
      <c r="P365" s="112"/>
      <c r="Q365" s="46"/>
    </row>
    <row r="366" spans="1:19" ht="12.75">
      <c r="A366" s="22" t="s">
        <v>270</v>
      </c>
      <c r="B366" s="62">
        <v>2099</v>
      </c>
      <c r="C366" s="132"/>
      <c r="D366" s="83">
        <f>-1114.22-293.65-1964.29-6.56+198823.65+0.98+342.09-13.59-1012.1-2900.87-1600-4840+350+94000-2011.13</f>
        <v>277760.31</v>
      </c>
      <c r="E366" s="192">
        <v>-2622.4</v>
      </c>
      <c r="F366" s="203">
        <f t="shared" si="108"/>
        <v>275137.91</v>
      </c>
      <c r="G366" s="217">
        <f>36.59+39.76-1525.85-2760.02-2355.48-128.24-5000.32+18.3+5884.47+2843.17-764.85+40000-218.07-1042.01-6711.47-4649.7-2049.34-179.55-14.72-17.24-3986.74-752.84-8573.55</f>
        <v>8092.299999999996</v>
      </c>
      <c r="H366" s="233">
        <f>-877.53</f>
        <v>-877.53</v>
      </c>
      <c r="I366" s="187">
        <f t="shared" si="109"/>
        <v>282352.67999999993</v>
      </c>
      <c r="J366" s="187">
        <f>15342.12-118.05-241.33-1600-405.9-1068.02-2392.1-658.42-1196.7-10.89-1379.16-1300-1610.22-916.37-314.41-8.28-18.51-5390.64-290.34-507.75-14.16-9.26-8082.87+6790.13+16754.59+23371.55-1059.91-17706.57-12615.21-4586.83-534.35-43.56-263.74-108.39-332.15-775.86-17.24-244.81-322.3-1547.32-419.55-387.33-18.51-1254.14-141.16-16.34-284.94-2357.86-209.07-22.64-19.6-318.91-23.96-4507.32-1502.83+2281.43+776.6+13.96+19964.25-852.66-1340.47-2015.61-821.49-848.78-570.27-14.16-1009.68-8931.07-3692.33-2900-372.28-14.75-1585-3626.99-855.31-4410.18-682.86-195.75-128.67-43.42-7830.97+6016.28+130100-1070.66-311.98-548.54-830.48</f>
        <v>96730.77</v>
      </c>
      <c r="K366" s="282">
        <f>-9207.25</f>
        <v>-9207.25</v>
      </c>
      <c r="L366" s="187">
        <f t="shared" si="110"/>
        <v>369876.19999999995</v>
      </c>
      <c r="M366" s="299">
        <f>26.82+1379.16+1655.61-2460.98-11.98-576.35-1380.53-233.33-6005.29-10.89-13.16-470.94-2101.48-3219.44-4847.55-1290.1-461.58-7.26-2489.91-348.71-0.8-1779.45-8885.32-18.51-3154.53-27.23-1032.83-1752.4-7269.4-10368.23-4950.82+27.99-2871.07-377.67-9.68-13.16-2876.04-10418.74-773.24-1375.38-1271.62-21.78-3066.24-2071.47-387.2+752.84+16.11+29.84+15.25+5.32-7459.54-5181.6-1242.9-19.6-1701.65-27.22-32.51-5.45-18.51-219.96-727.8-101.18-1375.41-16.34-907.06-1510.79-151.93-12.92+1029.36+1216.06+6955.27+2365.41+23065.93+12.87+10.85+5.45+4.61+11.52+17.67-1352.66-7.26-765.74-1899.61-4091.81-5189.23-735.86-5.23-69.98-1686.4-43.56-96.9-1979.99-6377.82+75.82-659.87+17886.72+13867.65+933.9</f>
        <v>-65008.54999999995</v>
      </c>
      <c r="N366" s="298"/>
      <c r="O366" s="233">
        <f t="shared" si="111"/>
        <v>304867.65</v>
      </c>
      <c r="P366" s="112"/>
      <c r="Q366" s="46"/>
      <c r="S366" s="109"/>
    </row>
    <row r="367" spans="1:17" ht="12.75">
      <c r="A367" s="8" t="s">
        <v>104</v>
      </c>
      <c r="B367" s="63"/>
      <c r="C367" s="113">
        <f>C368+C392</f>
        <v>228860</v>
      </c>
      <c r="D367" s="74">
        <f aca="true" t="shared" si="113" ref="D367:Q367">D368+D392</f>
        <v>934685.3900000001</v>
      </c>
      <c r="E367" s="167">
        <f t="shared" si="113"/>
        <v>0</v>
      </c>
      <c r="F367" s="179">
        <f t="shared" si="113"/>
        <v>1163545.39</v>
      </c>
      <c r="G367" s="210">
        <f t="shared" si="113"/>
        <v>1875.59</v>
      </c>
      <c r="H367" s="234">
        <f t="shared" si="113"/>
        <v>0</v>
      </c>
      <c r="I367" s="182">
        <f t="shared" si="113"/>
        <v>1165420.98</v>
      </c>
      <c r="J367" s="182">
        <f>J368+J392</f>
        <v>50445.03</v>
      </c>
      <c r="K367" s="275">
        <f t="shared" si="113"/>
        <v>0</v>
      </c>
      <c r="L367" s="182">
        <f t="shared" si="113"/>
        <v>1215866.01</v>
      </c>
      <c r="M367" s="210">
        <f t="shared" si="113"/>
        <v>5404.820000000001</v>
      </c>
      <c r="N367" s="291">
        <f t="shared" si="113"/>
        <v>0</v>
      </c>
      <c r="O367" s="234">
        <f t="shared" si="113"/>
        <v>1221270.83</v>
      </c>
      <c r="P367" s="98">
        <f t="shared" si="113"/>
        <v>0</v>
      </c>
      <c r="Q367" s="73">
        <f t="shared" si="113"/>
        <v>214082.34</v>
      </c>
    </row>
    <row r="368" spans="1:17" ht="12.75">
      <c r="A368" s="17" t="s">
        <v>54</v>
      </c>
      <c r="B368" s="63"/>
      <c r="C368" s="131">
        <f>SUM(C370:C391)</f>
        <v>228860</v>
      </c>
      <c r="D368" s="82">
        <f aca="true" t="shared" si="114" ref="D368:Q368">SUM(D370:D391)</f>
        <v>931185.3900000001</v>
      </c>
      <c r="E368" s="171">
        <f t="shared" si="114"/>
        <v>0</v>
      </c>
      <c r="F368" s="201">
        <f t="shared" si="114"/>
        <v>1160045.39</v>
      </c>
      <c r="G368" s="215">
        <f t="shared" si="114"/>
        <v>1875.59</v>
      </c>
      <c r="H368" s="239">
        <f t="shared" si="114"/>
        <v>0</v>
      </c>
      <c r="I368" s="185">
        <f t="shared" si="114"/>
        <v>1161920.98</v>
      </c>
      <c r="J368" s="185">
        <f t="shared" si="114"/>
        <v>50445.03</v>
      </c>
      <c r="K368" s="280">
        <f t="shared" si="114"/>
        <v>0</v>
      </c>
      <c r="L368" s="185">
        <f t="shared" si="114"/>
        <v>1212366.01</v>
      </c>
      <c r="M368" s="215">
        <f t="shared" si="114"/>
        <v>5323.570000000001</v>
      </c>
      <c r="N368" s="296">
        <f t="shared" si="114"/>
        <v>0</v>
      </c>
      <c r="O368" s="239">
        <f t="shared" si="114"/>
        <v>1217689.58</v>
      </c>
      <c r="P368" s="123">
        <f t="shared" si="114"/>
        <v>0</v>
      </c>
      <c r="Q368" s="81">
        <f t="shared" si="114"/>
        <v>210501.09</v>
      </c>
    </row>
    <row r="369" spans="1:17" ht="12.75">
      <c r="A369" s="13" t="s">
        <v>27</v>
      </c>
      <c r="B369" s="59"/>
      <c r="C369" s="106"/>
      <c r="D369" s="75"/>
      <c r="E369" s="168"/>
      <c r="F369" s="198"/>
      <c r="G369" s="211"/>
      <c r="H369" s="235"/>
      <c r="I369" s="181"/>
      <c r="J369" s="181"/>
      <c r="K369" s="276"/>
      <c r="L369" s="181"/>
      <c r="M369" s="211"/>
      <c r="N369" s="292"/>
      <c r="O369" s="235"/>
      <c r="P369" s="112"/>
      <c r="Q369" s="46"/>
    </row>
    <row r="370" spans="1:17" ht="12.75">
      <c r="A370" s="24" t="s">
        <v>105</v>
      </c>
      <c r="B370" s="65"/>
      <c r="C370" s="106">
        <v>176000</v>
      </c>
      <c r="D370" s="75"/>
      <c r="E370" s="168"/>
      <c r="F370" s="198">
        <f aca="true" t="shared" si="115" ref="F370:F391">C370+D370+E370</f>
        <v>176000</v>
      </c>
      <c r="G370" s="211"/>
      <c r="H370" s="235"/>
      <c r="I370" s="181">
        <f>F370+G370+H370</f>
        <v>176000</v>
      </c>
      <c r="J370" s="181"/>
      <c r="K370" s="276"/>
      <c r="L370" s="181">
        <f>I370+J370+K370</f>
        <v>176000</v>
      </c>
      <c r="M370" s="211"/>
      <c r="N370" s="292"/>
      <c r="O370" s="235">
        <f>L370+M370+N370</f>
        <v>176000</v>
      </c>
      <c r="P370" s="112"/>
      <c r="Q370" s="46">
        <f>O370+P370</f>
        <v>176000</v>
      </c>
    </row>
    <row r="371" spans="1:17" ht="12.75" hidden="1">
      <c r="A371" s="60" t="s">
        <v>230</v>
      </c>
      <c r="B371" s="65"/>
      <c r="C371" s="106"/>
      <c r="D371" s="75"/>
      <c r="E371" s="168"/>
      <c r="F371" s="198">
        <f t="shared" si="115"/>
        <v>0</v>
      </c>
      <c r="G371" s="211"/>
      <c r="H371" s="235"/>
      <c r="I371" s="181">
        <f aca="true" t="shared" si="116" ref="I371:I388">F371+G371+H371</f>
        <v>0</v>
      </c>
      <c r="J371" s="181"/>
      <c r="K371" s="276"/>
      <c r="L371" s="181">
        <f aca="true" t="shared" si="117" ref="L371:L391">I371+J371+K371</f>
        <v>0</v>
      </c>
      <c r="M371" s="211"/>
      <c r="N371" s="292"/>
      <c r="O371" s="235">
        <f aca="true" t="shared" si="118" ref="O371:O389">L371+M371+N371</f>
        <v>0</v>
      </c>
      <c r="P371" s="112"/>
      <c r="Q371" s="46"/>
    </row>
    <row r="372" spans="1:17" ht="12.75" hidden="1">
      <c r="A372" s="11" t="s">
        <v>158</v>
      </c>
      <c r="B372" s="59"/>
      <c r="C372" s="106"/>
      <c r="D372" s="75"/>
      <c r="E372" s="168"/>
      <c r="F372" s="198">
        <f t="shared" si="115"/>
        <v>0</v>
      </c>
      <c r="G372" s="211"/>
      <c r="H372" s="235"/>
      <c r="I372" s="181">
        <f t="shared" si="116"/>
        <v>0</v>
      </c>
      <c r="J372" s="181"/>
      <c r="K372" s="276"/>
      <c r="L372" s="181">
        <f t="shared" si="117"/>
        <v>0</v>
      </c>
      <c r="M372" s="211"/>
      <c r="N372" s="292"/>
      <c r="O372" s="235">
        <f t="shared" si="118"/>
        <v>0</v>
      </c>
      <c r="P372" s="112"/>
      <c r="Q372" s="46">
        <f>O372+P372</f>
        <v>0</v>
      </c>
    </row>
    <row r="373" spans="1:17" ht="12.75">
      <c r="A373" s="11" t="s">
        <v>175</v>
      </c>
      <c r="B373" s="59"/>
      <c r="C373" s="106">
        <v>42500</v>
      </c>
      <c r="D373" s="75"/>
      <c r="E373" s="168"/>
      <c r="F373" s="198">
        <f t="shared" si="115"/>
        <v>42500</v>
      </c>
      <c r="G373" s="211"/>
      <c r="H373" s="235"/>
      <c r="I373" s="181">
        <f t="shared" si="116"/>
        <v>42500</v>
      </c>
      <c r="J373" s="181">
        <f>-200</f>
        <v>-200</v>
      </c>
      <c r="K373" s="276"/>
      <c r="L373" s="181">
        <f t="shared" si="117"/>
        <v>42300</v>
      </c>
      <c r="M373" s="211"/>
      <c r="N373" s="292"/>
      <c r="O373" s="235">
        <f t="shared" si="118"/>
        <v>42300</v>
      </c>
      <c r="P373" s="112"/>
      <c r="Q373" s="46"/>
    </row>
    <row r="374" spans="1:17" ht="12.75">
      <c r="A374" s="11" t="s">
        <v>56</v>
      </c>
      <c r="B374" s="59"/>
      <c r="C374" s="106">
        <v>10360</v>
      </c>
      <c r="D374" s="75">
        <f>30+508.41</f>
        <v>538.4100000000001</v>
      </c>
      <c r="E374" s="168"/>
      <c r="F374" s="198">
        <f t="shared" si="115"/>
        <v>10898.41</v>
      </c>
      <c r="G374" s="211"/>
      <c r="H374" s="235"/>
      <c r="I374" s="181">
        <f t="shared" si="116"/>
        <v>10898.41</v>
      </c>
      <c r="J374" s="181">
        <f>200+200+60</f>
        <v>460</v>
      </c>
      <c r="K374" s="276"/>
      <c r="L374" s="181">
        <f t="shared" si="117"/>
        <v>11358.41</v>
      </c>
      <c r="M374" s="211">
        <f>-81.25</f>
        <v>-81.25</v>
      </c>
      <c r="N374" s="292"/>
      <c r="O374" s="235">
        <f t="shared" si="118"/>
        <v>11277.16</v>
      </c>
      <c r="P374" s="112"/>
      <c r="Q374" s="46">
        <f>O374+P374</f>
        <v>11277.16</v>
      </c>
    </row>
    <row r="375" spans="1:17" ht="12.75" hidden="1">
      <c r="A375" s="11" t="s">
        <v>70</v>
      </c>
      <c r="B375" s="59"/>
      <c r="C375" s="106"/>
      <c r="D375" s="75"/>
      <c r="E375" s="168"/>
      <c r="F375" s="198">
        <f t="shared" si="115"/>
        <v>0</v>
      </c>
      <c r="G375" s="211"/>
      <c r="H375" s="235"/>
      <c r="I375" s="181">
        <f t="shared" si="116"/>
        <v>0</v>
      </c>
      <c r="J375" s="181"/>
      <c r="K375" s="276"/>
      <c r="L375" s="181">
        <f t="shared" si="117"/>
        <v>0</v>
      </c>
      <c r="M375" s="211"/>
      <c r="N375" s="292"/>
      <c r="O375" s="235">
        <f t="shared" si="118"/>
        <v>0</v>
      </c>
      <c r="P375" s="112"/>
      <c r="Q375" s="46">
        <f>O375+P375</f>
        <v>0</v>
      </c>
    </row>
    <row r="376" spans="1:17" ht="12.75">
      <c r="A376" s="11" t="s">
        <v>316</v>
      </c>
      <c r="B376" s="59">
        <v>13013</v>
      </c>
      <c r="C376" s="106"/>
      <c r="D376" s="75">
        <f>566.83</f>
        <v>566.83</v>
      </c>
      <c r="E376" s="168"/>
      <c r="F376" s="198">
        <f t="shared" si="115"/>
        <v>566.83</v>
      </c>
      <c r="G376" s="211">
        <f>570+631.78+585.81</f>
        <v>1787.59</v>
      </c>
      <c r="H376" s="235"/>
      <c r="I376" s="181">
        <f t="shared" si="116"/>
        <v>2354.42</v>
      </c>
      <c r="J376" s="181"/>
      <c r="K376" s="276"/>
      <c r="L376" s="181">
        <f t="shared" si="117"/>
        <v>2354.42</v>
      </c>
      <c r="M376" s="211">
        <f>-42.81+710.82+649.64</f>
        <v>1317.65</v>
      </c>
      <c r="N376" s="292"/>
      <c r="O376" s="235">
        <f t="shared" si="118"/>
        <v>3672.07</v>
      </c>
      <c r="P376" s="112"/>
      <c r="Q376" s="46"/>
    </row>
    <row r="377" spans="1:17" ht="12.75">
      <c r="A377" s="60" t="s">
        <v>301</v>
      </c>
      <c r="B377" s="59">
        <v>2043</v>
      </c>
      <c r="C377" s="106"/>
      <c r="D377" s="75">
        <f>1452.22</f>
        <v>1452.22</v>
      </c>
      <c r="E377" s="168"/>
      <c r="F377" s="198">
        <f t="shared" si="115"/>
        <v>1452.22</v>
      </c>
      <c r="G377" s="211"/>
      <c r="H377" s="235"/>
      <c r="I377" s="181">
        <f t="shared" si="116"/>
        <v>1452.22</v>
      </c>
      <c r="J377" s="181"/>
      <c r="K377" s="276"/>
      <c r="L377" s="181">
        <f t="shared" si="117"/>
        <v>1452.22</v>
      </c>
      <c r="M377" s="211"/>
      <c r="N377" s="292"/>
      <c r="O377" s="235">
        <f t="shared" si="118"/>
        <v>1452.22</v>
      </c>
      <c r="P377" s="112"/>
      <c r="Q377" s="46"/>
    </row>
    <row r="378" spans="1:17" ht="12.75">
      <c r="A378" s="60" t="s">
        <v>358</v>
      </c>
      <c r="B378" s="59">
        <v>2043</v>
      </c>
      <c r="C378" s="106"/>
      <c r="D378" s="75"/>
      <c r="E378" s="168"/>
      <c r="F378" s="198"/>
      <c r="G378" s="211"/>
      <c r="H378" s="235"/>
      <c r="I378" s="181"/>
      <c r="J378" s="181"/>
      <c r="K378" s="276"/>
      <c r="L378" s="181">
        <f t="shared" si="117"/>
        <v>0</v>
      </c>
      <c r="M378" s="211">
        <f>29.52</f>
        <v>29.52</v>
      </c>
      <c r="N378" s="292"/>
      <c r="O378" s="235">
        <f t="shared" si="118"/>
        <v>29.52</v>
      </c>
      <c r="P378" s="112"/>
      <c r="Q378" s="46"/>
    </row>
    <row r="379" spans="1:17" ht="12.75">
      <c r="A379" s="11" t="s">
        <v>302</v>
      </c>
      <c r="B379" s="59">
        <v>2050</v>
      </c>
      <c r="C379" s="106"/>
      <c r="D379" s="75">
        <f>36714.98+825.31</f>
        <v>37540.29</v>
      </c>
      <c r="E379" s="168"/>
      <c r="F379" s="198">
        <f t="shared" si="115"/>
        <v>37540.29</v>
      </c>
      <c r="G379" s="211"/>
      <c r="H379" s="235"/>
      <c r="I379" s="181">
        <f t="shared" si="116"/>
        <v>37540.29</v>
      </c>
      <c r="J379" s="181"/>
      <c r="K379" s="276"/>
      <c r="L379" s="181">
        <f t="shared" si="117"/>
        <v>37540.29</v>
      </c>
      <c r="M379" s="211"/>
      <c r="N379" s="292"/>
      <c r="O379" s="235">
        <f t="shared" si="118"/>
        <v>37540.29</v>
      </c>
      <c r="P379" s="112"/>
      <c r="Q379" s="46"/>
    </row>
    <row r="380" spans="1:17" ht="12.75">
      <c r="A380" s="11" t="s">
        <v>275</v>
      </c>
      <c r="B380" s="59">
        <v>2050</v>
      </c>
      <c r="C380" s="106"/>
      <c r="D380" s="75">
        <f>57358.39</f>
        <v>57358.39</v>
      </c>
      <c r="E380" s="168"/>
      <c r="F380" s="198">
        <f t="shared" si="115"/>
        <v>57358.39</v>
      </c>
      <c r="G380" s="211"/>
      <c r="H380" s="235"/>
      <c r="I380" s="181">
        <f t="shared" si="116"/>
        <v>57358.39</v>
      </c>
      <c r="J380" s="181">
        <f>42155.63</f>
        <v>42155.63</v>
      </c>
      <c r="K380" s="276"/>
      <c r="L380" s="181">
        <f t="shared" si="117"/>
        <v>99514.01999999999</v>
      </c>
      <c r="M380" s="211"/>
      <c r="N380" s="292"/>
      <c r="O380" s="235">
        <f t="shared" si="118"/>
        <v>99514.01999999999</v>
      </c>
      <c r="P380" s="112"/>
      <c r="Q380" s="46"/>
    </row>
    <row r="381" spans="1:17" ht="12.75">
      <c r="A381" s="11" t="s">
        <v>317</v>
      </c>
      <c r="B381" s="59">
        <v>2073</v>
      </c>
      <c r="C381" s="106"/>
      <c r="D381" s="75">
        <f>29847.76</f>
        <v>29847.76</v>
      </c>
      <c r="E381" s="168"/>
      <c r="F381" s="198">
        <f t="shared" si="115"/>
        <v>29847.76</v>
      </c>
      <c r="G381" s="211"/>
      <c r="H381" s="235"/>
      <c r="I381" s="181">
        <f t="shared" si="116"/>
        <v>29847.76</v>
      </c>
      <c r="J381" s="181"/>
      <c r="K381" s="276"/>
      <c r="L381" s="181">
        <f t="shared" si="117"/>
        <v>29847.76</v>
      </c>
      <c r="M381" s="211"/>
      <c r="N381" s="292"/>
      <c r="O381" s="235">
        <f t="shared" si="118"/>
        <v>29847.76</v>
      </c>
      <c r="P381" s="112"/>
      <c r="Q381" s="46"/>
    </row>
    <row r="382" spans="1:17" ht="12.75">
      <c r="A382" s="20" t="s">
        <v>303</v>
      </c>
      <c r="B382" s="59">
        <v>2044</v>
      </c>
      <c r="C382" s="106"/>
      <c r="D382" s="75">
        <f>315.76</f>
        <v>315.76</v>
      </c>
      <c r="E382" s="168"/>
      <c r="F382" s="198">
        <f t="shared" si="115"/>
        <v>315.76</v>
      </c>
      <c r="G382" s="211"/>
      <c r="H382" s="235"/>
      <c r="I382" s="181">
        <f t="shared" si="116"/>
        <v>315.76</v>
      </c>
      <c r="J382" s="181"/>
      <c r="K382" s="276"/>
      <c r="L382" s="181">
        <f t="shared" si="117"/>
        <v>315.76</v>
      </c>
      <c r="M382" s="211"/>
      <c r="N382" s="292"/>
      <c r="O382" s="235">
        <f t="shared" si="118"/>
        <v>315.76</v>
      </c>
      <c r="P382" s="112"/>
      <c r="Q382" s="46"/>
    </row>
    <row r="383" spans="1:17" ht="12.75">
      <c r="A383" s="20" t="s">
        <v>348</v>
      </c>
      <c r="B383" s="59">
        <v>2044</v>
      </c>
      <c r="C383" s="106"/>
      <c r="D383" s="75"/>
      <c r="E383" s="168"/>
      <c r="F383" s="198"/>
      <c r="G383" s="211"/>
      <c r="H383" s="235"/>
      <c r="I383" s="181">
        <f t="shared" si="116"/>
        <v>0</v>
      </c>
      <c r="J383" s="181">
        <f>6373.4</f>
        <v>6373.4</v>
      </c>
      <c r="K383" s="276"/>
      <c r="L383" s="181">
        <f t="shared" si="117"/>
        <v>6373.4</v>
      </c>
      <c r="M383" s="211">
        <f>3354.85</f>
        <v>3354.85</v>
      </c>
      <c r="N383" s="292"/>
      <c r="O383" s="235">
        <f t="shared" si="118"/>
        <v>9728.25</v>
      </c>
      <c r="P383" s="112"/>
      <c r="Q383" s="46"/>
    </row>
    <row r="384" spans="1:17" ht="12.75" hidden="1">
      <c r="A384" s="20" t="s">
        <v>260</v>
      </c>
      <c r="B384" s="59">
        <v>2063</v>
      </c>
      <c r="C384" s="106"/>
      <c r="D384" s="75"/>
      <c r="E384" s="168"/>
      <c r="F384" s="198">
        <f t="shared" si="115"/>
        <v>0</v>
      </c>
      <c r="G384" s="211"/>
      <c r="H384" s="235"/>
      <c r="I384" s="181">
        <f t="shared" si="116"/>
        <v>0</v>
      </c>
      <c r="J384" s="181"/>
      <c r="K384" s="276"/>
      <c r="L384" s="181">
        <f t="shared" si="117"/>
        <v>0</v>
      </c>
      <c r="M384" s="211"/>
      <c r="N384" s="292"/>
      <c r="O384" s="235">
        <f t="shared" si="118"/>
        <v>0</v>
      </c>
      <c r="P384" s="112"/>
      <c r="Q384" s="46">
        <f aca="true" t="shared" si="119" ref="Q384:Q391">O384+P384</f>
        <v>0</v>
      </c>
    </row>
    <row r="385" spans="1:17" ht="12.75" hidden="1">
      <c r="A385" s="20" t="s">
        <v>261</v>
      </c>
      <c r="B385" s="59">
        <v>2048</v>
      </c>
      <c r="C385" s="106"/>
      <c r="D385" s="75"/>
      <c r="E385" s="168"/>
      <c r="F385" s="198">
        <f t="shared" si="115"/>
        <v>0</v>
      </c>
      <c r="G385" s="211"/>
      <c r="H385" s="235"/>
      <c r="I385" s="181">
        <f t="shared" si="116"/>
        <v>0</v>
      </c>
      <c r="J385" s="181"/>
      <c r="K385" s="276"/>
      <c r="L385" s="181">
        <f t="shared" si="117"/>
        <v>0</v>
      </c>
      <c r="M385" s="211"/>
      <c r="N385" s="292"/>
      <c r="O385" s="235">
        <f t="shared" si="118"/>
        <v>0</v>
      </c>
      <c r="P385" s="112"/>
      <c r="Q385" s="46"/>
    </row>
    <row r="386" spans="1:17" ht="12.75">
      <c r="A386" s="20" t="s">
        <v>226</v>
      </c>
      <c r="B386" s="59">
        <v>13305</v>
      </c>
      <c r="C386" s="106"/>
      <c r="D386" s="75">
        <f>782123.8</f>
        <v>782123.8</v>
      </c>
      <c r="E386" s="168"/>
      <c r="F386" s="198">
        <f t="shared" si="115"/>
        <v>782123.8</v>
      </c>
      <c r="G386" s="211"/>
      <c r="H386" s="235"/>
      <c r="I386" s="181">
        <f t="shared" si="116"/>
        <v>782123.8</v>
      </c>
      <c r="J386" s="181"/>
      <c r="K386" s="276"/>
      <c r="L386" s="181">
        <f t="shared" si="117"/>
        <v>782123.8</v>
      </c>
      <c r="M386" s="211"/>
      <c r="N386" s="292"/>
      <c r="O386" s="235">
        <f t="shared" si="118"/>
        <v>782123.8</v>
      </c>
      <c r="P386" s="112"/>
      <c r="Q386" s="46"/>
    </row>
    <row r="387" spans="1:17" ht="12.75">
      <c r="A387" s="60" t="s">
        <v>355</v>
      </c>
      <c r="B387" s="59"/>
      <c r="C387" s="106"/>
      <c r="D387" s="75"/>
      <c r="E387" s="168"/>
      <c r="F387" s="198"/>
      <c r="G387" s="211"/>
      <c r="H387" s="235"/>
      <c r="I387" s="181"/>
      <c r="J387" s="181"/>
      <c r="K387" s="276"/>
      <c r="L387" s="181">
        <f t="shared" si="117"/>
        <v>0</v>
      </c>
      <c r="M387" s="211">
        <f>664.8</f>
        <v>664.8</v>
      </c>
      <c r="N387" s="292"/>
      <c r="O387" s="235">
        <f t="shared" si="118"/>
        <v>664.8</v>
      </c>
      <c r="P387" s="112"/>
      <c r="Q387" s="46"/>
    </row>
    <row r="388" spans="1:17" ht="12.75">
      <c r="A388" s="11" t="s">
        <v>106</v>
      </c>
      <c r="B388" s="59">
        <v>13307</v>
      </c>
      <c r="C388" s="106"/>
      <c r="D388" s="75">
        <f>7000</f>
        <v>7000</v>
      </c>
      <c r="E388" s="168"/>
      <c r="F388" s="198">
        <f t="shared" si="115"/>
        <v>7000</v>
      </c>
      <c r="G388" s="211"/>
      <c r="H388" s="235"/>
      <c r="I388" s="181">
        <f t="shared" si="116"/>
        <v>7000</v>
      </c>
      <c r="J388" s="181"/>
      <c r="K388" s="276"/>
      <c r="L388" s="181">
        <f t="shared" si="117"/>
        <v>7000</v>
      </c>
      <c r="M388" s="211"/>
      <c r="N388" s="292"/>
      <c r="O388" s="235">
        <f t="shared" si="118"/>
        <v>7000</v>
      </c>
      <c r="P388" s="112"/>
      <c r="Q388" s="46">
        <f t="shared" si="119"/>
        <v>7000</v>
      </c>
    </row>
    <row r="389" spans="1:17" ht="12.75">
      <c r="A389" s="11" t="s">
        <v>157</v>
      </c>
      <c r="B389" s="59">
        <v>14032</v>
      </c>
      <c r="C389" s="106"/>
      <c r="D389" s="75"/>
      <c r="E389" s="168"/>
      <c r="F389" s="198">
        <f t="shared" si="115"/>
        <v>0</v>
      </c>
      <c r="G389" s="211"/>
      <c r="H389" s="235"/>
      <c r="I389" s="181">
        <f>F389+G389+H389</f>
        <v>0</v>
      </c>
      <c r="J389" s="181">
        <f>256</f>
        <v>256</v>
      </c>
      <c r="K389" s="276"/>
      <c r="L389" s="181">
        <f t="shared" si="117"/>
        <v>256</v>
      </c>
      <c r="M389" s="211"/>
      <c r="N389" s="292"/>
      <c r="O389" s="235">
        <f t="shared" si="118"/>
        <v>256</v>
      </c>
      <c r="P389" s="112"/>
      <c r="Q389" s="46">
        <f t="shared" si="119"/>
        <v>256</v>
      </c>
    </row>
    <row r="390" spans="1:17" ht="12.75">
      <c r="A390" s="20" t="s">
        <v>163</v>
      </c>
      <c r="B390" s="59">
        <v>4359</v>
      </c>
      <c r="C390" s="106"/>
      <c r="D390" s="75"/>
      <c r="E390" s="168"/>
      <c r="F390" s="198">
        <f t="shared" si="115"/>
        <v>0</v>
      </c>
      <c r="G390" s="211">
        <f>88</f>
        <v>88</v>
      </c>
      <c r="H390" s="235"/>
      <c r="I390" s="181">
        <f>F390+G390+H390</f>
        <v>88</v>
      </c>
      <c r="J390" s="181"/>
      <c r="K390" s="276"/>
      <c r="L390" s="181">
        <f t="shared" si="117"/>
        <v>88</v>
      </c>
      <c r="M390" s="211">
        <f>38</f>
        <v>38</v>
      </c>
      <c r="N390" s="292"/>
      <c r="O390" s="235">
        <f>L390+M390+N390</f>
        <v>126</v>
      </c>
      <c r="P390" s="112"/>
      <c r="Q390" s="46">
        <f t="shared" si="119"/>
        <v>126</v>
      </c>
    </row>
    <row r="391" spans="1:17" ht="12.75">
      <c r="A391" s="11" t="s">
        <v>85</v>
      </c>
      <c r="B391" s="59"/>
      <c r="C391" s="106"/>
      <c r="D391" s="75">
        <f>9250+1200+85.48+294+1969.01+1600+43.44</f>
        <v>14441.93</v>
      </c>
      <c r="E391" s="168"/>
      <c r="F391" s="198">
        <f t="shared" si="115"/>
        <v>14441.93</v>
      </c>
      <c r="G391" s="211"/>
      <c r="H391" s="235"/>
      <c r="I391" s="181">
        <f>F391+G391+H391</f>
        <v>14441.93</v>
      </c>
      <c r="J391" s="181">
        <f>1600-200</f>
        <v>1400</v>
      </c>
      <c r="K391" s="276"/>
      <c r="L391" s="181">
        <f t="shared" si="117"/>
        <v>15841.93</v>
      </c>
      <c r="M391" s="211"/>
      <c r="N391" s="292"/>
      <c r="O391" s="235">
        <f>L391+M391+N391</f>
        <v>15841.93</v>
      </c>
      <c r="P391" s="112"/>
      <c r="Q391" s="46">
        <f t="shared" si="119"/>
        <v>15841.93</v>
      </c>
    </row>
    <row r="392" spans="1:17" ht="12.75">
      <c r="A392" s="17" t="s">
        <v>59</v>
      </c>
      <c r="B392" s="63"/>
      <c r="C392" s="131">
        <f>SUM(C394:C396)</f>
        <v>0</v>
      </c>
      <c r="D392" s="82">
        <f aca="true" t="shared" si="120" ref="D392:Q392">SUM(D394:D396)</f>
        <v>3500</v>
      </c>
      <c r="E392" s="171">
        <f t="shared" si="120"/>
        <v>0</v>
      </c>
      <c r="F392" s="201">
        <f t="shared" si="120"/>
        <v>3500</v>
      </c>
      <c r="G392" s="215">
        <f t="shared" si="120"/>
        <v>0</v>
      </c>
      <c r="H392" s="239">
        <f t="shared" si="120"/>
        <v>0</v>
      </c>
      <c r="I392" s="185">
        <f t="shared" si="120"/>
        <v>3500</v>
      </c>
      <c r="J392" s="185">
        <f t="shared" si="120"/>
        <v>0</v>
      </c>
      <c r="K392" s="280">
        <f t="shared" si="120"/>
        <v>0</v>
      </c>
      <c r="L392" s="185">
        <f t="shared" si="120"/>
        <v>3500</v>
      </c>
      <c r="M392" s="215">
        <f t="shared" si="120"/>
        <v>81.25</v>
      </c>
      <c r="N392" s="296">
        <f t="shared" si="120"/>
        <v>0</v>
      </c>
      <c r="O392" s="239">
        <f t="shared" si="120"/>
        <v>3581.25</v>
      </c>
      <c r="P392" s="123">
        <f t="shared" si="120"/>
        <v>0</v>
      </c>
      <c r="Q392" s="81">
        <f t="shared" si="120"/>
        <v>3581.25</v>
      </c>
    </row>
    <row r="393" spans="1:17" ht="12.75">
      <c r="A393" s="13" t="s">
        <v>27</v>
      </c>
      <c r="B393" s="59"/>
      <c r="C393" s="106"/>
      <c r="D393" s="75"/>
      <c r="E393" s="168"/>
      <c r="F393" s="198"/>
      <c r="G393" s="211"/>
      <c r="H393" s="235"/>
      <c r="I393" s="181"/>
      <c r="J393" s="181"/>
      <c r="K393" s="276"/>
      <c r="L393" s="181"/>
      <c r="M393" s="211"/>
      <c r="N393" s="292"/>
      <c r="O393" s="235"/>
      <c r="P393" s="112"/>
      <c r="Q393" s="46"/>
    </row>
    <row r="394" spans="1:17" ht="12.75" hidden="1">
      <c r="A394" s="11" t="s">
        <v>97</v>
      </c>
      <c r="B394" s="59"/>
      <c r="C394" s="106"/>
      <c r="D394" s="75"/>
      <c r="E394" s="168"/>
      <c r="F394" s="198">
        <f>C394+D394+E394</f>
        <v>0</v>
      </c>
      <c r="G394" s="211"/>
      <c r="H394" s="235"/>
      <c r="I394" s="181">
        <f>F394+G394+H394</f>
        <v>0</v>
      </c>
      <c r="J394" s="181"/>
      <c r="K394" s="276"/>
      <c r="L394" s="181">
        <f>I394+J394+K394</f>
        <v>0</v>
      </c>
      <c r="M394" s="211"/>
      <c r="N394" s="292"/>
      <c r="O394" s="235">
        <f>L394+M394+N394</f>
        <v>0</v>
      </c>
      <c r="P394" s="112"/>
      <c r="Q394" s="46">
        <f>O394+P394</f>
        <v>0</v>
      </c>
    </row>
    <row r="395" spans="1:17" ht="12.75">
      <c r="A395" s="14" t="s">
        <v>60</v>
      </c>
      <c r="B395" s="62"/>
      <c r="C395" s="132"/>
      <c r="D395" s="83">
        <f>3500</f>
        <v>3500</v>
      </c>
      <c r="E395" s="192"/>
      <c r="F395" s="203">
        <f>C395+D395+E395</f>
        <v>3500</v>
      </c>
      <c r="G395" s="217"/>
      <c r="H395" s="233"/>
      <c r="I395" s="187">
        <f>F395+G395+H395</f>
        <v>3500</v>
      </c>
      <c r="J395" s="187"/>
      <c r="K395" s="282"/>
      <c r="L395" s="187">
        <f>I395+J395+K395</f>
        <v>3500</v>
      </c>
      <c r="M395" s="217">
        <f>81.25</f>
        <v>81.25</v>
      </c>
      <c r="N395" s="298"/>
      <c r="O395" s="233">
        <f>L395+M395+N395</f>
        <v>3581.25</v>
      </c>
      <c r="P395" s="112"/>
      <c r="Q395" s="46">
        <f>O395+P395</f>
        <v>3581.25</v>
      </c>
    </row>
    <row r="396" spans="1:17" ht="12.75" hidden="1">
      <c r="A396" s="14" t="s">
        <v>85</v>
      </c>
      <c r="B396" s="62"/>
      <c r="C396" s="132"/>
      <c r="D396" s="83">
        <f>342.09-342.09</f>
        <v>0</v>
      </c>
      <c r="E396" s="192"/>
      <c r="F396" s="203">
        <f>C396+D396+E396</f>
        <v>0</v>
      </c>
      <c r="G396" s="217"/>
      <c r="H396" s="233"/>
      <c r="I396" s="187">
        <f>F396+G396+H396</f>
        <v>0</v>
      </c>
      <c r="J396" s="181"/>
      <c r="K396" s="276"/>
      <c r="L396" s="181">
        <f>I396+J396+K396</f>
        <v>0</v>
      </c>
      <c r="M396" s="211"/>
      <c r="N396" s="292"/>
      <c r="O396" s="235">
        <f>L396+M396+N396</f>
        <v>0</v>
      </c>
      <c r="P396" s="112"/>
      <c r="Q396" s="46">
        <f>O396+P396</f>
        <v>0</v>
      </c>
    </row>
    <row r="397" spans="1:17" ht="12.75">
      <c r="A397" s="12" t="s">
        <v>202</v>
      </c>
      <c r="B397" s="63"/>
      <c r="C397" s="113">
        <f>C398+C410</f>
        <v>10860</v>
      </c>
      <c r="D397" s="74">
        <f aca="true" t="shared" si="121" ref="D397:Q397">D398+D410</f>
        <v>19685.129999999997</v>
      </c>
      <c r="E397" s="167">
        <f t="shared" si="121"/>
        <v>2622.4</v>
      </c>
      <c r="F397" s="179">
        <f t="shared" si="121"/>
        <v>33167.53</v>
      </c>
      <c r="G397" s="210">
        <f t="shared" si="121"/>
        <v>642.8699999999999</v>
      </c>
      <c r="H397" s="234">
        <f t="shared" si="121"/>
        <v>877.53</v>
      </c>
      <c r="I397" s="182">
        <f t="shared" si="121"/>
        <v>34687.92999999999</v>
      </c>
      <c r="J397" s="182">
        <f t="shared" si="121"/>
        <v>-357.29999999999995</v>
      </c>
      <c r="K397" s="275">
        <f t="shared" si="121"/>
        <v>3950</v>
      </c>
      <c r="L397" s="182">
        <f t="shared" si="121"/>
        <v>38280.63</v>
      </c>
      <c r="M397" s="210">
        <f t="shared" si="121"/>
        <v>8991.2</v>
      </c>
      <c r="N397" s="291">
        <f t="shared" si="121"/>
        <v>0</v>
      </c>
      <c r="O397" s="234">
        <f t="shared" si="121"/>
        <v>47271.83</v>
      </c>
      <c r="P397" s="98">
        <f t="shared" si="121"/>
        <v>0</v>
      </c>
      <c r="Q397" s="73">
        <f t="shared" si="121"/>
        <v>37480.06</v>
      </c>
    </row>
    <row r="398" spans="1:17" ht="12.75">
      <c r="A398" s="17" t="s">
        <v>54</v>
      </c>
      <c r="B398" s="63"/>
      <c r="C398" s="131">
        <f>SUM(C400:C409)</f>
        <v>9360</v>
      </c>
      <c r="D398" s="82">
        <f aca="true" t="shared" si="122" ref="D398:Q398">SUM(D400:D409)</f>
        <v>2249.85</v>
      </c>
      <c r="E398" s="171">
        <f t="shared" si="122"/>
        <v>2622.4</v>
      </c>
      <c r="F398" s="201">
        <f t="shared" si="122"/>
        <v>14232.25</v>
      </c>
      <c r="G398" s="215">
        <f t="shared" si="122"/>
        <v>1642.87</v>
      </c>
      <c r="H398" s="239">
        <f t="shared" si="122"/>
        <v>877.53</v>
      </c>
      <c r="I398" s="185">
        <f t="shared" si="122"/>
        <v>16752.649999999998</v>
      </c>
      <c r="J398" s="185">
        <f t="shared" si="122"/>
        <v>-690.05</v>
      </c>
      <c r="K398" s="280">
        <f t="shared" si="122"/>
        <v>1950</v>
      </c>
      <c r="L398" s="185">
        <f t="shared" si="122"/>
        <v>18012.6</v>
      </c>
      <c r="M398" s="215">
        <f t="shared" si="122"/>
        <v>1491.1999999999998</v>
      </c>
      <c r="N398" s="296">
        <f t="shared" si="122"/>
        <v>0</v>
      </c>
      <c r="O398" s="239">
        <f t="shared" si="122"/>
        <v>19503.8</v>
      </c>
      <c r="P398" s="123">
        <f t="shared" si="122"/>
        <v>0</v>
      </c>
      <c r="Q398" s="81">
        <f t="shared" si="122"/>
        <v>17212.03</v>
      </c>
    </row>
    <row r="399" spans="1:17" ht="12.75">
      <c r="A399" s="13" t="s">
        <v>27</v>
      </c>
      <c r="B399" s="59"/>
      <c r="C399" s="106"/>
      <c r="D399" s="75"/>
      <c r="E399" s="168"/>
      <c r="F399" s="179"/>
      <c r="G399" s="211"/>
      <c r="H399" s="235"/>
      <c r="I399" s="182"/>
      <c r="J399" s="181"/>
      <c r="K399" s="276"/>
      <c r="L399" s="182"/>
      <c r="M399" s="211"/>
      <c r="N399" s="292"/>
      <c r="O399" s="234"/>
      <c r="P399" s="112"/>
      <c r="Q399" s="46"/>
    </row>
    <row r="400" spans="1:17" ht="12.75">
      <c r="A400" s="11" t="s">
        <v>56</v>
      </c>
      <c r="B400" s="59"/>
      <c r="C400" s="106">
        <v>9360</v>
      </c>
      <c r="D400" s="75">
        <f>1857.7+70.1</f>
        <v>1927.8</v>
      </c>
      <c r="E400" s="168"/>
      <c r="F400" s="198">
        <f aca="true" t="shared" si="123" ref="F400:F409">C400+D400+E400</f>
        <v>11287.8</v>
      </c>
      <c r="G400" s="211">
        <f>435</f>
        <v>435</v>
      </c>
      <c r="H400" s="235"/>
      <c r="I400" s="181">
        <f>F400+G400+H400</f>
        <v>11722.8</v>
      </c>
      <c r="J400" s="181">
        <f>-332.75+200</f>
        <v>-132.75</v>
      </c>
      <c r="K400" s="276">
        <f>750</f>
        <v>750</v>
      </c>
      <c r="L400" s="181">
        <f>I400+J400+K400</f>
        <v>12340.05</v>
      </c>
      <c r="M400" s="211">
        <f>-429</f>
        <v>-429</v>
      </c>
      <c r="N400" s="292"/>
      <c r="O400" s="235">
        <f>L400+M400+N400</f>
        <v>11911.05</v>
      </c>
      <c r="P400" s="112"/>
      <c r="Q400" s="46">
        <f>O400+P400</f>
        <v>11911.05</v>
      </c>
    </row>
    <row r="401" spans="1:17" ht="12.75">
      <c r="A401" s="15" t="s">
        <v>354</v>
      </c>
      <c r="B401" s="59"/>
      <c r="C401" s="106"/>
      <c r="D401" s="75"/>
      <c r="E401" s="168"/>
      <c r="F401" s="198">
        <f t="shared" si="123"/>
        <v>0</v>
      </c>
      <c r="G401" s="211"/>
      <c r="H401" s="235"/>
      <c r="I401" s="181">
        <f aca="true" t="shared" si="124" ref="I401:I409">F401+G401+H401</f>
        <v>0</v>
      </c>
      <c r="J401" s="181"/>
      <c r="K401" s="276">
        <f>1200</f>
        <v>1200</v>
      </c>
      <c r="L401" s="181">
        <f aca="true" t="shared" si="125" ref="L401:L409">I401+J401+K401</f>
        <v>1200</v>
      </c>
      <c r="M401" s="211"/>
      <c r="N401" s="292"/>
      <c r="O401" s="235">
        <f aca="true" t="shared" si="126" ref="O401:O409">L401+M401+N401</f>
        <v>1200</v>
      </c>
      <c r="P401" s="112"/>
      <c r="Q401" s="46">
        <f>O401+P401</f>
        <v>1200</v>
      </c>
    </row>
    <row r="402" spans="1:17" ht="12.75" hidden="1">
      <c r="A402" s="15" t="s">
        <v>228</v>
      </c>
      <c r="B402" s="59"/>
      <c r="C402" s="106"/>
      <c r="D402" s="75"/>
      <c r="E402" s="168"/>
      <c r="F402" s="198">
        <f t="shared" si="123"/>
        <v>0</v>
      </c>
      <c r="G402" s="211"/>
      <c r="H402" s="235"/>
      <c r="I402" s="181">
        <f t="shared" si="124"/>
        <v>0</v>
      </c>
      <c r="J402" s="181"/>
      <c r="K402" s="276"/>
      <c r="L402" s="181">
        <f t="shared" si="125"/>
        <v>0</v>
      </c>
      <c r="M402" s="211"/>
      <c r="N402" s="292"/>
      <c r="O402" s="235"/>
      <c r="P402" s="112"/>
      <c r="Q402" s="46"/>
    </row>
    <row r="403" spans="1:17" ht="12.75" hidden="1">
      <c r="A403" s="15" t="s">
        <v>231</v>
      </c>
      <c r="B403" s="59">
        <v>1400</v>
      </c>
      <c r="C403" s="106"/>
      <c r="D403" s="86"/>
      <c r="E403" s="168"/>
      <c r="F403" s="198">
        <f t="shared" si="123"/>
        <v>0</v>
      </c>
      <c r="G403" s="211"/>
      <c r="H403" s="235"/>
      <c r="I403" s="181">
        <f t="shared" si="124"/>
        <v>0</v>
      </c>
      <c r="J403" s="181"/>
      <c r="K403" s="276"/>
      <c r="L403" s="181">
        <f t="shared" si="125"/>
        <v>0</v>
      </c>
      <c r="M403" s="211"/>
      <c r="N403" s="292"/>
      <c r="O403" s="235"/>
      <c r="P403" s="112"/>
      <c r="Q403" s="46"/>
    </row>
    <row r="404" spans="1:17" ht="12.75">
      <c r="A404" s="11" t="s">
        <v>85</v>
      </c>
      <c r="B404" s="59"/>
      <c r="C404" s="106"/>
      <c r="D404" s="97">
        <f>13.32+158.73</f>
        <v>172.04999999999998</v>
      </c>
      <c r="E404" s="168">
        <v>2622.4</v>
      </c>
      <c r="F404" s="198">
        <f t="shared" si="123"/>
        <v>2794.4500000000003</v>
      </c>
      <c r="G404" s="211"/>
      <c r="H404" s="235">
        <f>877.53</f>
        <v>877.53</v>
      </c>
      <c r="I404" s="181">
        <f t="shared" si="124"/>
        <v>3671.9800000000005</v>
      </c>
      <c r="J404" s="181">
        <f>-557.3</f>
        <v>-557.3</v>
      </c>
      <c r="K404" s="276"/>
      <c r="L404" s="181">
        <f t="shared" si="125"/>
        <v>3114.6800000000003</v>
      </c>
      <c r="M404" s="211">
        <f>557.3+429</f>
        <v>986.3</v>
      </c>
      <c r="N404" s="292"/>
      <c r="O404" s="235">
        <f t="shared" si="126"/>
        <v>4100.9800000000005</v>
      </c>
      <c r="P404" s="112"/>
      <c r="Q404" s="46">
        <f>O404+P404</f>
        <v>4100.9800000000005</v>
      </c>
    </row>
    <row r="405" spans="1:17" ht="12.75" hidden="1">
      <c r="A405" s="11" t="s">
        <v>70</v>
      </c>
      <c r="B405" s="59"/>
      <c r="C405" s="106"/>
      <c r="D405" s="75"/>
      <c r="E405" s="168"/>
      <c r="F405" s="198">
        <f t="shared" si="123"/>
        <v>0</v>
      </c>
      <c r="G405" s="211"/>
      <c r="H405" s="235"/>
      <c r="I405" s="181">
        <f t="shared" si="124"/>
        <v>0</v>
      </c>
      <c r="J405" s="189"/>
      <c r="K405" s="276"/>
      <c r="L405" s="181">
        <f t="shared" si="125"/>
        <v>0</v>
      </c>
      <c r="M405" s="211"/>
      <c r="N405" s="292"/>
      <c r="O405" s="235">
        <f t="shared" si="126"/>
        <v>0</v>
      </c>
      <c r="P405" s="112"/>
      <c r="Q405" s="46">
        <f>O405+P405</f>
        <v>0</v>
      </c>
    </row>
    <row r="406" spans="1:17" ht="12.75" hidden="1">
      <c r="A406" s="11" t="s">
        <v>171</v>
      </c>
      <c r="B406" s="59"/>
      <c r="C406" s="106"/>
      <c r="D406" s="75"/>
      <c r="E406" s="168"/>
      <c r="F406" s="198">
        <f t="shared" si="123"/>
        <v>0</v>
      </c>
      <c r="G406" s="211"/>
      <c r="H406" s="235"/>
      <c r="I406" s="181">
        <f t="shared" si="124"/>
        <v>0</v>
      </c>
      <c r="J406" s="189"/>
      <c r="K406" s="276"/>
      <c r="L406" s="181">
        <f t="shared" si="125"/>
        <v>0</v>
      </c>
      <c r="M406" s="211"/>
      <c r="N406" s="292"/>
      <c r="O406" s="235">
        <f t="shared" si="126"/>
        <v>0</v>
      </c>
      <c r="P406" s="112"/>
      <c r="Q406" s="46">
        <f>O406+P406</f>
        <v>0</v>
      </c>
    </row>
    <row r="407" spans="1:17" ht="12.75">
      <c r="A407" s="11" t="s">
        <v>297</v>
      </c>
      <c r="B407" s="59">
        <v>98035</v>
      </c>
      <c r="C407" s="106"/>
      <c r="D407" s="75">
        <v>150</v>
      </c>
      <c r="E407" s="168"/>
      <c r="F407" s="198">
        <f t="shared" si="123"/>
        <v>150</v>
      </c>
      <c r="G407" s="211"/>
      <c r="H407" s="235"/>
      <c r="I407" s="181">
        <f t="shared" si="124"/>
        <v>150</v>
      </c>
      <c r="J407" s="189"/>
      <c r="K407" s="276"/>
      <c r="L407" s="181">
        <f t="shared" si="125"/>
        <v>150</v>
      </c>
      <c r="M407" s="211"/>
      <c r="N407" s="292"/>
      <c r="O407" s="235">
        <f t="shared" si="126"/>
        <v>150</v>
      </c>
      <c r="P407" s="112"/>
      <c r="Q407" s="46"/>
    </row>
    <row r="408" spans="1:17" ht="12.75">
      <c r="A408" s="11" t="s">
        <v>265</v>
      </c>
      <c r="B408" s="119" t="s">
        <v>266</v>
      </c>
      <c r="C408" s="106"/>
      <c r="D408" s="75"/>
      <c r="E408" s="168"/>
      <c r="F408" s="198">
        <f t="shared" si="123"/>
        <v>0</v>
      </c>
      <c r="G408" s="211">
        <f>846.6</f>
        <v>846.6</v>
      </c>
      <c r="H408" s="235"/>
      <c r="I408" s="181">
        <f t="shared" si="124"/>
        <v>846.6</v>
      </c>
      <c r="J408" s="189"/>
      <c r="K408" s="276"/>
      <c r="L408" s="181">
        <f t="shared" si="125"/>
        <v>846.6</v>
      </c>
      <c r="M408" s="211">
        <f>933.9</f>
        <v>933.9</v>
      </c>
      <c r="N408" s="292"/>
      <c r="O408" s="235">
        <f t="shared" si="126"/>
        <v>1780.5</v>
      </c>
      <c r="P408" s="112"/>
      <c r="Q408" s="46"/>
    </row>
    <row r="409" spans="1:17" ht="12.75">
      <c r="A409" s="11" t="s">
        <v>264</v>
      </c>
      <c r="B409" s="59">
        <v>33064</v>
      </c>
      <c r="C409" s="106"/>
      <c r="D409" s="75"/>
      <c r="E409" s="168"/>
      <c r="F409" s="198">
        <f t="shared" si="123"/>
        <v>0</v>
      </c>
      <c r="G409" s="211">
        <f>361.27</f>
        <v>361.27</v>
      </c>
      <c r="H409" s="235"/>
      <c r="I409" s="181">
        <f t="shared" si="124"/>
        <v>361.27</v>
      </c>
      <c r="J409" s="189"/>
      <c r="K409" s="276"/>
      <c r="L409" s="181">
        <f t="shared" si="125"/>
        <v>361.27</v>
      </c>
      <c r="M409" s="211"/>
      <c r="N409" s="292"/>
      <c r="O409" s="235">
        <f t="shared" si="126"/>
        <v>361.27</v>
      </c>
      <c r="P409" s="112"/>
      <c r="Q409" s="46"/>
    </row>
    <row r="410" spans="1:17" ht="12.75">
      <c r="A410" s="17" t="s">
        <v>59</v>
      </c>
      <c r="B410" s="63"/>
      <c r="C410" s="131">
        <f>SUM(C412:C418)</f>
        <v>1500</v>
      </c>
      <c r="D410" s="82">
        <f aca="true" t="shared" si="127" ref="D410:Q410">SUM(D412:D418)</f>
        <v>17435.28</v>
      </c>
      <c r="E410" s="171">
        <f t="shared" si="127"/>
        <v>0</v>
      </c>
      <c r="F410" s="201">
        <f t="shared" si="127"/>
        <v>18935.28</v>
      </c>
      <c r="G410" s="215">
        <f t="shared" si="127"/>
        <v>-1000</v>
      </c>
      <c r="H410" s="239">
        <f t="shared" si="127"/>
        <v>0</v>
      </c>
      <c r="I410" s="185">
        <f t="shared" si="127"/>
        <v>17935.28</v>
      </c>
      <c r="J410" s="185">
        <f t="shared" si="127"/>
        <v>332.75</v>
      </c>
      <c r="K410" s="280">
        <f t="shared" si="127"/>
        <v>2000</v>
      </c>
      <c r="L410" s="185">
        <f t="shared" si="127"/>
        <v>20268.03</v>
      </c>
      <c r="M410" s="215">
        <f t="shared" si="127"/>
        <v>7500</v>
      </c>
      <c r="N410" s="296">
        <f t="shared" si="127"/>
        <v>0</v>
      </c>
      <c r="O410" s="239">
        <f t="shared" si="127"/>
        <v>27768.03</v>
      </c>
      <c r="P410" s="123">
        <f t="shared" si="127"/>
        <v>0</v>
      </c>
      <c r="Q410" s="81">
        <f t="shared" si="127"/>
        <v>20268.03</v>
      </c>
    </row>
    <row r="411" spans="1:17" ht="12.75">
      <c r="A411" s="13" t="s">
        <v>27</v>
      </c>
      <c r="B411" s="59"/>
      <c r="C411" s="106"/>
      <c r="D411" s="75"/>
      <c r="E411" s="168"/>
      <c r="F411" s="198"/>
      <c r="G411" s="211"/>
      <c r="H411" s="235"/>
      <c r="I411" s="181"/>
      <c r="J411" s="181"/>
      <c r="K411" s="276"/>
      <c r="L411" s="181"/>
      <c r="M411" s="211"/>
      <c r="N411" s="292"/>
      <c r="O411" s="235"/>
      <c r="P411" s="112"/>
      <c r="Q411" s="46"/>
    </row>
    <row r="412" spans="1:17" ht="12.75">
      <c r="A412" s="15" t="s">
        <v>74</v>
      </c>
      <c r="B412" s="59"/>
      <c r="C412" s="106"/>
      <c r="D412" s="75">
        <f>2000</f>
        <v>2000</v>
      </c>
      <c r="E412" s="168"/>
      <c r="F412" s="198">
        <f aca="true" t="shared" si="128" ref="F412:F418">C412+D412+E412</f>
        <v>2000</v>
      </c>
      <c r="G412" s="211"/>
      <c r="H412" s="235"/>
      <c r="I412" s="181">
        <f aca="true" t="shared" si="129" ref="I412:I418">F412+G412+H412</f>
        <v>2000</v>
      </c>
      <c r="J412" s="181"/>
      <c r="K412" s="276"/>
      <c r="L412" s="181">
        <f aca="true" t="shared" si="130" ref="L412:L418">I412+J412+K412</f>
        <v>2000</v>
      </c>
      <c r="M412" s="211"/>
      <c r="N412" s="292"/>
      <c r="O412" s="235">
        <f aca="true" t="shared" si="131" ref="O412:O418">L412+M412+N412</f>
        <v>2000</v>
      </c>
      <c r="P412" s="112"/>
      <c r="Q412" s="46">
        <f>O412+P412</f>
        <v>2000</v>
      </c>
    </row>
    <row r="413" spans="1:17" ht="12.75">
      <c r="A413" s="11" t="s">
        <v>359</v>
      </c>
      <c r="B413" s="59"/>
      <c r="C413" s="106"/>
      <c r="D413" s="75"/>
      <c r="E413" s="168"/>
      <c r="F413" s="198">
        <f t="shared" si="128"/>
        <v>0</v>
      </c>
      <c r="G413" s="211"/>
      <c r="H413" s="235"/>
      <c r="I413" s="181">
        <f t="shared" si="129"/>
        <v>0</v>
      </c>
      <c r="J413" s="181"/>
      <c r="K413" s="276"/>
      <c r="L413" s="181">
        <f t="shared" si="130"/>
        <v>0</v>
      </c>
      <c r="M413" s="211">
        <f>7500</f>
        <v>7500</v>
      </c>
      <c r="N413" s="292"/>
      <c r="O413" s="235">
        <f t="shared" si="131"/>
        <v>7500</v>
      </c>
      <c r="P413" s="112"/>
      <c r="Q413" s="46"/>
    </row>
    <row r="414" spans="1:17" ht="12.75" hidden="1">
      <c r="A414" s="15" t="s">
        <v>215</v>
      </c>
      <c r="B414" s="59"/>
      <c r="C414" s="106"/>
      <c r="D414" s="75"/>
      <c r="E414" s="168"/>
      <c r="F414" s="198">
        <f t="shared" si="128"/>
        <v>0</v>
      </c>
      <c r="G414" s="211"/>
      <c r="H414" s="235"/>
      <c r="I414" s="181">
        <f t="shared" si="129"/>
        <v>0</v>
      </c>
      <c r="J414" s="181"/>
      <c r="K414" s="276"/>
      <c r="L414" s="181">
        <f t="shared" si="130"/>
        <v>0</v>
      </c>
      <c r="M414" s="211"/>
      <c r="N414" s="292"/>
      <c r="O414" s="235">
        <f t="shared" si="131"/>
        <v>0</v>
      </c>
      <c r="P414" s="112"/>
      <c r="Q414" s="46"/>
    </row>
    <row r="415" spans="1:17" ht="12.75" hidden="1">
      <c r="A415" s="15" t="s">
        <v>203</v>
      </c>
      <c r="B415" s="59"/>
      <c r="C415" s="106"/>
      <c r="D415" s="75"/>
      <c r="E415" s="168"/>
      <c r="F415" s="198">
        <f t="shared" si="128"/>
        <v>0</v>
      </c>
      <c r="G415" s="211"/>
      <c r="H415" s="235"/>
      <c r="I415" s="181">
        <f t="shared" si="129"/>
        <v>0</v>
      </c>
      <c r="J415" s="181"/>
      <c r="K415" s="276"/>
      <c r="L415" s="181">
        <f t="shared" si="130"/>
        <v>0</v>
      </c>
      <c r="M415" s="211"/>
      <c r="N415" s="292"/>
      <c r="O415" s="235">
        <f t="shared" si="131"/>
        <v>0</v>
      </c>
      <c r="P415" s="112"/>
      <c r="Q415" s="46"/>
    </row>
    <row r="416" spans="1:17" ht="12.75">
      <c r="A416" s="11" t="s">
        <v>60</v>
      </c>
      <c r="B416" s="59"/>
      <c r="C416" s="106">
        <v>1500</v>
      </c>
      <c r="D416" s="75">
        <f>1000</f>
        <v>1000</v>
      </c>
      <c r="E416" s="168"/>
      <c r="F416" s="198">
        <f t="shared" si="128"/>
        <v>2500</v>
      </c>
      <c r="G416" s="211">
        <f>-1000</f>
        <v>-1000</v>
      </c>
      <c r="H416" s="235"/>
      <c r="I416" s="181">
        <f t="shared" si="129"/>
        <v>1500</v>
      </c>
      <c r="J416" s="181">
        <f>332.75</f>
        <v>332.75</v>
      </c>
      <c r="K416" s="276"/>
      <c r="L416" s="181">
        <f t="shared" si="130"/>
        <v>1832.75</v>
      </c>
      <c r="M416" s="211"/>
      <c r="N416" s="292"/>
      <c r="O416" s="235">
        <f t="shared" si="131"/>
        <v>1832.75</v>
      </c>
      <c r="P416" s="112"/>
      <c r="Q416" s="46">
        <f>O416+P416</f>
        <v>1832.75</v>
      </c>
    </row>
    <row r="417" spans="1:17" ht="12.75">
      <c r="A417" s="14" t="s">
        <v>85</v>
      </c>
      <c r="B417" s="62"/>
      <c r="C417" s="132"/>
      <c r="D417" s="83">
        <f>14435.28</f>
        <v>14435.28</v>
      </c>
      <c r="E417" s="192"/>
      <c r="F417" s="203">
        <f t="shared" si="128"/>
        <v>14435.28</v>
      </c>
      <c r="G417" s="217"/>
      <c r="H417" s="233"/>
      <c r="I417" s="187">
        <f t="shared" si="129"/>
        <v>14435.28</v>
      </c>
      <c r="J417" s="187"/>
      <c r="K417" s="282">
        <f>2000</f>
        <v>2000</v>
      </c>
      <c r="L417" s="187">
        <f t="shared" si="130"/>
        <v>16435.28</v>
      </c>
      <c r="M417" s="217"/>
      <c r="N417" s="298"/>
      <c r="O417" s="233">
        <f t="shared" si="131"/>
        <v>16435.28</v>
      </c>
      <c r="P417" s="112"/>
      <c r="Q417" s="46">
        <f>O417+P417</f>
        <v>16435.28</v>
      </c>
    </row>
    <row r="418" spans="1:17" ht="12.75" hidden="1">
      <c r="A418" s="21" t="s">
        <v>204</v>
      </c>
      <c r="B418" s="62"/>
      <c r="C418" s="132"/>
      <c r="D418" s="83"/>
      <c r="E418" s="192"/>
      <c r="F418" s="203">
        <f t="shared" si="128"/>
        <v>0</v>
      </c>
      <c r="G418" s="217"/>
      <c r="H418" s="233"/>
      <c r="I418" s="187">
        <f t="shared" si="129"/>
        <v>0</v>
      </c>
      <c r="J418" s="187"/>
      <c r="K418" s="282"/>
      <c r="L418" s="187">
        <f t="shared" si="130"/>
        <v>0</v>
      </c>
      <c r="M418" s="217"/>
      <c r="N418" s="298"/>
      <c r="O418" s="233">
        <f t="shared" si="131"/>
        <v>0</v>
      </c>
      <c r="P418" s="270"/>
      <c r="Q418" s="48">
        <f>O418+P418</f>
        <v>0</v>
      </c>
    </row>
    <row r="419" spans="1:17" ht="12.75">
      <c r="A419" s="8" t="s">
        <v>107</v>
      </c>
      <c r="B419" s="63"/>
      <c r="C419" s="113">
        <f>C420+C423</f>
        <v>3304.9</v>
      </c>
      <c r="D419" s="74">
        <f aca="true" t="shared" si="132" ref="D419:Q419">D420+D423</f>
        <v>0</v>
      </c>
      <c r="E419" s="167">
        <f t="shared" si="132"/>
        <v>0</v>
      </c>
      <c r="F419" s="179">
        <f t="shared" si="132"/>
        <v>3304.9</v>
      </c>
      <c r="G419" s="210">
        <f t="shared" si="132"/>
        <v>0</v>
      </c>
      <c r="H419" s="234">
        <f t="shared" si="132"/>
        <v>0</v>
      </c>
      <c r="I419" s="182">
        <f t="shared" si="132"/>
        <v>3304.9</v>
      </c>
      <c r="J419" s="182">
        <f t="shared" si="132"/>
        <v>0</v>
      </c>
      <c r="K419" s="275">
        <f t="shared" si="132"/>
        <v>0</v>
      </c>
      <c r="L419" s="182">
        <f t="shared" si="132"/>
        <v>3304.9</v>
      </c>
      <c r="M419" s="210">
        <f t="shared" si="132"/>
        <v>0</v>
      </c>
      <c r="N419" s="291">
        <f t="shared" si="132"/>
        <v>0</v>
      </c>
      <c r="O419" s="234">
        <f t="shared" si="132"/>
        <v>3304.9</v>
      </c>
      <c r="P419" s="98">
        <f t="shared" si="132"/>
        <v>0</v>
      </c>
      <c r="Q419" s="73">
        <f t="shared" si="132"/>
        <v>3304.9</v>
      </c>
    </row>
    <row r="420" spans="1:17" ht="12.75">
      <c r="A420" s="17" t="s">
        <v>54</v>
      </c>
      <c r="B420" s="63"/>
      <c r="C420" s="131">
        <f>SUM(C422:C422)</f>
        <v>3304.9</v>
      </c>
      <c r="D420" s="82">
        <f aca="true" t="shared" si="133" ref="D420:Q420">SUM(D422:D422)</f>
        <v>0</v>
      </c>
      <c r="E420" s="171">
        <f t="shared" si="133"/>
        <v>0</v>
      </c>
      <c r="F420" s="201">
        <f t="shared" si="133"/>
        <v>3304.9</v>
      </c>
      <c r="G420" s="215">
        <f t="shared" si="133"/>
        <v>0</v>
      </c>
      <c r="H420" s="239">
        <f t="shared" si="133"/>
        <v>0</v>
      </c>
      <c r="I420" s="185">
        <f t="shared" si="133"/>
        <v>3304.9</v>
      </c>
      <c r="J420" s="185">
        <f t="shared" si="133"/>
        <v>0</v>
      </c>
      <c r="K420" s="280">
        <f t="shared" si="133"/>
        <v>0</v>
      </c>
      <c r="L420" s="185">
        <f t="shared" si="133"/>
        <v>3304.9</v>
      </c>
      <c r="M420" s="215">
        <f t="shared" si="133"/>
        <v>0</v>
      </c>
      <c r="N420" s="296">
        <f t="shared" si="133"/>
        <v>0</v>
      </c>
      <c r="O420" s="239">
        <f t="shared" si="133"/>
        <v>3304.9</v>
      </c>
      <c r="P420" s="123">
        <f t="shared" si="133"/>
        <v>0</v>
      </c>
      <c r="Q420" s="81">
        <f t="shared" si="133"/>
        <v>3304.9</v>
      </c>
    </row>
    <row r="421" spans="1:17" ht="12.75">
      <c r="A421" s="13" t="s">
        <v>27</v>
      </c>
      <c r="B421" s="59"/>
      <c r="C421" s="106"/>
      <c r="D421" s="75"/>
      <c r="E421" s="168"/>
      <c r="F421" s="179"/>
      <c r="G421" s="211"/>
      <c r="H421" s="235"/>
      <c r="I421" s="182"/>
      <c r="J421" s="181"/>
      <c r="K421" s="276"/>
      <c r="L421" s="182"/>
      <c r="M421" s="211"/>
      <c r="N421" s="292"/>
      <c r="O421" s="234"/>
      <c r="P421" s="112"/>
      <c r="Q421" s="46"/>
    </row>
    <row r="422" spans="1:17" ht="13.5" thickBot="1">
      <c r="A422" s="327" t="s">
        <v>56</v>
      </c>
      <c r="B422" s="103"/>
      <c r="C422" s="328">
        <v>3304.9</v>
      </c>
      <c r="D422" s="104"/>
      <c r="E422" s="193"/>
      <c r="F422" s="204">
        <f>C422+D422+E422</f>
        <v>3304.9</v>
      </c>
      <c r="G422" s="317"/>
      <c r="H422" s="318"/>
      <c r="I422" s="319">
        <f>F422+G422+H422</f>
        <v>3304.9</v>
      </c>
      <c r="J422" s="319"/>
      <c r="K422" s="320"/>
      <c r="L422" s="319">
        <f>I422+J422+K422</f>
        <v>3304.9</v>
      </c>
      <c r="M422" s="317"/>
      <c r="N422" s="321"/>
      <c r="O422" s="318">
        <f>L422+M422+N422</f>
        <v>3304.9</v>
      </c>
      <c r="P422" s="112"/>
      <c r="Q422" s="46">
        <f>O422+P422</f>
        <v>3304.9</v>
      </c>
    </row>
    <row r="423" spans="1:17" ht="12.75" hidden="1">
      <c r="A423" s="17" t="s">
        <v>59</v>
      </c>
      <c r="B423" s="63"/>
      <c r="C423" s="131">
        <f aca="true" t="shared" si="134" ref="C423:Q423">SUM(C425:C425)</f>
        <v>0</v>
      </c>
      <c r="D423" s="82">
        <f t="shared" si="134"/>
        <v>0</v>
      </c>
      <c r="E423" s="171">
        <f t="shared" si="134"/>
        <v>0</v>
      </c>
      <c r="F423" s="201">
        <f t="shared" si="134"/>
        <v>0</v>
      </c>
      <c r="G423" s="215">
        <f t="shared" si="134"/>
        <v>0</v>
      </c>
      <c r="H423" s="239">
        <f t="shared" si="134"/>
        <v>0</v>
      </c>
      <c r="I423" s="185">
        <f t="shared" si="134"/>
        <v>0</v>
      </c>
      <c r="J423" s="185">
        <f t="shared" si="134"/>
        <v>0</v>
      </c>
      <c r="K423" s="280">
        <f t="shared" si="134"/>
        <v>0</v>
      </c>
      <c r="L423" s="185">
        <f t="shared" si="134"/>
        <v>0</v>
      </c>
      <c r="M423" s="215">
        <f t="shared" si="134"/>
        <v>0</v>
      </c>
      <c r="N423" s="296">
        <f t="shared" si="134"/>
        <v>0</v>
      </c>
      <c r="O423" s="239">
        <f t="shared" si="134"/>
        <v>0</v>
      </c>
      <c r="P423" s="123">
        <f t="shared" si="134"/>
        <v>0</v>
      </c>
      <c r="Q423" s="81">
        <f t="shared" si="134"/>
        <v>0</v>
      </c>
    </row>
    <row r="424" spans="1:17" ht="12.75" hidden="1">
      <c r="A424" s="13" t="s">
        <v>27</v>
      </c>
      <c r="B424" s="59"/>
      <c r="C424" s="106"/>
      <c r="D424" s="75"/>
      <c r="E424" s="168"/>
      <c r="F424" s="198"/>
      <c r="G424" s="211"/>
      <c r="H424" s="235"/>
      <c r="I424" s="181"/>
      <c r="J424" s="181"/>
      <c r="K424" s="276"/>
      <c r="L424" s="181"/>
      <c r="M424" s="211"/>
      <c r="N424" s="292"/>
      <c r="O424" s="235"/>
      <c r="P424" s="112"/>
      <c r="Q424" s="46"/>
    </row>
    <row r="425" spans="1:17" ht="12.75" hidden="1">
      <c r="A425" s="14" t="s">
        <v>60</v>
      </c>
      <c r="B425" s="62"/>
      <c r="C425" s="132"/>
      <c r="D425" s="83"/>
      <c r="E425" s="192"/>
      <c r="F425" s="203">
        <f>C425+D425+E425</f>
        <v>0</v>
      </c>
      <c r="G425" s="217"/>
      <c r="H425" s="233"/>
      <c r="I425" s="187">
        <f>F425+G425+H425</f>
        <v>0</v>
      </c>
      <c r="J425" s="187"/>
      <c r="K425" s="282"/>
      <c r="L425" s="187">
        <f>I425+J425+K425</f>
        <v>0</v>
      </c>
      <c r="M425" s="217"/>
      <c r="N425" s="298"/>
      <c r="O425" s="233">
        <f>L425+M425+N425</f>
        <v>0</v>
      </c>
      <c r="P425" s="270"/>
      <c r="Q425" s="48">
        <f>O425+P425</f>
        <v>0</v>
      </c>
    </row>
    <row r="426" spans="1:17" ht="12.75">
      <c r="A426" s="8" t="s">
        <v>108</v>
      </c>
      <c r="B426" s="63"/>
      <c r="C426" s="113">
        <f aca="true" t="shared" si="135" ref="C426:Q426">C427</f>
        <v>39482.44</v>
      </c>
      <c r="D426" s="74">
        <f t="shared" si="135"/>
        <v>25118.32</v>
      </c>
      <c r="E426" s="167">
        <f t="shared" si="135"/>
        <v>0</v>
      </c>
      <c r="F426" s="179">
        <f t="shared" si="135"/>
        <v>64600.759999999995</v>
      </c>
      <c r="G426" s="210">
        <f t="shared" si="135"/>
        <v>-1564</v>
      </c>
      <c r="H426" s="234">
        <f t="shared" si="135"/>
        <v>582.71</v>
      </c>
      <c r="I426" s="182">
        <f t="shared" si="135"/>
        <v>63619.47</v>
      </c>
      <c r="J426" s="182">
        <f t="shared" si="135"/>
        <v>-1817.12</v>
      </c>
      <c r="K426" s="275">
        <f t="shared" si="135"/>
        <v>0</v>
      </c>
      <c r="L426" s="182">
        <f t="shared" si="135"/>
        <v>61802.35</v>
      </c>
      <c r="M426" s="210">
        <f t="shared" si="135"/>
        <v>0</v>
      </c>
      <c r="N426" s="291">
        <f t="shared" si="135"/>
        <v>0</v>
      </c>
      <c r="O426" s="234">
        <f t="shared" si="135"/>
        <v>61802.35</v>
      </c>
      <c r="P426" s="98">
        <f t="shared" si="135"/>
        <v>0</v>
      </c>
      <c r="Q426" s="73">
        <f t="shared" si="135"/>
        <v>61802.35</v>
      </c>
    </row>
    <row r="427" spans="1:17" ht="12.75">
      <c r="A427" s="17" t="s">
        <v>54</v>
      </c>
      <c r="B427" s="63"/>
      <c r="C427" s="131">
        <f>SUM(C429:C432)</f>
        <v>39482.44</v>
      </c>
      <c r="D427" s="82">
        <f aca="true" t="shared" si="136" ref="D427:Q427">SUM(D429:D432)</f>
        <v>25118.32</v>
      </c>
      <c r="E427" s="171">
        <f t="shared" si="136"/>
        <v>0</v>
      </c>
      <c r="F427" s="201">
        <f t="shared" si="136"/>
        <v>64600.759999999995</v>
      </c>
      <c r="G427" s="215">
        <f t="shared" si="136"/>
        <v>-1564</v>
      </c>
      <c r="H427" s="239">
        <f t="shared" si="136"/>
        <v>582.71</v>
      </c>
      <c r="I427" s="185">
        <f t="shared" si="136"/>
        <v>63619.47</v>
      </c>
      <c r="J427" s="185">
        <f t="shared" si="136"/>
        <v>-1817.12</v>
      </c>
      <c r="K427" s="280">
        <f t="shared" si="136"/>
        <v>0</v>
      </c>
      <c r="L427" s="185">
        <f t="shared" si="136"/>
        <v>61802.35</v>
      </c>
      <c r="M427" s="215">
        <f t="shared" si="136"/>
        <v>0</v>
      </c>
      <c r="N427" s="296">
        <f t="shared" si="136"/>
        <v>0</v>
      </c>
      <c r="O427" s="239">
        <f t="shared" si="136"/>
        <v>61802.35</v>
      </c>
      <c r="P427" s="123">
        <f t="shared" si="136"/>
        <v>0</v>
      </c>
      <c r="Q427" s="81">
        <f t="shared" si="136"/>
        <v>61802.35</v>
      </c>
    </row>
    <row r="428" spans="1:17" ht="12.75">
      <c r="A428" s="13" t="s">
        <v>27</v>
      </c>
      <c r="B428" s="59"/>
      <c r="C428" s="113"/>
      <c r="D428" s="74"/>
      <c r="E428" s="167"/>
      <c r="F428" s="179"/>
      <c r="G428" s="210"/>
      <c r="H428" s="234"/>
      <c r="I428" s="182"/>
      <c r="J428" s="182"/>
      <c r="K428" s="275"/>
      <c r="L428" s="182"/>
      <c r="M428" s="210"/>
      <c r="N428" s="291"/>
      <c r="O428" s="234"/>
      <c r="P428" s="112"/>
      <c r="Q428" s="46"/>
    </row>
    <row r="429" spans="1:17" ht="12.75">
      <c r="A429" s="60" t="s">
        <v>216</v>
      </c>
      <c r="B429" s="59"/>
      <c r="C429" s="106">
        <v>10000</v>
      </c>
      <c r="D429" s="75"/>
      <c r="E429" s="168"/>
      <c r="F429" s="198">
        <f>C429+D429+E429</f>
        <v>10000</v>
      </c>
      <c r="G429" s="211">
        <f>-600-40-408-516</f>
        <v>-1564</v>
      </c>
      <c r="H429" s="235">
        <f>582.71</f>
        <v>582.71</v>
      </c>
      <c r="I429" s="181">
        <f>F429+G429+H429</f>
        <v>9018.71</v>
      </c>
      <c r="J429" s="189">
        <f>-1379.25-437.87</f>
        <v>-1817.12</v>
      </c>
      <c r="K429" s="276"/>
      <c r="L429" s="181">
        <f>I429+J429+K429</f>
        <v>7201.589999999999</v>
      </c>
      <c r="M429" s="211"/>
      <c r="N429" s="292"/>
      <c r="O429" s="235">
        <f>L429+M429+N429</f>
        <v>7201.589999999999</v>
      </c>
      <c r="P429" s="112"/>
      <c r="Q429" s="46">
        <f>O429+P429</f>
        <v>7201.589999999999</v>
      </c>
    </row>
    <row r="430" spans="1:17" ht="12.75">
      <c r="A430" s="60" t="s">
        <v>109</v>
      </c>
      <c r="B430" s="59"/>
      <c r="C430" s="106"/>
      <c r="D430" s="86">
        <f>19085.93</f>
        <v>19085.93</v>
      </c>
      <c r="E430" s="168"/>
      <c r="F430" s="198">
        <f>C430+D430+E430</f>
        <v>19085.93</v>
      </c>
      <c r="G430" s="211"/>
      <c r="H430" s="235"/>
      <c r="I430" s="181">
        <f>F430+G430+H430</f>
        <v>19085.93</v>
      </c>
      <c r="J430" s="181"/>
      <c r="K430" s="276"/>
      <c r="L430" s="181">
        <f>I430+J430+K430</f>
        <v>19085.93</v>
      </c>
      <c r="M430" s="211"/>
      <c r="N430" s="292"/>
      <c r="O430" s="235">
        <f>L430+M430+N430</f>
        <v>19085.93</v>
      </c>
      <c r="P430" s="112"/>
      <c r="Q430" s="46">
        <f>O430+P430</f>
        <v>19085.93</v>
      </c>
    </row>
    <row r="431" spans="1:17" ht="12.75">
      <c r="A431" s="60" t="s">
        <v>110</v>
      </c>
      <c r="B431" s="59"/>
      <c r="C431" s="106"/>
      <c r="D431" s="75">
        <f>6032.39</f>
        <v>6032.39</v>
      </c>
      <c r="E431" s="168"/>
      <c r="F431" s="198">
        <f>C431+D431+E431</f>
        <v>6032.39</v>
      </c>
      <c r="G431" s="211"/>
      <c r="H431" s="235"/>
      <c r="I431" s="181">
        <f>F431+G431+H431</f>
        <v>6032.39</v>
      </c>
      <c r="J431" s="181"/>
      <c r="K431" s="276"/>
      <c r="L431" s="181">
        <f>I431+J431+K431</f>
        <v>6032.39</v>
      </c>
      <c r="M431" s="211"/>
      <c r="N431" s="292"/>
      <c r="O431" s="235">
        <f>L431+M431+N431</f>
        <v>6032.39</v>
      </c>
      <c r="P431" s="112"/>
      <c r="Q431" s="46">
        <f>O431+P431</f>
        <v>6032.39</v>
      </c>
    </row>
    <row r="432" spans="1:17" ht="12.75">
      <c r="A432" s="14" t="s">
        <v>56</v>
      </c>
      <c r="B432" s="62"/>
      <c r="C432" s="132">
        <v>29482.44</v>
      </c>
      <c r="D432" s="83"/>
      <c r="E432" s="192"/>
      <c r="F432" s="203">
        <f>C432+D432+E432</f>
        <v>29482.44</v>
      </c>
      <c r="G432" s="217"/>
      <c r="H432" s="233"/>
      <c r="I432" s="187">
        <f>F432+G432+H432</f>
        <v>29482.44</v>
      </c>
      <c r="J432" s="187"/>
      <c r="K432" s="282"/>
      <c r="L432" s="187">
        <f>I432+J432+K432</f>
        <v>29482.44</v>
      </c>
      <c r="M432" s="217"/>
      <c r="N432" s="298"/>
      <c r="O432" s="233">
        <f>L432+M432+N432</f>
        <v>29482.44</v>
      </c>
      <c r="P432" s="270"/>
      <c r="Q432" s="48">
        <f>O432+P432</f>
        <v>29482.44</v>
      </c>
    </row>
    <row r="433" spans="1:17" ht="12.75">
      <c r="A433" s="8" t="s">
        <v>181</v>
      </c>
      <c r="B433" s="63"/>
      <c r="C433" s="113">
        <f aca="true" t="shared" si="137" ref="C433:Q433">C434+C448</f>
        <v>101456.4</v>
      </c>
      <c r="D433" s="74">
        <f t="shared" si="137"/>
        <v>81260.92</v>
      </c>
      <c r="E433" s="167">
        <f t="shared" si="137"/>
        <v>3100</v>
      </c>
      <c r="F433" s="179">
        <f t="shared" si="137"/>
        <v>185817.32</v>
      </c>
      <c r="G433" s="210">
        <f t="shared" si="137"/>
        <v>33518</v>
      </c>
      <c r="H433" s="234">
        <f t="shared" si="137"/>
        <v>0</v>
      </c>
      <c r="I433" s="182">
        <f t="shared" si="137"/>
        <v>219335.32</v>
      </c>
      <c r="J433" s="182">
        <f t="shared" si="137"/>
        <v>9546.029999999999</v>
      </c>
      <c r="K433" s="275">
        <f t="shared" si="137"/>
        <v>1249.9999999999998</v>
      </c>
      <c r="L433" s="182">
        <f t="shared" si="137"/>
        <v>230131.34999999998</v>
      </c>
      <c r="M433" s="210">
        <f t="shared" si="137"/>
        <v>1571.1799999999998</v>
      </c>
      <c r="N433" s="291">
        <f t="shared" si="137"/>
        <v>25770</v>
      </c>
      <c r="O433" s="234">
        <f t="shared" si="137"/>
        <v>257472.52999999997</v>
      </c>
      <c r="P433" s="98">
        <f t="shared" si="137"/>
        <v>0</v>
      </c>
      <c r="Q433" s="73">
        <f t="shared" si="137"/>
        <v>0</v>
      </c>
    </row>
    <row r="434" spans="1:17" ht="12.75">
      <c r="A434" s="17" t="s">
        <v>54</v>
      </c>
      <c r="B434" s="63"/>
      <c r="C434" s="131">
        <f>SUM(C436:C447)</f>
        <v>66631.4</v>
      </c>
      <c r="D434" s="82">
        <f>SUM(D436:D447)</f>
        <v>24807.72</v>
      </c>
      <c r="E434" s="171">
        <f>SUM(E435:E447)</f>
        <v>-250</v>
      </c>
      <c r="F434" s="201">
        <f>SUM(F436:F447)</f>
        <v>91189.12</v>
      </c>
      <c r="G434" s="215">
        <f aca="true" t="shared" si="138" ref="G434:Q434">SUM(G435:G447)</f>
        <v>1981.5</v>
      </c>
      <c r="H434" s="239">
        <f t="shared" si="138"/>
        <v>0</v>
      </c>
      <c r="I434" s="185">
        <f t="shared" si="138"/>
        <v>93170.62</v>
      </c>
      <c r="J434" s="185">
        <f t="shared" si="138"/>
        <v>6530.03</v>
      </c>
      <c r="K434" s="280">
        <f t="shared" si="138"/>
        <v>-1473.2</v>
      </c>
      <c r="L434" s="185">
        <f t="shared" si="138"/>
        <v>98227.45</v>
      </c>
      <c r="M434" s="215">
        <f t="shared" si="138"/>
        <v>465.13999999999993</v>
      </c>
      <c r="N434" s="296">
        <f t="shared" si="138"/>
        <v>8408.4</v>
      </c>
      <c r="O434" s="239">
        <f t="shared" si="138"/>
        <v>107100.98999999999</v>
      </c>
      <c r="P434" s="123">
        <f t="shared" si="138"/>
        <v>0</v>
      </c>
      <c r="Q434" s="81">
        <f t="shared" si="138"/>
        <v>0</v>
      </c>
    </row>
    <row r="435" spans="1:17" ht="12.75">
      <c r="A435" s="13" t="s">
        <v>27</v>
      </c>
      <c r="B435" s="59"/>
      <c r="C435" s="106"/>
      <c r="D435" s="75"/>
      <c r="E435" s="168"/>
      <c r="F435" s="198"/>
      <c r="G435" s="211"/>
      <c r="H435" s="235"/>
      <c r="I435" s="181"/>
      <c r="J435" s="181"/>
      <c r="K435" s="276"/>
      <c r="L435" s="181"/>
      <c r="M435" s="211"/>
      <c r="N435" s="292"/>
      <c r="O435" s="235"/>
      <c r="P435" s="112"/>
      <c r="Q435" s="46"/>
    </row>
    <row r="436" spans="1:17" ht="12.75">
      <c r="A436" s="11" t="s">
        <v>292</v>
      </c>
      <c r="B436" s="59">
        <v>1202</v>
      </c>
      <c r="C436" s="106">
        <v>4025</v>
      </c>
      <c r="D436" s="75">
        <f>485.09-205</f>
        <v>280.09</v>
      </c>
      <c r="E436" s="168"/>
      <c r="F436" s="198">
        <f aca="true" t="shared" si="139" ref="F436:F447">C436+D436+E436</f>
        <v>4305.09</v>
      </c>
      <c r="G436" s="211">
        <f>4.15</f>
        <v>4.15</v>
      </c>
      <c r="H436" s="235"/>
      <c r="I436" s="181">
        <f>F436+G436+H436</f>
        <v>4309.24</v>
      </c>
      <c r="J436" s="181"/>
      <c r="K436" s="276"/>
      <c r="L436" s="181">
        <f>I436+J436+K436</f>
        <v>4309.24</v>
      </c>
      <c r="M436" s="211">
        <f>68.39</f>
        <v>68.39</v>
      </c>
      <c r="N436" s="292"/>
      <c r="O436" s="235">
        <f>L436+M436+N436</f>
        <v>4377.63</v>
      </c>
      <c r="P436" s="112"/>
      <c r="Q436" s="46"/>
    </row>
    <row r="437" spans="1:17" ht="12.75">
      <c r="A437" s="11" t="s">
        <v>209</v>
      </c>
      <c r="B437" s="59">
        <v>1208</v>
      </c>
      <c r="C437" s="106">
        <v>2500</v>
      </c>
      <c r="D437" s="75">
        <f>18</f>
        <v>18</v>
      </c>
      <c r="E437" s="168"/>
      <c r="F437" s="198">
        <f t="shared" si="139"/>
        <v>2518</v>
      </c>
      <c r="G437" s="211"/>
      <c r="H437" s="235"/>
      <c r="I437" s="181">
        <f aca="true" t="shared" si="140" ref="I437:I447">F437+G437+H437</f>
        <v>2518</v>
      </c>
      <c r="J437" s="181"/>
      <c r="K437" s="276"/>
      <c r="L437" s="181">
        <f aca="true" t="shared" si="141" ref="L437:L447">I437+J437+K437</f>
        <v>2518</v>
      </c>
      <c r="M437" s="211"/>
      <c r="N437" s="292"/>
      <c r="O437" s="235">
        <f aca="true" t="shared" si="142" ref="O437:O447">L437+M437+N437</f>
        <v>2518</v>
      </c>
      <c r="P437" s="112"/>
      <c r="Q437" s="46"/>
    </row>
    <row r="438" spans="1:17" ht="12.75">
      <c r="A438" s="11" t="s">
        <v>210</v>
      </c>
      <c r="B438" s="59">
        <v>1207</v>
      </c>
      <c r="C438" s="106">
        <v>5420</v>
      </c>
      <c r="D438" s="75">
        <f>250.66</f>
        <v>250.66</v>
      </c>
      <c r="E438" s="168"/>
      <c r="F438" s="198">
        <f t="shared" si="139"/>
        <v>5670.66</v>
      </c>
      <c r="G438" s="211">
        <f>2287.4</f>
        <v>2287.4</v>
      </c>
      <c r="H438" s="235"/>
      <c r="I438" s="181">
        <f t="shared" si="140"/>
        <v>7958.0599999999995</v>
      </c>
      <c r="J438" s="181"/>
      <c r="K438" s="276"/>
      <c r="L438" s="181">
        <f t="shared" si="141"/>
        <v>7958.0599999999995</v>
      </c>
      <c r="M438" s="211">
        <f>36</f>
        <v>36</v>
      </c>
      <c r="N438" s="292"/>
      <c r="O438" s="235">
        <f t="shared" si="142"/>
        <v>7994.0599999999995</v>
      </c>
      <c r="P438" s="112"/>
      <c r="Q438" s="46"/>
    </row>
    <row r="439" spans="1:17" ht="12.75">
      <c r="A439" s="11" t="s">
        <v>240</v>
      </c>
      <c r="B439" s="59">
        <v>1209</v>
      </c>
      <c r="C439" s="106">
        <v>2860</v>
      </c>
      <c r="D439" s="75">
        <f>65.68</f>
        <v>65.68</v>
      </c>
      <c r="E439" s="168"/>
      <c r="F439" s="198">
        <f t="shared" si="139"/>
        <v>2925.68</v>
      </c>
      <c r="G439" s="211"/>
      <c r="H439" s="235"/>
      <c r="I439" s="181">
        <f t="shared" si="140"/>
        <v>2925.68</v>
      </c>
      <c r="J439" s="181"/>
      <c r="K439" s="276"/>
      <c r="L439" s="181">
        <f t="shared" si="141"/>
        <v>2925.68</v>
      </c>
      <c r="M439" s="211"/>
      <c r="N439" s="292"/>
      <c r="O439" s="235">
        <f t="shared" si="142"/>
        <v>2925.68</v>
      </c>
      <c r="P439" s="112"/>
      <c r="Q439" s="46"/>
    </row>
    <row r="440" spans="1:17" ht="12.75">
      <c r="A440" s="11" t="s">
        <v>211</v>
      </c>
      <c r="B440" s="59">
        <v>1211</v>
      </c>
      <c r="C440" s="106">
        <v>4779</v>
      </c>
      <c r="D440" s="86">
        <f>88.16</f>
        <v>88.16</v>
      </c>
      <c r="E440" s="173"/>
      <c r="F440" s="198">
        <f t="shared" si="139"/>
        <v>4867.16</v>
      </c>
      <c r="G440" s="211"/>
      <c r="H440" s="235"/>
      <c r="I440" s="181">
        <f t="shared" si="140"/>
        <v>4867.16</v>
      </c>
      <c r="J440" s="181"/>
      <c r="K440" s="276"/>
      <c r="L440" s="181">
        <f t="shared" si="141"/>
        <v>4867.16</v>
      </c>
      <c r="M440" s="211">
        <f>141.49</f>
        <v>141.49</v>
      </c>
      <c r="N440" s="292"/>
      <c r="O440" s="235">
        <f t="shared" si="142"/>
        <v>5008.65</v>
      </c>
      <c r="P440" s="112"/>
      <c r="Q440" s="46"/>
    </row>
    <row r="441" spans="1:17" ht="12.75">
      <c r="A441" s="11" t="s">
        <v>272</v>
      </c>
      <c r="B441" s="59">
        <v>1214</v>
      </c>
      <c r="C441" s="106">
        <v>1409</v>
      </c>
      <c r="D441" s="86">
        <f>21+185</f>
        <v>206</v>
      </c>
      <c r="E441" s="168"/>
      <c r="F441" s="198">
        <f t="shared" si="139"/>
        <v>1615</v>
      </c>
      <c r="G441" s="211"/>
      <c r="H441" s="235"/>
      <c r="I441" s="181">
        <f t="shared" si="140"/>
        <v>1615</v>
      </c>
      <c r="J441" s="181"/>
      <c r="K441" s="276"/>
      <c r="L441" s="181">
        <f t="shared" si="141"/>
        <v>1615</v>
      </c>
      <c r="M441" s="211">
        <f>9.87</f>
        <v>9.87</v>
      </c>
      <c r="N441" s="292"/>
      <c r="O441" s="235">
        <f t="shared" si="142"/>
        <v>1624.87</v>
      </c>
      <c r="P441" s="112"/>
      <c r="Q441" s="46"/>
    </row>
    <row r="442" spans="1:17" ht="12.75">
      <c r="A442" s="11" t="s">
        <v>273</v>
      </c>
      <c r="B442" s="59">
        <v>1213</v>
      </c>
      <c r="C442" s="106">
        <v>641</v>
      </c>
      <c r="D442" s="86">
        <f>500+38.27</f>
        <v>538.27</v>
      </c>
      <c r="E442" s="168"/>
      <c r="F442" s="198">
        <f t="shared" si="139"/>
        <v>1179.27</v>
      </c>
      <c r="G442" s="211"/>
      <c r="H442" s="235"/>
      <c r="I442" s="181">
        <f t="shared" si="140"/>
        <v>1179.27</v>
      </c>
      <c r="J442" s="181"/>
      <c r="K442" s="276"/>
      <c r="L442" s="181">
        <f t="shared" si="141"/>
        <v>1179.27</v>
      </c>
      <c r="M442" s="211">
        <f>7.12</f>
        <v>7.12</v>
      </c>
      <c r="N442" s="292"/>
      <c r="O442" s="235">
        <f t="shared" si="142"/>
        <v>1186.3899999999999</v>
      </c>
      <c r="P442" s="112"/>
      <c r="Q442" s="46"/>
    </row>
    <row r="443" spans="1:17" ht="12.75">
      <c r="A443" s="11" t="s">
        <v>289</v>
      </c>
      <c r="B443" s="59">
        <v>1216</v>
      </c>
      <c r="C443" s="106">
        <v>11190</v>
      </c>
      <c r="D443" s="75">
        <f>822.07+1000</f>
        <v>1822.0700000000002</v>
      </c>
      <c r="E443" s="168"/>
      <c r="F443" s="198">
        <f t="shared" si="139"/>
        <v>13012.07</v>
      </c>
      <c r="G443" s="211">
        <f>2</f>
        <v>2</v>
      </c>
      <c r="H443" s="235"/>
      <c r="I443" s="181">
        <f t="shared" si="140"/>
        <v>13014.07</v>
      </c>
      <c r="J443" s="181"/>
      <c r="K443" s="276"/>
      <c r="L443" s="181">
        <f t="shared" si="141"/>
        <v>13014.07</v>
      </c>
      <c r="M443" s="211"/>
      <c r="N443" s="292"/>
      <c r="O443" s="235">
        <f t="shared" si="142"/>
        <v>13014.07</v>
      </c>
      <c r="P443" s="112"/>
      <c r="Q443" s="46"/>
    </row>
    <row r="444" spans="1:17" ht="12.75">
      <c r="A444" s="11" t="s">
        <v>212</v>
      </c>
      <c r="B444" s="59">
        <v>1239</v>
      </c>
      <c r="C444" s="106">
        <v>5269.7</v>
      </c>
      <c r="D444" s="75">
        <f>2709.79</f>
        <v>2709.79</v>
      </c>
      <c r="E444" s="168"/>
      <c r="F444" s="198">
        <f t="shared" si="139"/>
        <v>7979.49</v>
      </c>
      <c r="G444" s="211">
        <f>-4431.9+2.45</f>
        <v>-4429.45</v>
      </c>
      <c r="H444" s="235"/>
      <c r="I444" s="181">
        <f t="shared" si="140"/>
        <v>3550.04</v>
      </c>
      <c r="J444" s="181"/>
      <c r="K444" s="276"/>
      <c r="L444" s="181">
        <f t="shared" si="141"/>
        <v>3550.04</v>
      </c>
      <c r="M444" s="211">
        <f>81.45</f>
        <v>81.45</v>
      </c>
      <c r="N444" s="292">
        <v>-11.6</v>
      </c>
      <c r="O444" s="235">
        <f t="shared" si="142"/>
        <v>3619.89</v>
      </c>
      <c r="P444" s="112"/>
      <c r="Q444" s="46"/>
    </row>
    <row r="445" spans="1:17" ht="12.75">
      <c r="A445" s="11" t="s">
        <v>232</v>
      </c>
      <c r="B445" s="59">
        <v>1300</v>
      </c>
      <c r="C445" s="106">
        <v>14025.7</v>
      </c>
      <c r="D445" s="75">
        <f>3710.03+15034</f>
        <v>18744.03</v>
      </c>
      <c r="E445" s="168">
        <v>-250</v>
      </c>
      <c r="F445" s="198">
        <f t="shared" si="139"/>
        <v>32519.729999999996</v>
      </c>
      <c r="G445" s="219">
        <f>4984.4</f>
        <v>4984.4</v>
      </c>
      <c r="H445" s="235"/>
      <c r="I445" s="181">
        <f t="shared" si="140"/>
        <v>37504.13</v>
      </c>
      <c r="J445" s="181">
        <f>-60+2000+4590.03</f>
        <v>6530.03</v>
      </c>
      <c r="K445" s="276"/>
      <c r="L445" s="181">
        <f t="shared" si="141"/>
        <v>44034.159999999996</v>
      </c>
      <c r="M445" s="211">
        <f>-688.7+750+20</f>
        <v>81.29999999999995</v>
      </c>
      <c r="N445" s="292">
        <f>8420</f>
        <v>8420</v>
      </c>
      <c r="O445" s="235">
        <f t="shared" si="142"/>
        <v>52535.46</v>
      </c>
      <c r="P445" s="112"/>
      <c r="Q445" s="46"/>
    </row>
    <row r="446" spans="1:17" ht="12.75">
      <c r="A446" s="11" t="s">
        <v>213</v>
      </c>
      <c r="B446" s="59">
        <v>1110</v>
      </c>
      <c r="C446" s="106">
        <v>14500</v>
      </c>
      <c r="D446" s="75"/>
      <c r="E446" s="168"/>
      <c r="F446" s="198">
        <f t="shared" si="139"/>
        <v>14500</v>
      </c>
      <c r="G446" s="211">
        <f>-873+6</f>
        <v>-867</v>
      </c>
      <c r="H446" s="235"/>
      <c r="I446" s="181">
        <f t="shared" si="140"/>
        <v>13633</v>
      </c>
      <c r="J446" s="181"/>
      <c r="K446" s="276">
        <f>-750-723.2</f>
        <v>-1473.2</v>
      </c>
      <c r="L446" s="181">
        <f t="shared" si="141"/>
        <v>12159.8</v>
      </c>
      <c r="M446" s="211">
        <f>39.52</f>
        <v>39.52</v>
      </c>
      <c r="N446" s="292"/>
      <c r="O446" s="235">
        <f t="shared" si="142"/>
        <v>12199.32</v>
      </c>
      <c r="P446" s="112"/>
      <c r="Q446" s="46"/>
    </row>
    <row r="447" spans="1:17" ht="12.75">
      <c r="A447" s="11" t="s">
        <v>290</v>
      </c>
      <c r="B447" s="59"/>
      <c r="C447" s="106">
        <v>12</v>
      </c>
      <c r="D447" s="75">
        <f>84.97</f>
        <v>84.97</v>
      </c>
      <c r="E447" s="168"/>
      <c r="F447" s="198">
        <f t="shared" si="139"/>
        <v>96.97</v>
      </c>
      <c r="G447" s="211"/>
      <c r="H447" s="235"/>
      <c r="I447" s="181">
        <f t="shared" si="140"/>
        <v>96.97</v>
      </c>
      <c r="J447" s="181"/>
      <c r="K447" s="276"/>
      <c r="L447" s="181">
        <f t="shared" si="141"/>
        <v>96.97</v>
      </c>
      <c r="M447" s="211"/>
      <c r="N447" s="292"/>
      <c r="O447" s="235">
        <f t="shared" si="142"/>
        <v>96.97</v>
      </c>
      <c r="P447" s="112"/>
      <c r="Q447" s="46"/>
    </row>
    <row r="448" spans="1:17" ht="12.75">
      <c r="A448" s="17" t="s">
        <v>59</v>
      </c>
      <c r="B448" s="63"/>
      <c r="C448" s="131">
        <f>SUM(C450:C455)</f>
        <v>34825</v>
      </c>
      <c r="D448" s="82">
        <f aca="true" t="shared" si="143" ref="D448:Q448">SUM(D450:D455)</f>
        <v>56453.2</v>
      </c>
      <c r="E448" s="171">
        <f t="shared" si="143"/>
        <v>3350</v>
      </c>
      <c r="F448" s="201">
        <f t="shared" si="143"/>
        <v>94628.20000000001</v>
      </c>
      <c r="G448" s="215">
        <f t="shared" si="143"/>
        <v>31536.5</v>
      </c>
      <c r="H448" s="239">
        <f t="shared" si="143"/>
        <v>0</v>
      </c>
      <c r="I448" s="185">
        <f t="shared" si="143"/>
        <v>126164.7</v>
      </c>
      <c r="J448" s="185">
        <f t="shared" si="143"/>
        <v>3016</v>
      </c>
      <c r="K448" s="280">
        <f t="shared" si="143"/>
        <v>2723.2</v>
      </c>
      <c r="L448" s="185">
        <f t="shared" si="143"/>
        <v>131903.9</v>
      </c>
      <c r="M448" s="215">
        <f t="shared" si="143"/>
        <v>1106.04</v>
      </c>
      <c r="N448" s="296">
        <f t="shared" si="143"/>
        <v>17361.6</v>
      </c>
      <c r="O448" s="239">
        <f t="shared" si="143"/>
        <v>150371.53999999998</v>
      </c>
      <c r="P448" s="123">
        <f t="shared" si="143"/>
        <v>0</v>
      </c>
      <c r="Q448" s="81">
        <f t="shared" si="143"/>
        <v>0</v>
      </c>
    </row>
    <row r="449" spans="1:17" ht="12.75">
      <c r="A449" s="13" t="s">
        <v>27</v>
      </c>
      <c r="B449" s="59"/>
      <c r="C449" s="106"/>
      <c r="D449" s="75"/>
      <c r="E449" s="168"/>
      <c r="F449" s="198"/>
      <c r="G449" s="211"/>
      <c r="H449" s="235"/>
      <c r="I449" s="181"/>
      <c r="J449" s="181"/>
      <c r="K449" s="276"/>
      <c r="L449" s="181"/>
      <c r="M449" s="211"/>
      <c r="N449" s="292"/>
      <c r="O449" s="235"/>
      <c r="P449" s="112"/>
      <c r="Q449" s="46"/>
    </row>
    <row r="450" spans="1:17" ht="12.75">
      <c r="A450" s="15" t="s">
        <v>224</v>
      </c>
      <c r="B450" s="59">
        <v>1239</v>
      </c>
      <c r="C450" s="106"/>
      <c r="D450" s="75">
        <f>1914+28000</f>
        <v>29914</v>
      </c>
      <c r="E450" s="168"/>
      <c r="F450" s="198">
        <f aca="true" t="shared" si="144" ref="F450:F455">C450+D450+E450</f>
        <v>29914</v>
      </c>
      <c r="G450" s="211">
        <f>4431.9+3000</f>
        <v>7431.9</v>
      </c>
      <c r="H450" s="235"/>
      <c r="I450" s="181">
        <f aca="true" t="shared" si="145" ref="I450:I455">F450+G450+H450</f>
        <v>37345.9</v>
      </c>
      <c r="J450" s="181"/>
      <c r="K450" s="276"/>
      <c r="L450" s="181">
        <f aca="true" t="shared" si="146" ref="L450:L455">I450+J450+K450</f>
        <v>37345.9</v>
      </c>
      <c r="M450" s="211">
        <f>250.77</f>
        <v>250.77</v>
      </c>
      <c r="N450" s="292">
        <v>11.6</v>
      </c>
      <c r="O450" s="235">
        <f aca="true" t="shared" si="147" ref="O450:O455">L450+M450+N450</f>
        <v>37608.27</v>
      </c>
      <c r="P450" s="112"/>
      <c r="Q450" s="46"/>
    </row>
    <row r="451" spans="1:17" ht="12.75" hidden="1">
      <c r="A451" s="15" t="s">
        <v>121</v>
      </c>
      <c r="B451" s="59">
        <v>1214</v>
      </c>
      <c r="C451" s="106"/>
      <c r="D451" s="75"/>
      <c r="E451" s="168"/>
      <c r="F451" s="198">
        <f t="shared" si="144"/>
        <v>0</v>
      </c>
      <c r="G451" s="211"/>
      <c r="H451" s="235"/>
      <c r="I451" s="181">
        <f t="shared" si="145"/>
        <v>0</v>
      </c>
      <c r="J451" s="181"/>
      <c r="K451" s="276"/>
      <c r="L451" s="181">
        <f t="shared" si="146"/>
        <v>0</v>
      </c>
      <c r="M451" s="211"/>
      <c r="N451" s="292"/>
      <c r="O451" s="235">
        <f t="shared" si="147"/>
        <v>0</v>
      </c>
      <c r="P451" s="112"/>
      <c r="Q451" s="46"/>
    </row>
    <row r="452" spans="1:17" ht="12.75">
      <c r="A452" s="15" t="s">
        <v>291</v>
      </c>
      <c r="B452" s="59">
        <v>1209</v>
      </c>
      <c r="C452" s="106">
        <v>600</v>
      </c>
      <c r="D452" s="75"/>
      <c r="E452" s="168"/>
      <c r="F452" s="198">
        <f t="shared" si="144"/>
        <v>600</v>
      </c>
      <c r="G452" s="211"/>
      <c r="H452" s="235"/>
      <c r="I452" s="181">
        <f t="shared" si="145"/>
        <v>600</v>
      </c>
      <c r="J452" s="181"/>
      <c r="K452" s="276"/>
      <c r="L452" s="181">
        <f t="shared" si="146"/>
        <v>600</v>
      </c>
      <c r="M452" s="211"/>
      <c r="N452" s="292"/>
      <c r="O452" s="235">
        <f t="shared" si="147"/>
        <v>600</v>
      </c>
      <c r="P452" s="112"/>
      <c r="Q452" s="46"/>
    </row>
    <row r="453" spans="1:17" ht="12.75">
      <c r="A453" s="15" t="s">
        <v>176</v>
      </c>
      <c r="B453" s="59">
        <v>1202</v>
      </c>
      <c r="C453" s="106"/>
      <c r="D453" s="75">
        <f>205</f>
        <v>205</v>
      </c>
      <c r="E453" s="168"/>
      <c r="F453" s="198">
        <f t="shared" si="144"/>
        <v>205</v>
      </c>
      <c r="G453" s="211"/>
      <c r="H453" s="235"/>
      <c r="I453" s="181">
        <f t="shared" si="145"/>
        <v>205</v>
      </c>
      <c r="J453" s="181"/>
      <c r="K453" s="276"/>
      <c r="L453" s="181">
        <f t="shared" si="146"/>
        <v>205</v>
      </c>
      <c r="M453" s="211">
        <f>43.57</f>
        <v>43.57</v>
      </c>
      <c r="N453" s="292"/>
      <c r="O453" s="235">
        <f t="shared" si="147"/>
        <v>248.57</v>
      </c>
      <c r="P453" s="112"/>
      <c r="Q453" s="46"/>
    </row>
    <row r="454" spans="1:17" ht="12.75">
      <c r="A454" s="15" t="s">
        <v>238</v>
      </c>
      <c r="B454" s="59">
        <v>1300</v>
      </c>
      <c r="C454" s="106">
        <v>4225</v>
      </c>
      <c r="D454" s="75">
        <f>1000+8748.4</f>
        <v>9748.4</v>
      </c>
      <c r="E454" s="168">
        <v>3350</v>
      </c>
      <c r="F454" s="198">
        <f t="shared" si="144"/>
        <v>17323.4</v>
      </c>
      <c r="G454" s="219">
        <f>1000+22231.6</f>
        <v>23231.6</v>
      </c>
      <c r="H454" s="235"/>
      <c r="I454" s="181">
        <f t="shared" si="145"/>
        <v>40555</v>
      </c>
      <c r="J454" s="181">
        <f>3016</f>
        <v>3016</v>
      </c>
      <c r="K454" s="276">
        <f>2000</f>
        <v>2000</v>
      </c>
      <c r="L454" s="181">
        <f t="shared" si="146"/>
        <v>45571</v>
      </c>
      <c r="M454" s="211">
        <f>688.7+123</f>
        <v>811.7</v>
      </c>
      <c r="N454" s="292">
        <f>17350</f>
        <v>17350</v>
      </c>
      <c r="O454" s="235">
        <f t="shared" si="147"/>
        <v>63732.7</v>
      </c>
      <c r="P454" s="112"/>
      <c r="Q454" s="46"/>
    </row>
    <row r="455" spans="1:17" ht="12.75">
      <c r="A455" s="22" t="s">
        <v>90</v>
      </c>
      <c r="B455" s="62">
        <v>1110</v>
      </c>
      <c r="C455" s="132">
        <v>30000</v>
      </c>
      <c r="D455" s="83">
        <f>16585.8</f>
        <v>16585.8</v>
      </c>
      <c r="E455" s="192"/>
      <c r="F455" s="203">
        <f t="shared" si="144"/>
        <v>46585.8</v>
      </c>
      <c r="G455" s="217">
        <f>873</f>
        <v>873</v>
      </c>
      <c r="H455" s="233"/>
      <c r="I455" s="187">
        <f t="shared" si="145"/>
        <v>47458.8</v>
      </c>
      <c r="J455" s="187"/>
      <c r="K455" s="282">
        <f>723.2</f>
        <v>723.2</v>
      </c>
      <c r="L455" s="187">
        <f t="shared" si="146"/>
        <v>48182</v>
      </c>
      <c r="M455" s="217"/>
      <c r="N455" s="298"/>
      <c r="O455" s="233">
        <f t="shared" si="147"/>
        <v>48182</v>
      </c>
      <c r="P455" s="112"/>
      <c r="Q455" s="46"/>
    </row>
    <row r="456" spans="1:17" ht="12.75">
      <c r="A456" s="8" t="s">
        <v>154</v>
      </c>
      <c r="B456" s="63"/>
      <c r="C456" s="113">
        <f aca="true" t="shared" si="148" ref="C456:Q456">C457</f>
        <v>1</v>
      </c>
      <c r="D456" s="74">
        <f t="shared" si="148"/>
        <v>7280.35</v>
      </c>
      <c r="E456" s="167">
        <f t="shared" si="148"/>
        <v>0</v>
      </c>
      <c r="F456" s="179">
        <f t="shared" si="148"/>
        <v>7281.35</v>
      </c>
      <c r="G456" s="210">
        <f t="shared" si="148"/>
        <v>0</v>
      </c>
      <c r="H456" s="234">
        <f t="shared" si="148"/>
        <v>0</v>
      </c>
      <c r="I456" s="182">
        <f t="shared" si="148"/>
        <v>7281.35</v>
      </c>
      <c r="J456" s="182">
        <f t="shared" si="148"/>
        <v>-2000</v>
      </c>
      <c r="K456" s="275">
        <f t="shared" si="148"/>
        <v>0</v>
      </c>
      <c r="L456" s="182">
        <f t="shared" si="148"/>
        <v>5281.35</v>
      </c>
      <c r="M456" s="210">
        <f t="shared" si="148"/>
        <v>0</v>
      </c>
      <c r="N456" s="291">
        <f t="shared" si="148"/>
        <v>0</v>
      </c>
      <c r="O456" s="234">
        <f t="shared" si="148"/>
        <v>5281.35</v>
      </c>
      <c r="P456" s="98">
        <f t="shared" si="148"/>
        <v>0</v>
      </c>
      <c r="Q456" s="73">
        <f t="shared" si="148"/>
        <v>5281.35</v>
      </c>
    </row>
    <row r="457" spans="1:17" ht="12.75">
      <c r="A457" s="17" t="s">
        <v>54</v>
      </c>
      <c r="B457" s="63"/>
      <c r="C457" s="131">
        <f>C459</f>
        <v>1</v>
      </c>
      <c r="D457" s="82">
        <f aca="true" t="shared" si="149" ref="D457:Q457">D459</f>
        <v>7280.35</v>
      </c>
      <c r="E457" s="171">
        <f t="shared" si="149"/>
        <v>0</v>
      </c>
      <c r="F457" s="201">
        <f t="shared" si="149"/>
        <v>7281.35</v>
      </c>
      <c r="G457" s="215">
        <f t="shared" si="149"/>
        <v>0</v>
      </c>
      <c r="H457" s="239">
        <f t="shared" si="149"/>
        <v>0</v>
      </c>
      <c r="I457" s="185">
        <f t="shared" si="149"/>
        <v>7281.35</v>
      </c>
      <c r="J457" s="185">
        <f t="shared" si="149"/>
        <v>-2000</v>
      </c>
      <c r="K457" s="280">
        <f t="shared" si="149"/>
        <v>0</v>
      </c>
      <c r="L457" s="185">
        <f t="shared" si="149"/>
        <v>5281.35</v>
      </c>
      <c r="M457" s="215">
        <f t="shared" si="149"/>
        <v>0</v>
      </c>
      <c r="N457" s="296">
        <f t="shared" si="149"/>
        <v>0</v>
      </c>
      <c r="O457" s="239">
        <f t="shared" si="149"/>
        <v>5281.35</v>
      </c>
      <c r="P457" s="123">
        <f t="shared" si="149"/>
        <v>0</v>
      </c>
      <c r="Q457" s="81">
        <f t="shared" si="149"/>
        <v>5281.35</v>
      </c>
    </row>
    <row r="458" spans="1:17" ht="12.75">
      <c r="A458" s="13" t="s">
        <v>27</v>
      </c>
      <c r="B458" s="59"/>
      <c r="C458" s="106"/>
      <c r="D458" s="75"/>
      <c r="E458" s="168"/>
      <c r="F458" s="198"/>
      <c r="G458" s="211"/>
      <c r="H458" s="235"/>
      <c r="I458" s="181"/>
      <c r="J458" s="181"/>
      <c r="K458" s="276"/>
      <c r="L458" s="181"/>
      <c r="M458" s="211"/>
      <c r="N458" s="292"/>
      <c r="O458" s="235"/>
      <c r="P458" s="112"/>
      <c r="Q458" s="46"/>
    </row>
    <row r="459" spans="1:17" ht="12.75">
      <c r="A459" s="14" t="s">
        <v>56</v>
      </c>
      <c r="B459" s="62"/>
      <c r="C459" s="132">
        <v>1</v>
      </c>
      <c r="D459" s="83">
        <v>7280.35</v>
      </c>
      <c r="E459" s="192"/>
      <c r="F459" s="203">
        <f>C459+D459+E459</f>
        <v>7281.35</v>
      </c>
      <c r="G459" s="217"/>
      <c r="H459" s="233"/>
      <c r="I459" s="187">
        <f>F459+G459+H459</f>
        <v>7281.35</v>
      </c>
      <c r="J459" s="187">
        <f>-2000</f>
        <v>-2000</v>
      </c>
      <c r="K459" s="282"/>
      <c r="L459" s="187">
        <f>I459+J459+K459</f>
        <v>5281.35</v>
      </c>
      <c r="M459" s="217"/>
      <c r="N459" s="298"/>
      <c r="O459" s="233">
        <f>L459+M459+N459</f>
        <v>5281.35</v>
      </c>
      <c r="P459" s="270"/>
      <c r="Q459" s="48">
        <f>O459+P459</f>
        <v>5281.35</v>
      </c>
    </row>
    <row r="460" spans="1:17" ht="12.75">
      <c r="A460" s="8" t="s">
        <v>111</v>
      </c>
      <c r="B460" s="63"/>
      <c r="C460" s="113">
        <f>C462+C463</f>
        <v>500010</v>
      </c>
      <c r="D460" s="74">
        <f aca="true" t="shared" si="150" ref="D460:Q460">D462+D463</f>
        <v>417149.95</v>
      </c>
      <c r="E460" s="167">
        <f t="shared" si="150"/>
        <v>78219.54</v>
      </c>
      <c r="F460" s="179">
        <f t="shared" si="150"/>
        <v>995379.49</v>
      </c>
      <c r="G460" s="210">
        <f t="shared" si="150"/>
        <v>1241.0799999999995</v>
      </c>
      <c r="H460" s="234">
        <f t="shared" si="150"/>
        <v>25500</v>
      </c>
      <c r="I460" s="182">
        <f t="shared" si="150"/>
        <v>1022120.5700000001</v>
      </c>
      <c r="J460" s="182">
        <f t="shared" si="150"/>
        <v>-20270.680000000004</v>
      </c>
      <c r="K460" s="275">
        <f t="shared" si="150"/>
        <v>0</v>
      </c>
      <c r="L460" s="182">
        <f t="shared" si="150"/>
        <v>1001849.89</v>
      </c>
      <c r="M460" s="210">
        <f t="shared" si="150"/>
        <v>-1258.3499999999985</v>
      </c>
      <c r="N460" s="291">
        <f t="shared" si="150"/>
        <v>700</v>
      </c>
      <c r="O460" s="234">
        <f t="shared" si="150"/>
        <v>1001291.5399999999</v>
      </c>
      <c r="P460" s="98">
        <f t="shared" si="150"/>
        <v>0</v>
      </c>
      <c r="Q460" s="73">
        <f t="shared" si="150"/>
        <v>996451.19</v>
      </c>
    </row>
    <row r="461" spans="1:17" ht="12.75">
      <c r="A461" s="10" t="s">
        <v>27</v>
      </c>
      <c r="B461" s="59"/>
      <c r="C461" s="113"/>
      <c r="D461" s="74"/>
      <c r="E461" s="167"/>
      <c r="F461" s="179"/>
      <c r="G461" s="210"/>
      <c r="H461" s="234"/>
      <c r="I461" s="182"/>
      <c r="J461" s="182"/>
      <c r="K461" s="275"/>
      <c r="L461" s="182"/>
      <c r="M461" s="210"/>
      <c r="N461" s="291"/>
      <c r="O461" s="234"/>
      <c r="P461" s="98"/>
      <c r="Q461" s="73"/>
    </row>
    <row r="462" spans="1:17" ht="12.75">
      <c r="A462" s="8" t="s">
        <v>54</v>
      </c>
      <c r="B462" s="63"/>
      <c r="C462" s="100">
        <f>C477+C479+C491+C493+C498+C503+C494+C484+C505+C486+C509</f>
        <v>193060</v>
      </c>
      <c r="D462" s="78">
        <f aca="true" t="shared" si="151" ref="D462:Q462">D477+D479+D491+D493+D498+D503+D494+D484+D505+D486+D509</f>
        <v>6865.51</v>
      </c>
      <c r="E462" s="169">
        <f t="shared" si="151"/>
        <v>1160</v>
      </c>
      <c r="F462" s="199">
        <f t="shared" si="151"/>
        <v>201085.51</v>
      </c>
      <c r="G462" s="213">
        <f t="shared" si="151"/>
        <v>3615</v>
      </c>
      <c r="H462" s="237">
        <f t="shared" si="151"/>
        <v>0</v>
      </c>
      <c r="I462" s="183">
        <f t="shared" si="151"/>
        <v>204700.51</v>
      </c>
      <c r="J462" s="183">
        <f t="shared" si="151"/>
        <v>-27493.230000000003</v>
      </c>
      <c r="K462" s="278">
        <f t="shared" si="151"/>
        <v>0</v>
      </c>
      <c r="L462" s="183">
        <f t="shared" si="151"/>
        <v>177207.28000000003</v>
      </c>
      <c r="M462" s="213">
        <f t="shared" si="151"/>
        <v>-5230.939999999999</v>
      </c>
      <c r="N462" s="294">
        <f t="shared" si="151"/>
        <v>0</v>
      </c>
      <c r="O462" s="237">
        <f t="shared" si="151"/>
        <v>171976.34</v>
      </c>
      <c r="P462" s="121">
        <f t="shared" si="151"/>
        <v>0</v>
      </c>
      <c r="Q462" s="77">
        <f t="shared" si="151"/>
        <v>167235.99</v>
      </c>
    </row>
    <row r="463" spans="1:17" ht="12.75">
      <c r="A463" s="8" t="s">
        <v>59</v>
      </c>
      <c r="B463" s="63"/>
      <c r="C463" s="100">
        <f>C466+C467+C469+C470+C472+C474+C475+C476+C480+C481+C483+C485+C487+C489+C490+C492+C495+C497+C499+C500+C502+C504+C506+C508</f>
        <v>306950</v>
      </c>
      <c r="D463" s="78">
        <f aca="true" t="shared" si="152" ref="D463:Q463">D466+D467+D469+D470+D472+D474+D475+D476+D480+D481+D483+D485+D487+D489+D490+D492+D495+D497+D499+D500+D502+D504+D506+D508</f>
        <v>410284.44</v>
      </c>
      <c r="E463" s="169">
        <f t="shared" si="152"/>
        <v>77059.54</v>
      </c>
      <c r="F463" s="199">
        <f t="shared" si="152"/>
        <v>794293.98</v>
      </c>
      <c r="G463" s="213">
        <f t="shared" si="152"/>
        <v>-2373.9200000000005</v>
      </c>
      <c r="H463" s="237">
        <f t="shared" si="152"/>
        <v>25500</v>
      </c>
      <c r="I463" s="183">
        <f t="shared" si="152"/>
        <v>817420.06</v>
      </c>
      <c r="J463" s="183">
        <f t="shared" si="152"/>
        <v>7222.55</v>
      </c>
      <c r="K463" s="278">
        <f t="shared" si="152"/>
        <v>0</v>
      </c>
      <c r="L463" s="183">
        <f t="shared" si="152"/>
        <v>824642.61</v>
      </c>
      <c r="M463" s="213">
        <f t="shared" si="152"/>
        <v>3972.59</v>
      </c>
      <c r="N463" s="294">
        <f t="shared" si="152"/>
        <v>700</v>
      </c>
      <c r="O463" s="237">
        <f t="shared" si="152"/>
        <v>829315.2</v>
      </c>
      <c r="P463" s="121">
        <f t="shared" si="152"/>
        <v>0</v>
      </c>
      <c r="Q463" s="77">
        <f t="shared" si="152"/>
        <v>829215.2</v>
      </c>
    </row>
    <row r="464" spans="1:17" ht="12.75">
      <c r="A464" s="9" t="s">
        <v>112</v>
      </c>
      <c r="B464" s="59"/>
      <c r="C464" s="113"/>
      <c r="D464" s="74"/>
      <c r="E464" s="167"/>
      <c r="F464" s="179"/>
      <c r="G464" s="210"/>
      <c r="H464" s="234"/>
      <c r="I464" s="182"/>
      <c r="J464" s="182"/>
      <c r="K464" s="275"/>
      <c r="L464" s="182"/>
      <c r="M464" s="210"/>
      <c r="N464" s="291"/>
      <c r="O464" s="234"/>
      <c r="P464" s="112"/>
      <c r="Q464" s="46"/>
    </row>
    <row r="465" spans="1:17" ht="12.75" hidden="1">
      <c r="A465" s="10" t="s">
        <v>113</v>
      </c>
      <c r="B465" s="59">
        <v>18</v>
      </c>
      <c r="C465" s="106">
        <f>C466+C467</f>
        <v>0</v>
      </c>
      <c r="D465" s="75">
        <f aca="true" t="shared" si="153" ref="D465:Q465">D466+D467</f>
        <v>0</v>
      </c>
      <c r="E465" s="168">
        <f t="shared" si="153"/>
        <v>0</v>
      </c>
      <c r="F465" s="198">
        <f t="shared" si="153"/>
        <v>0</v>
      </c>
      <c r="G465" s="211">
        <f t="shared" si="153"/>
        <v>0</v>
      </c>
      <c r="H465" s="235">
        <f t="shared" si="153"/>
        <v>0</v>
      </c>
      <c r="I465" s="181">
        <f t="shared" si="153"/>
        <v>0</v>
      </c>
      <c r="J465" s="181">
        <f t="shared" si="153"/>
        <v>0</v>
      </c>
      <c r="K465" s="276">
        <f t="shared" si="153"/>
        <v>0</v>
      </c>
      <c r="L465" s="181">
        <f t="shared" si="153"/>
        <v>0</v>
      </c>
      <c r="M465" s="211">
        <f t="shared" si="153"/>
        <v>0</v>
      </c>
      <c r="N465" s="292">
        <f t="shared" si="153"/>
        <v>0</v>
      </c>
      <c r="O465" s="235">
        <f t="shared" si="153"/>
        <v>0</v>
      </c>
      <c r="P465" s="120">
        <f t="shared" si="153"/>
        <v>0</v>
      </c>
      <c r="Q465" s="76">
        <f t="shared" si="153"/>
        <v>0</v>
      </c>
    </row>
    <row r="466" spans="1:17" ht="12.75" hidden="1">
      <c r="A466" s="10" t="s">
        <v>114</v>
      </c>
      <c r="B466" s="59"/>
      <c r="C466" s="106"/>
      <c r="D466" s="75">
        <f>1000-1000</f>
        <v>0</v>
      </c>
      <c r="E466" s="168"/>
      <c r="F466" s="198">
        <f aca="true" t="shared" si="154" ref="F466:F512">C466+D466+E466</f>
        <v>0</v>
      </c>
      <c r="G466" s="211"/>
      <c r="H466" s="234"/>
      <c r="I466" s="181">
        <f>F466+G466+H466</f>
        <v>0</v>
      </c>
      <c r="J466" s="181"/>
      <c r="K466" s="275"/>
      <c r="L466" s="181">
        <f>I466+J466+K466</f>
        <v>0</v>
      </c>
      <c r="M466" s="211"/>
      <c r="N466" s="291"/>
      <c r="O466" s="235">
        <f>L466+M466+N466</f>
        <v>0</v>
      </c>
      <c r="P466" s="112"/>
      <c r="Q466" s="46">
        <f>O466+P466</f>
        <v>0</v>
      </c>
    </row>
    <row r="467" spans="1:17" ht="12.75" hidden="1">
      <c r="A467" s="10" t="s">
        <v>115</v>
      </c>
      <c r="B467" s="59"/>
      <c r="C467" s="106"/>
      <c r="D467" s="75"/>
      <c r="E467" s="168"/>
      <c r="F467" s="198">
        <f t="shared" si="154"/>
        <v>0</v>
      </c>
      <c r="G467" s="211"/>
      <c r="H467" s="234"/>
      <c r="I467" s="181">
        <f>F467+G467+H467</f>
        <v>0</v>
      </c>
      <c r="J467" s="181"/>
      <c r="K467" s="275"/>
      <c r="L467" s="181">
        <f>I467+J467+K467</f>
        <v>0</v>
      </c>
      <c r="M467" s="211"/>
      <c r="N467" s="291"/>
      <c r="O467" s="235">
        <f>L467+M467+N467</f>
        <v>0</v>
      </c>
      <c r="P467" s="112"/>
      <c r="Q467" s="46">
        <f>O467+P467</f>
        <v>0</v>
      </c>
    </row>
    <row r="468" spans="1:17" ht="12.75">
      <c r="A468" s="60" t="s">
        <v>293</v>
      </c>
      <c r="B468" s="59">
        <v>19</v>
      </c>
      <c r="C468" s="106">
        <f>C469+C470</f>
        <v>22500</v>
      </c>
      <c r="D468" s="75">
        <f aca="true" t="shared" si="155" ref="D468:Q468">D469+D470</f>
        <v>13458.31</v>
      </c>
      <c r="E468" s="168">
        <f t="shared" si="155"/>
        <v>0</v>
      </c>
      <c r="F468" s="198">
        <f t="shared" si="155"/>
        <v>35958.31</v>
      </c>
      <c r="G468" s="211">
        <f t="shared" si="155"/>
        <v>0</v>
      </c>
      <c r="H468" s="235">
        <f t="shared" si="155"/>
        <v>0</v>
      </c>
      <c r="I468" s="181">
        <f t="shared" si="155"/>
        <v>35958.31</v>
      </c>
      <c r="J468" s="181">
        <f t="shared" si="155"/>
        <v>110.1</v>
      </c>
      <c r="K468" s="276">
        <f t="shared" si="155"/>
        <v>0</v>
      </c>
      <c r="L468" s="181">
        <f t="shared" si="155"/>
        <v>36068.409999999996</v>
      </c>
      <c r="M468" s="211">
        <f t="shared" si="155"/>
        <v>-105</v>
      </c>
      <c r="N468" s="292">
        <f t="shared" si="155"/>
        <v>0</v>
      </c>
      <c r="O468" s="235">
        <f t="shared" si="155"/>
        <v>35963.409999999996</v>
      </c>
      <c r="P468" s="120">
        <f t="shared" si="155"/>
        <v>0</v>
      </c>
      <c r="Q468" s="76">
        <f t="shared" si="155"/>
        <v>35963.409999999996</v>
      </c>
    </row>
    <row r="469" spans="1:17" ht="12.75">
      <c r="A469" s="10" t="s">
        <v>114</v>
      </c>
      <c r="B469" s="59"/>
      <c r="C469" s="106">
        <v>22500</v>
      </c>
      <c r="D469" s="75">
        <f>6018+2750+90+1000+3300</f>
        <v>13158</v>
      </c>
      <c r="E469" s="168"/>
      <c r="F469" s="198">
        <f t="shared" si="154"/>
        <v>35658</v>
      </c>
      <c r="G469" s="211"/>
      <c r="H469" s="234"/>
      <c r="I469" s="181">
        <f>F469+G469+H469</f>
        <v>35658</v>
      </c>
      <c r="J469" s="181">
        <f>110.1</f>
        <v>110.1</v>
      </c>
      <c r="K469" s="275"/>
      <c r="L469" s="181">
        <f>I469+J469+K469</f>
        <v>35768.1</v>
      </c>
      <c r="M469" s="211">
        <f>250-105</f>
        <v>145</v>
      </c>
      <c r="N469" s="291"/>
      <c r="O469" s="235">
        <f>L469+M469+N469</f>
        <v>35913.1</v>
      </c>
      <c r="P469" s="112"/>
      <c r="Q469" s="46">
        <f>O469+P469</f>
        <v>35913.1</v>
      </c>
    </row>
    <row r="470" spans="1:17" ht="12.75">
      <c r="A470" s="10" t="s">
        <v>115</v>
      </c>
      <c r="B470" s="59"/>
      <c r="C470" s="106"/>
      <c r="D470" s="75">
        <f>390.31-90</f>
        <v>300.31</v>
      </c>
      <c r="E470" s="168"/>
      <c r="F470" s="198">
        <f t="shared" si="154"/>
        <v>300.31</v>
      </c>
      <c r="G470" s="211"/>
      <c r="H470" s="234"/>
      <c r="I470" s="181">
        <f>F470+G470+H470</f>
        <v>300.31</v>
      </c>
      <c r="J470" s="181"/>
      <c r="K470" s="275"/>
      <c r="L470" s="181">
        <f>I470+J470+K470</f>
        <v>300.31</v>
      </c>
      <c r="M470" s="211">
        <f>-250</f>
        <v>-250</v>
      </c>
      <c r="N470" s="291"/>
      <c r="O470" s="235">
        <f>L470+M470+N470</f>
        <v>50.31</v>
      </c>
      <c r="P470" s="112"/>
      <c r="Q470" s="46">
        <f>O470+P470</f>
        <v>50.31</v>
      </c>
    </row>
    <row r="471" spans="1:17" ht="12.75" hidden="1">
      <c r="A471" s="11" t="s">
        <v>176</v>
      </c>
      <c r="B471" s="59">
        <v>2</v>
      </c>
      <c r="C471" s="106">
        <f>C472</f>
        <v>0</v>
      </c>
      <c r="D471" s="75">
        <f aca="true" t="shared" si="156" ref="D471:O471">D472</f>
        <v>0</v>
      </c>
      <c r="E471" s="168">
        <f t="shared" si="156"/>
        <v>0</v>
      </c>
      <c r="F471" s="198">
        <f t="shared" si="156"/>
        <v>0</v>
      </c>
      <c r="G471" s="211">
        <f t="shared" si="156"/>
        <v>0</v>
      </c>
      <c r="H471" s="235">
        <f t="shared" si="156"/>
        <v>0</v>
      </c>
      <c r="I471" s="181">
        <f t="shared" si="156"/>
        <v>0</v>
      </c>
      <c r="J471" s="181">
        <f t="shared" si="156"/>
        <v>0</v>
      </c>
      <c r="K471" s="276">
        <f t="shared" si="156"/>
        <v>0</v>
      </c>
      <c r="L471" s="181">
        <f t="shared" si="156"/>
        <v>0</v>
      </c>
      <c r="M471" s="211">
        <f t="shared" si="156"/>
        <v>0</v>
      </c>
      <c r="N471" s="292">
        <f t="shared" si="156"/>
        <v>0</v>
      </c>
      <c r="O471" s="235">
        <f t="shared" si="156"/>
        <v>0</v>
      </c>
      <c r="P471" s="112"/>
      <c r="Q471" s="46"/>
    </row>
    <row r="472" spans="1:17" ht="12.75" hidden="1">
      <c r="A472" s="11" t="s">
        <v>177</v>
      </c>
      <c r="B472" s="59"/>
      <c r="C472" s="106"/>
      <c r="D472" s="75"/>
      <c r="E472" s="168"/>
      <c r="F472" s="198">
        <f t="shared" si="154"/>
        <v>0</v>
      </c>
      <c r="G472" s="211"/>
      <c r="H472" s="234"/>
      <c r="I472" s="181"/>
      <c r="J472" s="181"/>
      <c r="K472" s="275"/>
      <c r="L472" s="181"/>
      <c r="M472" s="211"/>
      <c r="N472" s="291"/>
      <c r="O472" s="235"/>
      <c r="P472" s="112"/>
      <c r="Q472" s="46"/>
    </row>
    <row r="473" spans="1:17" ht="12.75">
      <c r="A473" s="10" t="s">
        <v>116</v>
      </c>
      <c r="B473" s="59">
        <v>10</v>
      </c>
      <c r="C473" s="106">
        <f>SUM(C474:C477)</f>
        <v>150000</v>
      </c>
      <c r="D473" s="75">
        <f aca="true" t="shared" si="157" ref="D473:Q473">SUM(D474:D477)</f>
        <v>17657.870000000006</v>
      </c>
      <c r="E473" s="168">
        <f t="shared" si="157"/>
        <v>78219.54</v>
      </c>
      <c r="F473" s="198">
        <f t="shared" si="157"/>
        <v>245877.41</v>
      </c>
      <c r="G473" s="211">
        <f t="shared" si="157"/>
        <v>0</v>
      </c>
      <c r="H473" s="235">
        <f t="shared" si="157"/>
        <v>25500</v>
      </c>
      <c r="I473" s="181">
        <f t="shared" si="157"/>
        <v>271377.41</v>
      </c>
      <c r="J473" s="181">
        <f t="shared" si="157"/>
        <v>-34920</v>
      </c>
      <c r="K473" s="276">
        <f t="shared" si="157"/>
        <v>0</v>
      </c>
      <c r="L473" s="181">
        <f t="shared" si="157"/>
        <v>236457.40999999997</v>
      </c>
      <c r="M473" s="211">
        <f t="shared" si="157"/>
        <v>0</v>
      </c>
      <c r="N473" s="292">
        <f t="shared" si="157"/>
        <v>0</v>
      </c>
      <c r="O473" s="235">
        <f t="shared" si="157"/>
        <v>236457.40999999997</v>
      </c>
      <c r="P473" s="120">
        <f t="shared" si="157"/>
        <v>0</v>
      </c>
      <c r="Q473" s="76">
        <f t="shared" si="157"/>
        <v>236457.40999999997</v>
      </c>
    </row>
    <row r="474" spans="1:17" ht="12.75">
      <c r="A474" s="10" t="s">
        <v>117</v>
      </c>
      <c r="B474" s="59"/>
      <c r="C474" s="106"/>
      <c r="D474" s="75"/>
      <c r="E474" s="168"/>
      <c r="F474" s="198">
        <f t="shared" si="154"/>
        <v>0</v>
      </c>
      <c r="G474" s="211"/>
      <c r="H474" s="235"/>
      <c r="I474" s="181">
        <f>F474+G474+H474</f>
        <v>0</v>
      </c>
      <c r="J474" s="181"/>
      <c r="K474" s="276"/>
      <c r="L474" s="181">
        <f>I474+J474+K474</f>
        <v>0</v>
      </c>
      <c r="M474" s="211"/>
      <c r="N474" s="292"/>
      <c r="O474" s="235">
        <f>L474+M474+N474</f>
        <v>0</v>
      </c>
      <c r="P474" s="112"/>
      <c r="Q474" s="46">
        <f>O474+P474</f>
        <v>0</v>
      </c>
    </row>
    <row r="475" spans="1:17" ht="12.75">
      <c r="A475" s="10" t="s">
        <v>118</v>
      </c>
      <c r="B475" s="59"/>
      <c r="C475" s="106"/>
      <c r="D475" s="86">
        <f>39934.19</f>
        <v>39934.19</v>
      </c>
      <c r="E475" s="173">
        <v>78219.54</v>
      </c>
      <c r="F475" s="198">
        <f t="shared" si="154"/>
        <v>118153.73</v>
      </c>
      <c r="G475" s="211"/>
      <c r="H475" s="235">
        <f>25500</f>
        <v>25500</v>
      </c>
      <c r="I475" s="181">
        <f>F475+G475+H475</f>
        <v>143653.72999999998</v>
      </c>
      <c r="J475" s="181">
        <v>-5800</v>
      </c>
      <c r="K475" s="276"/>
      <c r="L475" s="181">
        <f>I475+J475+K475</f>
        <v>137853.72999999998</v>
      </c>
      <c r="M475" s="211"/>
      <c r="N475" s="292"/>
      <c r="O475" s="235">
        <f>L475+M475+N475</f>
        <v>137853.72999999998</v>
      </c>
      <c r="P475" s="112"/>
      <c r="Q475" s="46">
        <f>O475+P475</f>
        <v>137853.72999999998</v>
      </c>
    </row>
    <row r="476" spans="1:17" ht="12.75">
      <c r="A476" s="10" t="s">
        <v>115</v>
      </c>
      <c r="B476" s="59"/>
      <c r="C476" s="106"/>
      <c r="D476" s="75">
        <f>1000+164.8</f>
        <v>1164.8</v>
      </c>
      <c r="E476" s="168"/>
      <c r="F476" s="198">
        <f t="shared" si="154"/>
        <v>1164.8</v>
      </c>
      <c r="G476" s="211"/>
      <c r="H476" s="235"/>
      <c r="I476" s="181">
        <f>F476+G476+H476</f>
        <v>1164.8</v>
      </c>
      <c r="J476" s="181"/>
      <c r="K476" s="276"/>
      <c r="L476" s="181">
        <f>I476+J476+K476</f>
        <v>1164.8</v>
      </c>
      <c r="M476" s="211"/>
      <c r="N476" s="292"/>
      <c r="O476" s="235">
        <f>L476+M476+N476</f>
        <v>1164.8</v>
      </c>
      <c r="P476" s="112"/>
      <c r="Q476" s="46">
        <f>O476+P476</f>
        <v>1164.8</v>
      </c>
    </row>
    <row r="477" spans="1:17" ht="12.75">
      <c r="A477" s="11" t="s">
        <v>144</v>
      </c>
      <c r="B477" s="59"/>
      <c r="C477" s="106">
        <v>150000</v>
      </c>
      <c r="D477" s="102">
        <f>-23441.12</f>
        <v>-23441.12</v>
      </c>
      <c r="E477" s="168"/>
      <c r="F477" s="198">
        <f t="shared" si="154"/>
        <v>126558.88</v>
      </c>
      <c r="G477" s="211"/>
      <c r="H477" s="235"/>
      <c r="I477" s="181">
        <f>F477+G477+H477</f>
        <v>126558.88</v>
      </c>
      <c r="J477" s="181">
        <v>-29120</v>
      </c>
      <c r="K477" s="276"/>
      <c r="L477" s="181">
        <f>I477+J477+K477</f>
        <v>97438.88</v>
      </c>
      <c r="M477" s="211"/>
      <c r="N477" s="292"/>
      <c r="O477" s="235">
        <f>L477+M477+N477</f>
        <v>97438.88</v>
      </c>
      <c r="P477" s="112"/>
      <c r="Q477" s="46">
        <f>O477+P477</f>
        <v>97438.88</v>
      </c>
    </row>
    <row r="478" spans="1:17" ht="12.75">
      <c r="A478" s="10" t="s">
        <v>119</v>
      </c>
      <c r="B478" s="59">
        <v>12</v>
      </c>
      <c r="C478" s="106">
        <f aca="true" t="shared" si="158" ref="C478:Q478">C479+C480+C481</f>
        <v>32500</v>
      </c>
      <c r="D478" s="75">
        <f t="shared" si="158"/>
        <v>53799.600000000006</v>
      </c>
      <c r="E478" s="168">
        <f t="shared" si="158"/>
        <v>0</v>
      </c>
      <c r="F478" s="198">
        <f t="shared" si="158"/>
        <v>86299.6</v>
      </c>
      <c r="G478" s="211">
        <f t="shared" si="158"/>
        <v>-2800</v>
      </c>
      <c r="H478" s="235">
        <f t="shared" si="158"/>
        <v>0</v>
      </c>
      <c r="I478" s="181">
        <f t="shared" si="158"/>
        <v>83499.6</v>
      </c>
      <c r="J478" s="181">
        <f t="shared" si="158"/>
        <v>-1587.15</v>
      </c>
      <c r="K478" s="276">
        <f t="shared" si="158"/>
        <v>0</v>
      </c>
      <c r="L478" s="181">
        <f t="shared" si="158"/>
        <v>81912.45</v>
      </c>
      <c r="M478" s="211">
        <f t="shared" si="158"/>
        <v>0</v>
      </c>
      <c r="N478" s="292">
        <f t="shared" si="158"/>
        <v>0</v>
      </c>
      <c r="O478" s="235">
        <f t="shared" si="158"/>
        <v>81912.45</v>
      </c>
      <c r="P478" s="120">
        <f t="shared" si="158"/>
        <v>0</v>
      </c>
      <c r="Q478" s="76">
        <f t="shared" si="158"/>
        <v>81912.45</v>
      </c>
    </row>
    <row r="479" spans="1:17" ht="12.75">
      <c r="A479" s="10" t="s">
        <v>120</v>
      </c>
      <c r="B479" s="59"/>
      <c r="C479" s="106">
        <v>1500</v>
      </c>
      <c r="D479" s="75">
        <f>2132.41-600</f>
        <v>1532.4099999999999</v>
      </c>
      <c r="E479" s="168"/>
      <c r="F479" s="198">
        <f t="shared" si="154"/>
        <v>3032.41</v>
      </c>
      <c r="G479" s="211">
        <f>-300</f>
        <v>-300</v>
      </c>
      <c r="H479" s="235"/>
      <c r="I479" s="181">
        <f>F479+G479+H479</f>
        <v>2732.41</v>
      </c>
      <c r="J479" s="181">
        <f>108.65-467-195.8</f>
        <v>-554.1500000000001</v>
      </c>
      <c r="K479" s="276"/>
      <c r="L479" s="181">
        <f>I479+J479+K479</f>
        <v>2178.2599999999998</v>
      </c>
      <c r="M479" s="211">
        <f>-50</f>
        <v>-50</v>
      </c>
      <c r="N479" s="292"/>
      <c r="O479" s="235">
        <f>L479+M479+N479</f>
        <v>2128.2599999999998</v>
      </c>
      <c r="P479" s="112"/>
      <c r="Q479" s="46">
        <f>O479+P479</f>
        <v>2128.2599999999998</v>
      </c>
    </row>
    <row r="480" spans="1:17" ht="12.75">
      <c r="A480" s="10" t="s">
        <v>118</v>
      </c>
      <c r="B480" s="59"/>
      <c r="C480" s="106">
        <v>31000</v>
      </c>
      <c r="D480" s="75">
        <f>20000+31167.19+1100</f>
        <v>52267.19</v>
      </c>
      <c r="E480" s="168"/>
      <c r="F480" s="198">
        <f t="shared" si="154"/>
        <v>83267.19</v>
      </c>
      <c r="G480" s="211">
        <f>-2500</f>
        <v>-2500</v>
      </c>
      <c r="H480" s="235"/>
      <c r="I480" s="181">
        <f>F480+G480+H480</f>
        <v>80767.19</v>
      </c>
      <c r="J480" s="189">
        <f>467-3000+1500</f>
        <v>-1033</v>
      </c>
      <c r="K480" s="276"/>
      <c r="L480" s="181">
        <f>I480+J480+K480</f>
        <v>79734.19</v>
      </c>
      <c r="M480" s="211">
        <f>50</f>
        <v>50</v>
      </c>
      <c r="N480" s="292"/>
      <c r="O480" s="235">
        <f>L480+M480+N480</f>
        <v>79784.19</v>
      </c>
      <c r="P480" s="112"/>
      <c r="Q480" s="46">
        <f>O480+P480</f>
        <v>79784.19</v>
      </c>
    </row>
    <row r="481" spans="1:17" ht="12.75" customHeight="1" hidden="1">
      <c r="A481" s="10" t="s">
        <v>115</v>
      </c>
      <c r="B481" s="59"/>
      <c r="C481" s="106"/>
      <c r="D481" s="75"/>
      <c r="E481" s="168"/>
      <c r="F481" s="198">
        <f t="shared" si="154"/>
        <v>0</v>
      </c>
      <c r="G481" s="211"/>
      <c r="H481" s="235"/>
      <c r="I481" s="181">
        <f>F481+G481+H481</f>
        <v>0</v>
      </c>
      <c r="J481" s="181"/>
      <c r="K481" s="276"/>
      <c r="L481" s="181">
        <f>I481+J481+K481</f>
        <v>0</v>
      </c>
      <c r="M481" s="211"/>
      <c r="N481" s="292"/>
      <c r="O481" s="235">
        <f>L481+M481+N481</f>
        <v>0</v>
      </c>
      <c r="P481" s="112"/>
      <c r="Q481" s="46">
        <f>O481+P481</f>
        <v>0</v>
      </c>
    </row>
    <row r="482" spans="1:17" ht="12.75">
      <c r="A482" s="10" t="s">
        <v>121</v>
      </c>
      <c r="B482" s="59">
        <v>14</v>
      </c>
      <c r="C482" s="106">
        <f>SUM(C483:C487)</f>
        <v>92000</v>
      </c>
      <c r="D482" s="75">
        <f aca="true" t="shared" si="159" ref="D482:Q482">SUM(D483:D487)</f>
        <v>35526.1</v>
      </c>
      <c r="E482" s="168">
        <f t="shared" si="159"/>
        <v>0</v>
      </c>
      <c r="F482" s="198">
        <f t="shared" si="159"/>
        <v>127526.1</v>
      </c>
      <c r="G482" s="211">
        <f t="shared" si="159"/>
        <v>4609.39</v>
      </c>
      <c r="H482" s="235">
        <f t="shared" si="159"/>
        <v>0</v>
      </c>
      <c r="I482" s="181">
        <f t="shared" si="159"/>
        <v>132135.49</v>
      </c>
      <c r="J482" s="181">
        <f t="shared" si="159"/>
        <v>6565.28</v>
      </c>
      <c r="K482" s="276">
        <f t="shared" si="159"/>
        <v>0</v>
      </c>
      <c r="L482" s="181">
        <f t="shared" si="159"/>
        <v>138700.77000000002</v>
      </c>
      <c r="M482" s="211">
        <f t="shared" si="159"/>
        <v>0</v>
      </c>
      <c r="N482" s="292">
        <f t="shared" si="159"/>
        <v>0</v>
      </c>
      <c r="O482" s="235">
        <f t="shared" si="159"/>
        <v>138700.77000000002</v>
      </c>
      <c r="P482" s="120">
        <f t="shared" si="159"/>
        <v>0</v>
      </c>
      <c r="Q482" s="76">
        <f t="shared" si="159"/>
        <v>138700.77000000002</v>
      </c>
    </row>
    <row r="483" spans="1:17" ht="12.75">
      <c r="A483" s="10" t="s">
        <v>122</v>
      </c>
      <c r="B483" s="59"/>
      <c r="C483" s="106">
        <v>57300</v>
      </c>
      <c r="D483" s="86">
        <f>18532+4700</f>
        <v>23232</v>
      </c>
      <c r="E483" s="173"/>
      <c r="F483" s="198">
        <f t="shared" si="154"/>
        <v>80532</v>
      </c>
      <c r="G483" s="211">
        <f>1569.39+2397</f>
        <v>3966.3900000000003</v>
      </c>
      <c r="H483" s="235"/>
      <c r="I483" s="181">
        <f>F483+G483+H483</f>
        <v>84498.39</v>
      </c>
      <c r="J483" s="181">
        <f>-2379.5+6544.21</f>
        <v>4164.71</v>
      </c>
      <c r="K483" s="276"/>
      <c r="L483" s="181">
        <f>I483+J483+K483</f>
        <v>88663.1</v>
      </c>
      <c r="M483" s="211">
        <f>-4404.7+180.77-450</f>
        <v>-4673.929999999999</v>
      </c>
      <c r="N483" s="292"/>
      <c r="O483" s="235">
        <f>L483+M483+N483</f>
        <v>83989.17000000001</v>
      </c>
      <c r="P483" s="112"/>
      <c r="Q483" s="46">
        <f aca="true" t="shared" si="160" ref="Q483:Q523">O483+P483</f>
        <v>83989.17000000001</v>
      </c>
    </row>
    <row r="484" spans="1:17" ht="12.75">
      <c r="A484" s="10" t="s">
        <v>123</v>
      </c>
      <c r="B484" s="59"/>
      <c r="C484" s="106">
        <v>27050</v>
      </c>
      <c r="D484" s="75">
        <f>4191+650+55.1</f>
        <v>4896.1</v>
      </c>
      <c r="E484" s="168"/>
      <c r="F484" s="198">
        <f t="shared" si="154"/>
        <v>31946.1</v>
      </c>
      <c r="G484" s="211">
        <f>1840+603</f>
        <v>2443</v>
      </c>
      <c r="H484" s="235"/>
      <c r="I484" s="181">
        <f>F484+G484+H484</f>
        <v>34389.1</v>
      </c>
      <c r="J484" s="181">
        <f>1029.5+144</f>
        <v>1173.5</v>
      </c>
      <c r="K484" s="276"/>
      <c r="L484" s="181">
        <f>I484+J484+K484</f>
        <v>35562.6</v>
      </c>
      <c r="M484" s="211">
        <f>1704.7-42.77+450</f>
        <v>2111.9300000000003</v>
      </c>
      <c r="N484" s="292"/>
      <c r="O484" s="235">
        <f>L484+M484+N484</f>
        <v>37674.53</v>
      </c>
      <c r="P484" s="112"/>
      <c r="Q484" s="46">
        <f t="shared" si="160"/>
        <v>37674.53</v>
      </c>
    </row>
    <row r="485" spans="1:17" ht="13.5" customHeight="1">
      <c r="A485" s="10" t="s">
        <v>124</v>
      </c>
      <c r="B485" s="59"/>
      <c r="C485" s="106">
        <v>2000</v>
      </c>
      <c r="D485" s="75">
        <f>12948-33-200</f>
        <v>12715</v>
      </c>
      <c r="E485" s="168"/>
      <c r="F485" s="198">
        <f t="shared" si="154"/>
        <v>14715</v>
      </c>
      <c r="G485" s="211">
        <f>-2000</f>
        <v>-2000</v>
      </c>
      <c r="H485" s="235"/>
      <c r="I485" s="181">
        <f>F485+G485+H485</f>
        <v>12715</v>
      </c>
      <c r="J485" s="181">
        <f>949.73-46.73</f>
        <v>903</v>
      </c>
      <c r="K485" s="276"/>
      <c r="L485" s="181">
        <f>I485+J485+K485</f>
        <v>13618</v>
      </c>
      <c r="M485" s="211">
        <f>2700-138</f>
        <v>2562</v>
      </c>
      <c r="N485" s="292"/>
      <c r="O485" s="235">
        <f>L485+M485+N485</f>
        <v>16180</v>
      </c>
      <c r="P485" s="112"/>
      <c r="Q485" s="46">
        <f t="shared" si="160"/>
        <v>16180</v>
      </c>
    </row>
    <row r="486" spans="1:17" ht="13.5" customHeight="1">
      <c r="A486" s="11" t="s">
        <v>144</v>
      </c>
      <c r="B486" s="59"/>
      <c r="C486" s="106">
        <v>300</v>
      </c>
      <c r="D486" s="75">
        <f>33</f>
        <v>33</v>
      </c>
      <c r="E486" s="168"/>
      <c r="F486" s="198">
        <f t="shared" si="154"/>
        <v>333</v>
      </c>
      <c r="G486" s="211">
        <f>200</f>
        <v>200</v>
      </c>
      <c r="H486" s="235"/>
      <c r="I486" s="181">
        <f>F486+G486+H486</f>
        <v>533</v>
      </c>
      <c r="J486" s="181">
        <f>400.27-76.2</f>
        <v>324.07</v>
      </c>
      <c r="K486" s="276"/>
      <c r="L486" s="181">
        <f>I486+J486+K486</f>
        <v>857.0699999999999</v>
      </c>
      <c r="M486" s="211"/>
      <c r="N486" s="292"/>
      <c r="O486" s="235">
        <f>L486+M486+N486</f>
        <v>857.0699999999999</v>
      </c>
      <c r="P486" s="112"/>
      <c r="Q486" s="46">
        <f t="shared" si="160"/>
        <v>857.0699999999999</v>
      </c>
    </row>
    <row r="487" spans="1:17" ht="12.75">
      <c r="A487" s="10" t="s">
        <v>125</v>
      </c>
      <c r="B487" s="59"/>
      <c r="C487" s="106">
        <v>5350</v>
      </c>
      <c r="D487" s="75">
        <f>-5350</f>
        <v>-5350</v>
      </c>
      <c r="E487" s="168"/>
      <c r="F487" s="198">
        <f t="shared" si="154"/>
        <v>0</v>
      </c>
      <c r="G487" s="211"/>
      <c r="H487" s="235"/>
      <c r="I487" s="181">
        <f>F487+G487+H487</f>
        <v>0</v>
      </c>
      <c r="J487" s="181"/>
      <c r="K487" s="276"/>
      <c r="L487" s="181">
        <f>I487+J487+K487</f>
        <v>0</v>
      </c>
      <c r="M487" s="211"/>
      <c r="N487" s="292"/>
      <c r="O487" s="235">
        <f>L487+M487+N487</f>
        <v>0</v>
      </c>
      <c r="P487" s="112"/>
      <c r="Q487" s="46">
        <f t="shared" si="160"/>
        <v>0</v>
      </c>
    </row>
    <row r="488" spans="1:17" ht="12.75">
      <c r="A488" s="10" t="s">
        <v>126</v>
      </c>
      <c r="B488" s="59">
        <v>15</v>
      </c>
      <c r="C488" s="106">
        <f>SUM(C489:C495)</f>
        <v>150000</v>
      </c>
      <c r="D488" s="75">
        <f aca="true" t="shared" si="161" ref="D488:Q488">SUM(D489:D495)</f>
        <v>244780.86</v>
      </c>
      <c r="E488" s="168">
        <f t="shared" si="161"/>
        <v>0</v>
      </c>
      <c r="F488" s="198">
        <f t="shared" si="161"/>
        <v>394780.86</v>
      </c>
      <c r="G488" s="211">
        <f t="shared" si="161"/>
        <v>-260</v>
      </c>
      <c r="H488" s="235">
        <f t="shared" si="161"/>
        <v>0</v>
      </c>
      <c r="I488" s="181">
        <f t="shared" si="161"/>
        <v>394520.86</v>
      </c>
      <c r="J488" s="181">
        <f t="shared" si="161"/>
        <v>0</v>
      </c>
      <c r="K488" s="276">
        <f t="shared" si="161"/>
        <v>0</v>
      </c>
      <c r="L488" s="181">
        <f t="shared" si="161"/>
        <v>394520.86</v>
      </c>
      <c r="M488" s="211">
        <f t="shared" si="161"/>
        <v>-1258.3500000000004</v>
      </c>
      <c r="N488" s="292">
        <f t="shared" si="161"/>
        <v>700</v>
      </c>
      <c r="O488" s="235">
        <f t="shared" si="161"/>
        <v>393962.51</v>
      </c>
      <c r="P488" s="120">
        <f t="shared" si="161"/>
        <v>0</v>
      </c>
      <c r="Q488" s="76">
        <f t="shared" si="161"/>
        <v>393962.51</v>
      </c>
    </row>
    <row r="489" spans="1:17" ht="12.75">
      <c r="A489" s="10" t="s">
        <v>127</v>
      </c>
      <c r="B489" s="59"/>
      <c r="C489" s="106">
        <v>124380</v>
      </c>
      <c r="D489" s="75">
        <f>-500+192468.93</f>
        <v>191968.93</v>
      </c>
      <c r="E489" s="168">
        <v>385</v>
      </c>
      <c r="F489" s="198">
        <f t="shared" si="154"/>
        <v>316733.93</v>
      </c>
      <c r="G489" s="211">
        <f>90</f>
        <v>90</v>
      </c>
      <c r="H489" s="235">
        <f>1114.42</f>
        <v>1114.42</v>
      </c>
      <c r="I489" s="181">
        <f aca="true" t="shared" si="162" ref="I489:I495">F489+G489+H489</f>
        <v>317938.35</v>
      </c>
      <c r="J489" s="181">
        <f>-320</f>
        <v>-320</v>
      </c>
      <c r="K489" s="276"/>
      <c r="L489" s="181">
        <f aca="true" t="shared" si="163" ref="L489:L495">I489+J489+K489</f>
        <v>317618.35</v>
      </c>
      <c r="M489" s="211">
        <f>7292.87-8258.35+7000</f>
        <v>6034.5199999999995</v>
      </c>
      <c r="N489" s="292"/>
      <c r="O489" s="235">
        <f aca="true" t="shared" si="164" ref="O489:O495">L489+M489+N489</f>
        <v>323652.87</v>
      </c>
      <c r="P489" s="112"/>
      <c r="Q489" s="46">
        <f t="shared" si="160"/>
        <v>323652.87</v>
      </c>
    </row>
    <row r="490" spans="1:17" ht="12.75" hidden="1">
      <c r="A490" s="10" t="s">
        <v>128</v>
      </c>
      <c r="B490" s="59"/>
      <c r="C490" s="106"/>
      <c r="D490" s="75"/>
      <c r="E490" s="168"/>
      <c r="F490" s="198">
        <f t="shared" si="154"/>
        <v>0</v>
      </c>
      <c r="G490" s="211"/>
      <c r="H490" s="235"/>
      <c r="I490" s="181">
        <f t="shared" si="162"/>
        <v>0</v>
      </c>
      <c r="J490" s="181"/>
      <c r="K490" s="276"/>
      <c r="L490" s="181">
        <f t="shared" si="163"/>
        <v>0</v>
      </c>
      <c r="M490" s="211"/>
      <c r="N490" s="292"/>
      <c r="O490" s="235">
        <f t="shared" si="164"/>
        <v>0</v>
      </c>
      <c r="P490" s="112"/>
      <c r="Q490" s="46">
        <f t="shared" si="160"/>
        <v>0</v>
      </c>
    </row>
    <row r="491" spans="1:17" ht="12.75" hidden="1">
      <c r="A491" s="10" t="s">
        <v>129</v>
      </c>
      <c r="B491" s="59"/>
      <c r="C491" s="106"/>
      <c r="D491" s="86"/>
      <c r="E491" s="173"/>
      <c r="F491" s="198">
        <f t="shared" si="154"/>
        <v>0</v>
      </c>
      <c r="G491" s="211"/>
      <c r="H491" s="235"/>
      <c r="I491" s="181">
        <f t="shared" si="162"/>
        <v>0</v>
      </c>
      <c r="J491" s="181"/>
      <c r="K491" s="276"/>
      <c r="L491" s="181">
        <f t="shared" si="163"/>
        <v>0</v>
      </c>
      <c r="M491" s="211"/>
      <c r="N491" s="292"/>
      <c r="O491" s="235">
        <f t="shared" si="164"/>
        <v>0</v>
      </c>
      <c r="P491" s="112"/>
      <c r="Q491" s="46">
        <f t="shared" si="160"/>
        <v>0</v>
      </c>
    </row>
    <row r="492" spans="1:17" ht="12.75">
      <c r="A492" s="10" t="s">
        <v>130</v>
      </c>
      <c r="B492" s="59"/>
      <c r="C492" s="106">
        <v>17100</v>
      </c>
      <c r="D492" s="75">
        <f>28807.16</f>
        <v>28807.16</v>
      </c>
      <c r="E492" s="168"/>
      <c r="F492" s="198">
        <f t="shared" si="154"/>
        <v>45907.16</v>
      </c>
      <c r="G492" s="211">
        <f>-1822</f>
        <v>-1822</v>
      </c>
      <c r="H492" s="235"/>
      <c r="I492" s="181">
        <f t="shared" si="162"/>
        <v>44085.16</v>
      </c>
      <c r="J492" s="181"/>
      <c r="K492" s="276"/>
      <c r="L492" s="181">
        <f t="shared" si="163"/>
        <v>44085.16</v>
      </c>
      <c r="M492" s="211"/>
      <c r="N492" s="292">
        <f>700</f>
        <v>700</v>
      </c>
      <c r="O492" s="235">
        <f t="shared" si="164"/>
        <v>44785.16</v>
      </c>
      <c r="P492" s="112"/>
      <c r="Q492" s="46">
        <f t="shared" si="160"/>
        <v>44785.16</v>
      </c>
    </row>
    <row r="493" spans="1:17" ht="12.75">
      <c r="A493" s="10" t="s">
        <v>131</v>
      </c>
      <c r="B493" s="59"/>
      <c r="C493" s="106"/>
      <c r="D493" s="75">
        <f>5444.91+757</f>
        <v>6201.91</v>
      </c>
      <c r="E493" s="168"/>
      <c r="F493" s="198">
        <f t="shared" si="154"/>
        <v>6201.91</v>
      </c>
      <c r="G493" s="211">
        <f>1822-350</f>
        <v>1472</v>
      </c>
      <c r="H493" s="235"/>
      <c r="I493" s="181">
        <f t="shared" si="162"/>
        <v>7673.91</v>
      </c>
      <c r="J493" s="189"/>
      <c r="K493" s="276"/>
      <c r="L493" s="181">
        <f t="shared" si="163"/>
        <v>7673.91</v>
      </c>
      <c r="M493" s="211"/>
      <c r="N493" s="292"/>
      <c r="O493" s="235">
        <f t="shared" si="164"/>
        <v>7673.91</v>
      </c>
      <c r="P493" s="112"/>
      <c r="Q493" s="46">
        <f t="shared" si="160"/>
        <v>7673.91</v>
      </c>
    </row>
    <row r="494" spans="1:17" ht="12.75">
      <c r="A494" s="10" t="s">
        <v>132</v>
      </c>
      <c r="B494" s="59"/>
      <c r="C494" s="106">
        <v>8520</v>
      </c>
      <c r="D494" s="75">
        <f>500+12213.21</f>
        <v>12713.21</v>
      </c>
      <c r="E494" s="168">
        <v>1160</v>
      </c>
      <c r="F494" s="198">
        <f t="shared" si="154"/>
        <v>22393.21</v>
      </c>
      <c r="G494" s="211"/>
      <c r="H494" s="235"/>
      <c r="I494" s="181">
        <f t="shared" si="162"/>
        <v>22393.21</v>
      </c>
      <c r="J494" s="181">
        <f>753</f>
        <v>753</v>
      </c>
      <c r="K494" s="276"/>
      <c r="L494" s="181">
        <f t="shared" si="163"/>
        <v>23146.21</v>
      </c>
      <c r="M494" s="211">
        <f>-7292.87</f>
        <v>-7292.87</v>
      </c>
      <c r="N494" s="292"/>
      <c r="O494" s="235">
        <f t="shared" si="164"/>
        <v>15853.34</v>
      </c>
      <c r="P494" s="112"/>
      <c r="Q494" s="46">
        <f t="shared" si="160"/>
        <v>15853.34</v>
      </c>
    </row>
    <row r="495" spans="1:17" ht="13.5" thickBot="1">
      <c r="A495" s="329" t="s">
        <v>125</v>
      </c>
      <c r="B495" s="103"/>
      <c r="C495" s="134"/>
      <c r="D495" s="104">
        <f>5089.65</f>
        <v>5089.65</v>
      </c>
      <c r="E495" s="193">
        <v>-1545</v>
      </c>
      <c r="F495" s="204">
        <f t="shared" si="154"/>
        <v>3544.6499999999996</v>
      </c>
      <c r="G495" s="317"/>
      <c r="H495" s="318">
        <f>-1114.42</f>
        <v>-1114.42</v>
      </c>
      <c r="I495" s="319">
        <f t="shared" si="162"/>
        <v>2430.2299999999996</v>
      </c>
      <c r="J495" s="319">
        <f>-433</f>
        <v>-433</v>
      </c>
      <c r="K495" s="320"/>
      <c r="L495" s="319">
        <f t="shared" si="163"/>
        <v>1997.2299999999996</v>
      </c>
      <c r="M495" s="317"/>
      <c r="N495" s="321"/>
      <c r="O495" s="318">
        <f t="shared" si="164"/>
        <v>1997.2299999999996</v>
      </c>
      <c r="P495" s="112"/>
      <c r="Q495" s="46">
        <f t="shared" si="160"/>
        <v>1997.2299999999996</v>
      </c>
    </row>
    <row r="496" spans="1:17" ht="12.75">
      <c r="A496" s="10" t="s">
        <v>133</v>
      </c>
      <c r="B496" s="59">
        <v>16</v>
      </c>
      <c r="C496" s="106">
        <f>SUM(C497:C500)</f>
        <v>3000</v>
      </c>
      <c r="D496" s="75">
        <f aca="true" t="shared" si="165" ref="D496:Q496">SUM(D497:D500)</f>
        <v>22983.289999999997</v>
      </c>
      <c r="E496" s="168">
        <f t="shared" si="165"/>
        <v>0</v>
      </c>
      <c r="F496" s="198">
        <f t="shared" si="165"/>
        <v>25983.289999999997</v>
      </c>
      <c r="G496" s="211">
        <f t="shared" si="165"/>
        <v>0</v>
      </c>
      <c r="H496" s="235">
        <f t="shared" si="165"/>
        <v>0</v>
      </c>
      <c r="I496" s="181">
        <f t="shared" si="165"/>
        <v>25983.289999999997</v>
      </c>
      <c r="J496" s="181">
        <f t="shared" si="165"/>
        <v>-60</v>
      </c>
      <c r="K496" s="276">
        <f t="shared" si="165"/>
        <v>0</v>
      </c>
      <c r="L496" s="181">
        <f t="shared" si="165"/>
        <v>25923.289999999997</v>
      </c>
      <c r="M496" s="211">
        <f t="shared" si="165"/>
        <v>105</v>
      </c>
      <c r="N496" s="292">
        <f t="shared" si="165"/>
        <v>0</v>
      </c>
      <c r="O496" s="235">
        <f t="shared" si="165"/>
        <v>26028.289999999997</v>
      </c>
      <c r="P496" s="120">
        <f t="shared" si="165"/>
        <v>0</v>
      </c>
      <c r="Q496" s="76">
        <f t="shared" si="165"/>
        <v>26028.289999999997</v>
      </c>
    </row>
    <row r="497" spans="1:17" ht="12.75">
      <c r="A497" s="10" t="s">
        <v>122</v>
      </c>
      <c r="B497" s="59"/>
      <c r="C497" s="106">
        <v>1870</v>
      </c>
      <c r="D497" s="75">
        <f>478</f>
        <v>478</v>
      </c>
      <c r="E497" s="168"/>
      <c r="F497" s="198">
        <f t="shared" si="154"/>
        <v>2348</v>
      </c>
      <c r="G497" s="211"/>
      <c r="H497" s="235"/>
      <c r="I497" s="181">
        <f>F497+G497+H497</f>
        <v>2348</v>
      </c>
      <c r="J497" s="181">
        <v>300</v>
      </c>
      <c r="K497" s="276"/>
      <c r="L497" s="181">
        <f>I497+J497+K497</f>
        <v>2648</v>
      </c>
      <c r="M497" s="211">
        <f>105</f>
        <v>105</v>
      </c>
      <c r="N497" s="292"/>
      <c r="O497" s="235">
        <f>L497+M497+N497</f>
        <v>2753</v>
      </c>
      <c r="P497" s="112"/>
      <c r="Q497" s="46">
        <f t="shared" si="160"/>
        <v>2753</v>
      </c>
    </row>
    <row r="498" spans="1:17" ht="12.75">
      <c r="A498" s="10" t="s">
        <v>123</v>
      </c>
      <c r="B498" s="59"/>
      <c r="C498" s="106">
        <v>1080</v>
      </c>
      <c r="D498" s="75">
        <f>-70</f>
        <v>-70</v>
      </c>
      <c r="E498" s="168"/>
      <c r="F498" s="198">
        <f t="shared" si="154"/>
        <v>1010</v>
      </c>
      <c r="G498" s="211"/>
      <c r="H498" s="235"/>
      <c r="I498" s="181">
        <f>F498+G498+H498</f>
        <v>1010</v>
      </c>
      <c r="J498" s="181"/>
      <c r="K498" s="276"/>
      <c r="L498" s="181">
        <f>I498+J498+K498</f>
        <v>1010</v>
      </c>
      <c r="M498" s="211"/>
      <c r="N498" s="292"/>
      <c r="O498" s="235">
        <f>L498+M498+N498</f>
        <v>1010</v>
      </c>
      <c r="P498" s="112"/>
      <c r="Q498" s="46">
        <f t="shared" si="160"/>
        <v>1010</v>
      </c>
    </row>
    <row r="499" spans="1:17" ht="12.75">
      <c r="A499" s="10" t="s">
        <v>124</v>
      </c>
      <c r="B499" s="59"/>
      <c r="C499" s="106"/>
      <c r="D499" s="75">
        <f>2872.96-861.34+20000</f>
        <v>22011.62</v>
      </c>
      <c r="E499" s="168"/>
      <c r="F499" s="198">
        <f t="shared" si="154"/>
        <v>22011.62</v>
      </c>
      <c r="G499" s="211"/>
      <c r="H499" s="235"/>
      <c r="I499" s="181">
        <f>F499+G499+H499</f>
        <v>22011.62</v>
      </c>
      <c r="J499" s="181">
        <v>-360</v>
      </c>
      <c r="K499" s="276"/>
      <c r="L499" s="181">
        <f>I499+J499+K499</f>
        <v>21651.62</v>
      </c>
      <c r="M499" s="211"/>
      <c r="N499" s="292"/>
      <c r="O499" s="235">
        <f>L499+M499+N499</f>
        <v>21651.62</v>
      </c>
      <c r="P499" s="112"/>
      <c r="Q499" s="46">
        <f t="shared" si="160"/>
        <v>21651.62</v>
      </c>
    </row>
    <row r="500" spans="1:17" ht="12.75">
      <c r="A500" s="10" t="s">
        <v>125</v>
      </c>
      <c r="B500" s="59"/>
      <c r="C500" s="106">
        <v>50</v>
      </c>
      <c r="D500" s="75">
        <f>563.67</f>
        <v>563.67</v>
      </c>
      <c r="E500" s="168"/>
      <c r="F500" s="198">
        <f t="shared" si="154"/>
        <v>613.67</v>
      </c>
      <c r="G500" s="211"/>
      <c r="H500" s="235"/>
      <c r="I500" s="181">
        <f>F500+G500+H500</f>
        <v>613.67</v>
      </c>
      <c r="J500" s="181"/>
      <c r="K500" s="276"/>
      <c r="L500" s="181">
        <f>I500+J500+K500</f>
        <v>613.67</v>
      </c>
      <c r="M500" s="211">
        <f>-105+105</f>
        <v>0</v>
      </c>
      <c r="N500" s="292"/>
      <c r="O500" s="235">
        <f>L500+M500+N500</f>
        <v>613.67</v>
      </c>
      <c r="P500" s="112"/>
      <c r="Q500" s="46">
        <f t="shared" si="160"/>
        <v>613.67</v>
      </c>
    </row>
    <row r="501" spans="1:17" ht="12.75">
      <c r="A501" s="10" t="s">
        <v>134</v>
      </c>
      <c r="B501" s="59">
        <v>28</v>
      </c>
      <c r="C501" s="106">
        <f>SUM(C502:C506)</f>
        <v>50000</v>
      </c>
      <c r="D501" s="75">
        <f aca="true" t="shared" si="166" ref="D501:Q501">SUM(D502:D506)</f>
        <v>23426.350000000002</v>
      </c>
      <c r="E501" s="168">
        <f t="shared" si="166"/>
        <v>0</v>
      </c>
      <c r="F501" s="198">
        <f t="shared" si="166"/>
        <v>73426.35</v>
      </c>
      <c r="G501" s="211">
        <f t="shared" si="166"/>
        <v>0</v>
      </c>
      <c r="H501" s="235">
        <f t="shared" si="166"/>
        <v>0</v>
      </c>
      <c r="I501" s="181">
        <f t="shared" si="166"/>
        <v>73426.35</v>
      </c>
      <c r="J501" s="181">
        <f t="shared" si="166"/>
        <v>10000</v>
      </c>
      <c r="K501" s="276">
        <f t="shared" si="166"/>
        <v>0</v>
      </c>
      <c r="L501" s="181">
        <f t="shared" si="166"/>
        <v>83426.35</v>
      </c>
      <c r="M501" s="211">
        <f t="shared" si="166"/>
        <v>0</v>
      </c>
      <c r="N501" s="292">
        <f t="shared" si="166"/>
        <v>0</v>
      </c>
      <c r="O501" s="235">
        <f t="shared" si="166"/>
        <v>83426.34999999999</v>
      </c>
      <c r="P501" s="120">
        <f t="shared" si="166"/>
        <v>0</v>
      </c>
      <c r="Q501" s="76">
        <f t="shared" si="166"/>
        <v>83426.34999999999</v>
      </c>
    </row>
    <row r="502" spans="1:17" ht="12.75">
      <c r="A502" s="10" t="s">
        <v>122</v>
      </c>
      <c r="B502" s="59"/>
      <c r="C502" s="106">
        <v>2000</v>
      </c>
      <c r="D502" s="75">
        <f>8555.71</f>
        <v>8555.71</v>
      </c>
      <c r="E502" s="168"/>
      <c r="F502" s="198">
        <f t="shared" si="154"/>
        <v>10555.71</v>
      </c>
      <c r="G502" s="211">
        <f>-500</f>
        <v>-500</v>
      </c>
      <c r="H502" s="235"/>
      <c r="I502" s="181">
        <f>F502+G502+H502</f>
        <v>10055.71</v>
      </c>
      <c r="J502" s="181">
        <f>2300</f>
        <v>2300</v>
      </c>
      <c r="K502" s="276"/>
      <c r="L502" s="181">
        <f>I502+J502+K502</f>
        <v>12355.71</v>
      </c>
      <c r="M502" s="211">
        <f>-2000</f>
        <v>-2000</v>
      </c>
      <c r="N502" s="292"/>
      <c r="O502" s="235">
        <f>L502+M502+N502</f>
        <v>10355.71</v>
      </c>
      <c r="P502" s="112"/>
      <c r="Q502" s="46">
        <f t="shared" si="160"/>
        <v>10355.71</v>
      </c>
    </row>
    <row r="503" spans="1:17" ht="12.75">
      <c r="A503" s="10" t="s">
        <v>123</v>
      </c>
      <c r="B503" s="59"/>
      <c r="C503" s="106">
        <v>4600</v>
      </c>
      <c r="D503" s="75"/>
      <c r="E503" s="168"/>
      <c r="F503" s="198">
        <f t="shared" si="154"/>
        <v>4600</v>
      </c>
      <c r="G503" s="211"/>
      <c r="H503" s="235"/>
      <c r="I503" s="181">
        <f>F503+G503+H503</f>
        <v>4600</v>
      </c>
      <c r="J503" s="181"/>
      <c r="K503" s="276"/>
      <c r="L503" s="181">
        <f>I503+J503+K503</f>
        <v>4600</v>
      </c>
      <c r="M503" s="211">
        <f>-3600</f>
        <v>-3600</v>
      </c>
      <c r="N503" s="292"/>
      <c r="O503" s="235">
        <f>L503+M503+N503</f>
        <v>1000</v>
      </c>
      <c r="P503" s="112"/>
      <c r="Q503" s="46">
        <f t="shared" si="160"/>
        <v>1000</v>
      </c>
    </row>
    <row r="504" spans="1:17" ht="12.75">
      <c r="A504" s="10" t="s">
        <v>135</v>
      </c>
      <c r="B504" s="59"/>
      <c r="C504" s="106">
        <v>34500</v>
      </c>
      <c r="D504" s="75">
        <f>9685.65+500</f>
        <v>10185.65</v>
      </c>
      <c r="E504" s="168"/>
      <c r="F504" s="198">
        <f t="shared" si="154"/>
        <v>44685.65</v>
      </c>
      <c r="G504" s="211">
        <f>12500</f>
        <v>12500</v>
      </c>
      <c r="H504" s="235"/>
      <c r="I504" s="181">
        <f>F504+G504+H504</f>
        <v>57185.65</v>
      </c>
      <c r="J504" s="181">
        <f>6500</f>
        <v>6500</v>
      </c>
      <c r="K504" s="276"/>
      <c r="L504" s="181">
        <f>I504+J504+K504</f>
        <v>63685.65</v>
      </c>
      <c r="M504" s="211">
        <f>4000</f>
        <v>4000</v>
      </c>
      <c r="N504" s="292"/>
      <c r="O504" s="235">
        <f>L504+M504+N504</f>
        <v>67685.65</v>
      </c>
      <c r="P504" s="112"/>
      <c r="Q504" s="46">
        <f t="shared" si="160"/>
        <v>67685.65</v>
      </c>
    </row>
    <row r="505" spans="1:17" ht="12.75">
      <c r="A505" s="10" t="s">
        <v>132</v>
      </c>
      <c r="B505" s="59"/>
      <c r="C505" s="106"/>
      <c r="D505" s="75"/>
      <c r="E505" s="168"/>
      <c r="F505" s="198">
        <f t="shared" si="154"/>
        <v>0</v>
      </c>
      <c r="G505" s="211"/>
      <c r="H505" s="235"/>
      <c r="I505" s="181">
        <f>F505+G505+H505</f>
        <v>0</v>
      </c>
      <c r="J505" s="181"/>
      <c r="K505" s="276"/>
      <c r="L505" s="181">
        <f>I505+J505+K505</f>
        <v>0</v>
      </c>
      <c r="M505" s="211">
        <f>3600</f>
        <v>3600</v>
      </c>
      <c r="N505" s="292"/>
      <c r="O505" s="235">
        <f>L505+M505+N505</f>
        <v>3600</v>
      </c>
      <c r="P505" s="112"/>
      <c r="Q505" s="46">
        <f t="shared" si="160"/>
        <v>3600</v>
      </c>
    </row>
    <row r="506" spans="1:17" ht="12.75">
      <c r="A506" s="10" t="s">
        <v>125</v>
      </c>
      <c r="B506" s="59"/>
      <c r="C506" s="106">
        <v>8900</v>
      </c>
      <c r="D506" s="86">
        <f>5173.89-488.9</f>
        <v>4684.990000000001</v>
      </c>
      <c r="E506" s="168"/>
      <c r="F506" s="198">
        <f t="shared" si="154"/>
        <v>13584.990000000002</v>
      </c>
      <c r="G506" s="211">
        <f>-12000</f>
        <v>-12000</v>
      </c>
      <c r="H506" s="235"/>
      <c r="I506" s="181">
        <f>F506+G506+H506</f>
        <v>1584.9900000000016</v>
      </c>
      <c r="J506" s="181">
        <f>1200</f>
        <v>1200</v>
      </c>
      <c r="K506" s="276"/>
      <c r="L506" s="181">
        <f>I506+J506+K506</f>
        <v>2784.9900000000016</v>
      </c>
      <c r="M506" s="211">
        <f>-2000</f>
        <v>-2000</v>
      </c>
      <c r="N506" s="292"/>
      <c r="O506" s="235">
        <f>L506+M506+N506</f>
        <v>784.9900000000016</v>
      </c>
      <c r="P506" s="112"/>
      <c r="Q506" s="46">
        <f t="shared" si="160"/>
        <v>784.9900000000016</v>
      </c>
    </row>
    <row r="507" spans="1:17" ht="12.75">
      <c r="A507" s="11" t="s">
        <v>136</v>
      </c>
      <c r="B507" s="59"/>
      <c r="C507" s="106">
        <f>C508+C509</f>
        <v>10</v>
      </c>
      <c r="D507" s="75">
        <f aca="true" t="shared" si="167" ref="D507:Q507">D508+D509</f>
        <v>5517.57</v>
      </c>
      <c r="E507" s="168">
        <f t="shared" si="167"/>
        <v>0</v>
      </c>
      <c r="F507" s="198">
        <f t="shared" si="167"/>
        <v>5527.57</v>
      </c>
      <c r="G507" s="211">
        <f t="shared" si="167"/>
        <v>-308.31</v>
      </c>
      <c r="H507" s="235">
        <f t="shared" si="167"/>
        <v>0</v>
      </c>
      <c r="I507" s="181">
        <f t="shared" si="167"/>
        <v>5219.26</v>
      </c>
      <c r="J507" s="181">
        <f t="shared" si="167"/>
        <v>-378.90999999999997</v>
      </c>
      <c r="K507" s="276">
        <f t="shared" si="167"/>
        <v>0</v>
      </c>
      <c r="L507" s="181">
        <f t="shared" si="167"/>
        <v>4840.35</v>
      </c>
      <c r="M507" s="211">
        <f t="shared" si="167"/>
        <v>0</v>
      </c>
      <c r="N507" s="292">
        <f t="shared" si="167"/>
        <v>0</v>
      </c>
      <c r="O507" s="235">
        <f t="shared" si="167"/>
        <v>4840.35</v>
      </c>
      <c r="P507" s="107">
        <f t="shared" si="167"/>
        <v>0</v>
      </c>
      <c r="Q507" s="106">
        <f t="shared" si="167"/>
        <v>0</v>
      </c>
    </row>
    <row r="508" spans="1:17" ht="12.75">
      <c r="A508" s="11" t="s">
        <v>267</v>
      </c>
      <c r="B508" s="59"/>
      <c r="C508" s="106"/>
      <c r="D508" s="75">
        <f>517.57</f>
        <v>517.57</v>
      </c>
      <c r="E508" s="168"/>
      <c r="F508" s="198">
        <f t="shared" si="154"/>
        <v>517.57</v>
      </c>
      <c r="G508" s="211">
        <f>-200+91.69</f>
        <v>-108.31</v>
      </c>
      <c r="H508" s="235"/>
      <c r="I508" s="181">
        <f>F508+G508+H508</f>
        <v>409.26000000000005</v>
      </c>
      <c r="J508" s="181">
        <f>200-509.26</f>
        <v>-309.26</v>
      </c>
      <c r="K508" s="276"/>
      <c r="L508" s="181">
        <f>I508+J508+K508</f>
        <v>100.00000000000006</v>
      </c>
      <c r="M508" s="211"/>
      <c r="N508" s="292"/>
      <c r="O508" s="235">
        <f>L508+M508+N508</f>
        <v>100.00000000000006</v>
      </c>
      <c r="P508" s="112"/>
      <c r="Q508" s="46"/>
    </row>
    <row r="509" spans="1:17" ht="12.75">
      <c r="A509" s="14" t="s">
        <v>300</v>
      </c>
      <c r="B509" s="62"/>
      <c r="C509" s="132">
        <v>10</v>
      </c>
      <c r="D509" s="83">
        <f>5000</f>
        <v>5000</v>
      </c>
      <c r="E509" s="192"/>
      <c r="F509" s="203">
        <f t="shared" si="154"/>
        <v>5010</v>
      </c>
      <c r="G509" s="217">
        <f>-200</f>
        <v>-200</v>
      </c>
      <c r="H509" s="233"/>
      <c r="I509" s="187">
        <f>F509+G509+H509</f>
        <v>4810</v>
      </c>
      <c r="J509" s="187">
        <f>-108.65-200+195.8+43.2</f>
        <v>-69.64999999999996</v>
      </c>
      <c r="K509" s="217"/>
      <c r="L509" s="187">
        <f>I509+J509+K509</f>
        <v>4740.35</v>
      </c>
      <c r="M509" s="217"/>
      <c r="N509" s="298"/>
      <c r="O509" s="233">
        <f>L509+M509+N509</f>
        <v>4740.35</v>
      </c>
      <c r="P509" s="112"/>
      <c r="Q509" s="46"/>
    </row>
    <row r="510" spans="1:17" ht="13.5" thickBot="1">
      <c r="A510" s="25" t="s">
        <v>137</v>
      </c>
      <c r="B510" s="63"/>
      <c r="C510" s="100">
        <v>6618.08</v>
      </c>
      <c r="D510" s="78">
        <f>225.34+287.92</f>
        <v>513.26</v>
      </c>
      <c r="E510" s="169"/>
      <c r="F510" s="199">
        <f t="shared" si="154"/>
        <v>7131.34</v>
      </c>
      <c r="G510" s="213"/>
      <c r="H510" s="237">
        <f>2467.22</f>
        <v>2467.22</v>
      </c>
      <c r="I510" s="183">
        <f>SUM(F510:H510)</f>
        <v>9598.56</v>
      </c>
      <c r="J510" s="183">
        <f>35+11.11</f>
        <v>46.11</v>
      </c>
      <c r="K510" s="278"/>
      <c r="L510" s="183">
        <f>SUM(I510:K510)</f>
        <v>9644.67</v>
      </c>
      <c r="M510" s="213"/>
      <c r="N510" s="294"/>
      <c r="O510" s="237">
        <f>SUM(L510:N510)</f>
        <v>9644.67</v>
      </c>
      <c r="P510" s="269"/>
      <c r="Q510" s="7">
        <f>O510+P510</f>
        <v>9644.67</v>
      </c>
    </row>
    <row r="511" spans="1:17" ht="15.75" thickBot="1">
      <c r="A511" s="26" t="s">
        <v>138</v>
      </c>
      <c r="B511" s="66"/>
      <c r="C511" s="110">
        <f aca="true" t="shared" si="168" ref="C511:Q511">+C92+C112+C122+C140+C152+C180+C230+C249+C268+C286+C367+C397+C419+C426+C456+C460+C510+C433+C310</f>
        <v>4165163.4299999997</v>
      </c>
      <c r="D511" s="88">
        <f t="shared" si="168"/>
        <v>9632866.57</v>
      </c>
      <c r="E511" s="111">
        <f t="shared" si="168"/>
        <v>61319.539999999986</v>
      </c>
      <c r="F511" s="154">
        <f t="shared" si="168"/>
        <v>13859349.540000003</v>
      </c>
      <c r="G511" s="220">
        <f t="shared" si="168"/>
        <v>767416.51</v>
      </c>
      <c r="H511" s="243">
        <f t="shared" si="168"/>
        <v>48048.37</v>
      </c>
      <c r="I511" s="159">
        <f t="shared" si="168"/>
        <v>14674814.420000006</v>
      </c>
      <c r="J511" s="159">
        <f t="shared" si="168"/>
        <v>529506.22</v>
      </c>
      <c r="K511" s="262">
        <f t="shared" si="168"/>
        <v>11856.48</v>
      </c>
      <c r="L511" s="159">
        <f t="shared" si="168"/>
        <v>15216177.120000001</v>
      </c>
      <c r="M511" s="220">
        <f t="shared" si="168"/>
        <v>527783.0100000001</v>
      </c>
      <c r="N511" s="301">
        <f t="shared" si="168"/>
        <v>65770</v>
      </c>
      <c r="O511" s="243">
        <f t="shared" si="168"/>
        <v>15809730.129999999</v>
      </c>
      <c r="P511" s="111">
        <f t="shared" si="168"/>
        <v>0</v>
      </c>
      <c r="Q511" s="110">
        <f t="shared" si="168"/>
        <v>11095190.770000001</v>
      </c>
    </row>
    <row r="512" spans="1:17" ht="13.5" thickBot="1">
      <c r="A512" s="27" t="s">
        <v>139</v>
      </c>
      <c r="B512" s="66"/>
      <c r="C512" s="135">
        <v>-6618.08</v>
      </c>
      <c r="D512" s="89">
        <f>-225.34-287.92</f>
        <v>-513.26</v>
      </c>
      <c r="E512" s="144"/>
      <c r="F512" s="149">
        <f t="shared" si="154"/>
        <v>-7131.34</v>
      </c>
      <c r="G512" s="221"/>
      <c r="H512" s="244"/>
      <c r="I512" s="183">
        <f>F512+G512+H512</f>
        <v>-7131.34</v>
      </c>
      <c r="J512" s="257">
        <f>-35-11.11</f>
        <v>-46.11</v>
      </c>
      <c r="K512" s="263"/>
      <c r="L512" s="183">
        <f>I512+J512+K512</f>
        <v>-7177.45</v>
      </c>
      <c r="M512" s="221"/>
      <c r="N512" s="302"/>
      <c r="O512" s="244">
        <f>L512+M512+N512</f>
        <v>-7177.45</v>
      </c>
      <c r="P512" s="144"/>
      <c r="Q512" s="135"/>
    </row>
    <row r="513" spans="1:17" ht="16.5" thickBot="1">
      <c r="A513" s="28" t="s">
        <v>140</v>
      </c>
      <c r="B513" s="66"/>
      <c r="C513" s="136">
        <f aca="true" t="shared" si="169" ref="C513:Q513">C511+C512</f>
        <v>4158545.3499999996</v>
      </c>
      <c r="D513" s="90">
        <f t="shared" si="169"/>
        <v>9632353.31</v>
      </c>
      <c r="E513" s="145">
        <f t="shared" si="169"/>
        <v>61319.539999999986</v>
      </c>
      <c r="F513" s="155">
        <f t="shared" si="169"/>
        <v>13852218.200000003</v>
      </c>
      <c r="G513" s="222">
        <f t="shared" si="169"/>
        <v>767416.51</v>
      </c>
      <c r="H513" s="245">
        <f t="shared" si="169"/>
        <v>48048.37</v>
      </c>
      <c r="I513" s="160">
        <f t="shared" si="169"/>
        <v>14667683.080000006</v>
      </c>
      <c r="J513" s="160">
        <f t="shared" si="169"/>
        <v>529460.11</v>
      </c>
      <c r="K513" s="264">
        <f t="shared" si="169"/>
        <v>11856.48</v>
      </c>
      <c r="L513" s="160">
        <f t="shared" si="169"/>
        <v>15208999.670000002</v>
      </c>
      <c r="M513" s="222">
        <f t="shared" si="169"/>
        <v>527783.0100000001</v>
      </c>
      <c r="N513" s="303">
        <f t="shared" si="169"/>
        <v>65770</v>
      </c>
      <c r="O513" s="245">
        <f t="shared" si="169"/>
        <v>15802552.68</v>
      </c>
      <c r="P513" s="145">
        <f t="shared" si="169"/>
        <v>0</v>
      </c>
      <c r="Q513" s="136">
        <f t="shared" si="169"/>
        <v>11095190.770000001</v>
      </c>
    </row>
    <row r="514" spans="1:17" ht="15.75">
      <c r="A514" s="29" t="s">
        <v>27</v>
      </c>
      <c r="B514" s="67"/>
      <c r="C514" s="137"/>
      <c r="D514" s="91"/>
      <c r="E514" s="146"/>
      <c r="F514" s="156"/>
      <c r="G514" s="223"/>
      <c r="H514" s="246"/>
      <c r="I514" s="161"/>
      <c r="J514" s="161"/>
      <c r="K514" s="265"/>
      <c r="L514" s="161"/>
      <c r="M514" s="223"/>
      <c r="N514" s="304"/>
      <c r="O514" s="246"/>
      <c r="P514" s="146"/>
      <c r="Q514" s="137"/>
    </row>
    <row r="515" spans="1:17" ht="15.75">
      <c r="A515" s="30" t="s">
        <v>251</v>
      </c>
      <c r="B515" s="68"/>
      <c r="C515" s="138">
        <f aca="true" t="shared" si="170" ref="C515:Q515">+C93+C113+C123+C141+C153+C181+C231+C250+C269+C287+C368+C398+C420+C427+C457+C462+C510+C512+C434+C311</f>
        <v>3319817.7499999995</v>
      </c>
      <c r="D515" s="92">
        <f t="shared" si="170"/>
        <v>7432859.159999997</v>
      </c>
      <c r="E515" s="147">
        <f t="shared" si="170"/>
        <v>3565.07</v>
      </c>
      <c r="F515" s="157">
        <f t="shared" si="170"/>
        <v>10756241.979999999</v>
      </c>
      <c r="G515" s="224">
        <f t="shared" si="170"/>
        <v>273634.91</v>
      </c>
      <c r="H515" s="247">
        <f t="shared" si="170"/>
        <v>3927.46</v>
      </c>
      <c r="I515" s="162">
        <f t="shared" si="170"/>
        <v>11033804.350000001</v>
      </c>
      <c r="J515" s="162">
        <f t="shared" si="170"/>
        <v>232011.00999999998</v>
      </c>
      <c r="K515" s="266">
        <f t="shared" si="170"/>
        <v>571.18</v>
      </c>
      <c r="L515" s="162">
        <f t="shared" si="170"/>
        <v>11266386.540000001</v>
      </c>
      <c r="M515" s="224">
        <f t="shared" si="170"/>
        <v>213064.58000000002</v>
      </c>
      <c r="N515" s="305">
        <f t="shared" si="170"/>
        <v>43708.4</v>
      </c>
      <c r="O515" s="247">
        <f t="shared" si="170"/>
        <v>11523159.520000003</v>
      </c>
      <c r="P515" s="147">
        <f t="shared" si="170"/>
        <v>0</v>
      </c>
      <c r="Q515" s="138">
        <f t="shared" si="170"/>
        <v>10057748.84</v>
      </c>
    </row>
    <row r="516" spans="1:17" ht="16.5" thickBot="1">
      <c r="A516" s="16" t="s">
        <v>252</v>
      </c>
      <c r="B516" s="69"/>
      <c r="C516" s="139">
        <f aca="true" t="shared" si="171" ref="C516:Q516">+C102+C119+C135+C146+C172+C221+C242+C261+C281+C306+C392+C410+C423+C463+C448+C336</f>
        <v>838727.6000000001</v>
      </c>
      <c r="D516" s="93">
        <f t="shared" si="171"/>
        <v>2199494.1500000004</v>
      </c>
      <c r="E516" s="148">
        <f t="shared" si="171"/>
        <v>57754.469999999994</v>
      </c>
      <c r="F516" s="158">
        <f t="shared" si="171"/>
        <v>3095976.2199999997</v>
      </c>
      <c r="G516" s="225">
        <f t="shared" si="171"/>
        <v>493781.6</v>
      </c>
      <c r="H516" s="248">
        <f t="shared" si="171"/>
        <v>44120.91</v>
      </c>
      <c r="I516" s="163">
        <f t="shared" si="171"/>
        <v>3633878.73</v>
      </c>
      <c r="J516" s="163">
        <f t="shared" si="171"/>
        <v>297449.10000000003</v>
      </c>
      <c r="K516" s="267">
        <f t="shared" si="171"/>
        <v>11285.300000000001</v>
      </c>
      <c r="L516" s="163">
        <f t="shared" si="171"/>
        <v>3942613.13</v>
      </c>
      <c r="M516" s="225">
        <f t="shared" si="171"/>
        <v>314718.4300000001</v>
      </c>
      <c r="N516" s="306">
        <f t="shared" si="171"/>
        <v>22061.6</v>
      </c>
      <c r="O516" s="248">
        <f t="shared" si="171"/>
        <v>4279393.16</v>
      </c>
      <c r="P516" s="148">
        <f t="shared" si="171"/>
        <v>0</v>
      </c>
      <c r="Q516" s="139">
        <f t="shared" si="171"/>
        <v>1037441.9299999999</v>
      </c>
    </row>
    <row r="517" spans="1:17" ht="16.5" thickBot="1">
      <c r="A517" s="30" t="s">
        <v>245</v>
      </c>
      <c r="B517" s="68"/>
      <c r="C517" s="110">
        <f aca="true" t="shared" si="172" ref="C517:Q517">C90-C513</f>
        <v>162173.7000000002</v>
      </c>
      <c r="D517" s="88">
        <f t="shared" si="172"/>
        <v>-2435095.41</v>
      </c>
      <c r="E517" s="174">
        <f t="shared" si="172"/>
        <v>-61319.539999999986</v>
      </c>
      <c r="F517" s="154">
        <f t="shared" si="172"/>
        <v>-2334241.250000002</v>
      </c>
      <c r="G517" s="220">
        <f t="shared" si="172"/>
        <v>-1484.8200000000652</v>
      </c>
      <c r="H517" s="243">
        <f t="shared" si="172"/>
        <v>-20507.170000000002</v>
      </c>
      <c r="I517" s="159">
        <f t="shared" si="172"/>
        <v>-2356233.240000006</v>
      </c>
      <c r="J517" s="159">
        <f t="shared" si="172"/>
        <v>0</v>
      </c>
      <c r="K517" s="262">
        <f t="shared" si="172"/>
        <v>0</v>
      </c>
      <c r="L517" s="159">
        <f t="shared" si="172"/>
        <v>-2356233.240000002</v>
      </c>
      <c r="M517" s="220">
        <f t="shared" si="172"/>
        <v>0</v>
      </c>
      <c r="N517" s="301">
        <f t="shared" si="172"/>
        <v>0</v>
      </c>
      <c r="O517" s="243">
        <f t="shared" si="172"/>
        <v>-2356233.2399999984</v>
      </c>
      <c r="P517" s="111">
        <f t="shared" si="172"/>
        <v>0</v>
      </c>
      <c r="Q517" s="110">
        <f t="shared" si="172"/>
        <v>-2044777.210000001</v>
      </c>
    </row>
    <row r="518" spans="1:17" ht="15.75">
      <c r="A518" s="29" t="s">
        <v>253</v>
      </c>
      <c r="B518" s="67"/>
      <c r="C518" s="140">
        <f>SUM(C520:C523)</f>
        <v>-162173.7</v>
      </c>
      <c r="D518" s="94">
        <f aca="true" t="shared" si="173" ref="D518:Q518">SUM(D520:D523)</f>
        <v>2435095.41</v>
      </c>
      <c r="E518" s="175">
        <f t="shared" si="173"/>
        <v>61319.54</v>
      </c>
      <c r="F518" s="206">
        <f t="shared" si="173"/>
        <v>2334241.25</v>
      </c>
      <c r="G518" s="226">
        <f t="shared" si="173"/>
        <v>1484.8200000000002</v>
      </c>
      <c r="H518" s="249">
        <f t="shared" si="173"/>
        <v>20507.17</v>
      </c>
      <c r="I518" s="190">
        <f t="shared" si="173"/>
        <v>2356233.24</v>
      </c>
      <c r="J518" s="190">
        <f t="shared" si="173"/>
        <v>0</v>
      </c>
      <c r="K518" s="285">
        <f t="shared" si="173"/>
        <v>0</v>
      </c>
      <c r="L518" s="190">
        <f t="shared" si="173"/>
        <v>2356233.24</v>
      </c>
      <c r="M518" s="226">
        <f t="shared" si="173"/>
        <v>0</v>
      </c>
      <c r="N518" s="307">
        <f t="shared" si="173"/>
        <v>0</v>
      </c>
      <c r="O518" s="249">
        <f t="shared" si="173"/>
        <v>2356233.24</v>
      </c>
      <c r="P518" s="126">
        <f t="shared" si="173"/>
        <v>0</v>
      </c>
      <c r="Q518" s="99">
        <f t="shared" si="173"/>
        <v>2356233.24</v>
      </c>
    </row>
    <row r="519" spans="1:17" ht="12.75" customHeight="1">
      <c r="A519" s="31" t="s">
        <v>27</v>
      </c>
      <c r="B519" s="70"/>
      <c r="C519" s="141"/>
      <c r="D519" s="95"/>
      <c r="E519" s="195"/>
      <c r="F519" s="207"/>
      <c r="G519" s="227"/>
      <c r="H519" s="250"/>
      <c r="I519" s="191"/>
      <c r="J519" s="258"/>
      <c r="K519" s="286"/>
      <c r="L519" s="191"/>
      <c r="M519" s="227"/>
      <c r="N519" s="308"/>
      <c r="O519" s="251"/>
      <c r="P519" s="112"/>
      <c r="Q519" s="46"/>
    </row>
    <row r="520" spans="1:17" ht="15" hidden="1">
      <c r="A520" s="31" t="s">
        <v>141</v>
      </c>
      <c r="B520" s="70"/>
      <c r="C520" s="142"/>
      <c r="D520" s="117"/>
      <c r="E520" s="196"/>
      <c r="F520" s="208">
        <f>SUM(C520:E520)</f>
        <v>0</v>
      </c>
      <c r="G520" s="228"/>
      <c r="H520" s="251"/>
      <c r="I520" s="232">
        <f>SUM(F520:H520)</f>
        <v>0</v>
      </c>
      <c r="J520" s="191"/>
      <c r="K520" s="287"/>
      <c r="L520" s="289">
        <f>SUM(I520:K520)</f>
        <v>0</v>
      </c>
      <c r="M520" s="228"/>
      <c r="N520" s="309"/>
      <c r="O520" s="251">
        <f>SUM(L520:N520)</f>
        <v>0</v>
      </c>
      <c r="P520" s="112"/>
      <c r="Q520" s="46">
        <f t="shared" si="160"/>
        <v>0</v>
      </c>
    </row>
    <row r="521" spans="1:17" ht="15">
      <c r="A521" s="32" t="s">
        <v>149</v>
      </c>
      <c r="B521" s="70"/>
      <c r="C521" s="142">
        <v>-162173.7</v>
      </c>
      <c r="D521" s="117"/>
      <c r="E521" s="196"/>
      <c r="F521" s="208">
        <f>SUM(C521:E521)</f>
        <v>-162173.7</v>
      </c>
      <c r="G521" s="228"/>
      <c r="H521" s="251"/>
      <c r="I521" s="232">
        <f>SUM(F521:H521)</f>
        <v>-162173.7</v>
      </c>
      <c r="J521" s="191"/>
      <c r="K521" s="287"/>
      <c r="L521" s="289">
        <f>SUM(I521:K521)</f>
        <v>-162173.7</v>
      </c>
      <c r="M521" s="228"/>
      <c r="N521" s="309"/>
      <c r="O521" s="313">
        <f>SUM(L521:N521)</f>
        <v>-162173.7</v>
      </c>
      <c r="P521" s="112"/>
      <c r="Q521" s="46">
        <f t="shared" si="160"/>
        <v>-162173.7</v>
      </c>
    </row>
    <row r="522" spans="1:17" ht="15.75" thickBot="1">
      <c r="A522" s="32" t="s">
        <v>142</v>
      </c>
      <c r="B522" s="70"/>
      <c r="C522" s="142"/>
      <c r="D522" s="117">
        <f>7643.45+12546.26+20155.5+1200+25000+37641.68+374655.72+1098941.75+5000+748.61+32.5+500+4400+18957.44+3802.86+1285.67+4925.8+10196.03+2236+2311.1+13.32+134430.47+1452.22+315.76+36714.98+400+9223.46+178862.17+24692.41+1857.7+346.05+14435.28+3548.57+27404.54+35420.36+326517.4+7280.35</f>
        <v>2435095.41</v>
      </c>
      <c r="E522" s="196">
        <v>61319.54</v>
      </c>
      <c r="F522" s="208">
        <f>SUM(C522:E522)</f>
        <v>2496414.95</v>
      </c>
      <c r="G522" s="142">
        <f>1390.13+3+91.69</f>
        <v>1484.8200000000002</v>
      </c>
      <c r="H522" s="253">
        <f>20507.17-2467.22</f>
        <v>18039.949999999997</v>
      </c>
      <c r="I522" s="232">
        <f>SUM(F522:H522)</f>
        <v>2515939.72</v>
      </c>
      <c r="J522" s="191"/>
      <c r="K522" s="287"/>
      <c r="L522" s="289">
        <f>SUM(I522:K522)</f>
        <v>2515939.72</v>
      </c>
      <c r="M522" s="228"/>
      <c r="N522" s="309"/>
      <c r="O522" s="313">
        <f>SUM(L522:N522)</f>
        <v>2515939.72</v>
      </c>
      <c r="P522" s="271"/>
      <c r="Q522" s="47">
        <f t="shared" si="160"/>
        <v>2515939.72</v>
      </c>
    </row>
    <row r="523" spans="1:17" ht="15.75" thickBot="1">
      <c r="A523" s="40" t="s">
        <v>162</v>
      </c>
      <c r="B523" s="71"/>
      <c r="C523" s="143"/>
      <c r="D523" s="118" t="s">
        <v>221</v>
      </c>
      <c r="E523" s="197"/>
      <c r="F523" s="209">
        <f>SUM(C523:E523)</f>
        <v>0</v>
      </c>
      <c r="G523" s="229"/>
      <c r="H523" s="254">
        <v>2467.22</v>
      </c>
      <c r="I523" s="231">
        <f>SUM(F523:H523)</f>
        <v>2467.22</v>
      </c>
      <c r="J523" s="259">
        <v>0</v>
      </c>
      <c r="K523" s="288">
        <v>0</v>
      </c>
      <c r="L523" s="290">
        <f>SUM(I523:K523)</f>
        <v>2467.22</v>
      </c>
      <c r="M523" s="229"/>
      <c r="N523" s="310"/>
      <c r="O523" s="314">
        <f>SUM(L523:N523)</f>
        <v>2467.22</v>
      </c>
      <c r="P523" s="271"/>
      <c r="Q523" s="47">
        <f t="shared" si="160"/>
        <v>2467.22</v>
      </c>
    </row>
    <row r="524" spans="2:17" ht="12.75">
      <c r="B524" s="72"/>
      <c r="C524" s="87">
        <f aca="true" t="shared" si="174" ref="C524:Q524">C90+C518-C513</f>
        <v>0</v>
      </c>
      <c r="D524" s="87">
        <f t="shared" si="174"/>
        <v>0</v>
      </c>
      <c r="E524" s="87">
        <f t="shared" si="174"/>
        <v>0</v>
      </c>
      <c r="F524" s="87">
        <f t="shared" si="174"/>
        <v>0</v>
      </c>
      <c r="G524" s="109">
        <f t="shared" si="174"/>
        <v>0</v>
      </c>
      <c r="H524" s="109">
        <f t="shared" si="174"/>
        <v>0</v>
      </c>
      <c r="I524" s="109">
        <f t="shared" si="174"/>
        <v>0</v>
      </c>
      <c r="J524" s="109">
        <f t="shared" si="174"/>
        <v>0</v>
      </c>
      <c r="K524" s="109">
        <f t="shared" si="174"/>
        <v>0</v>
      </c>
      <c r="L524" s="109">
        <f t="shared" si="174"/>
        <v>0</v>
      </c>
      <c r="M524" s="109">
        <f t="shared" si="174"/>
        <v>0</v>
      </c>
      <c r="N524" s="109">
        <f t="shared" si="174"/>
        <v>0</v>
      </c>
      <c r="O524" s="109">
        <f t="shared" si="174"/>
        <v>0</v>
      </c>
      <c r="P524" s="39">
        <f t="shared" si="174"/>
        <v>0</v>
      </c>
      <c r="Q524" s="39">
        <f t="shared" si="174"/>
        <v>311456.02999999933</v>
      </c>
    </row>
    <row r="525" spans="2:16" ht="12.75">
      <c r="B525" s="72"/>
      <c r="J525" s="109"/>
      <c r="K525" s="109"/>
      <c r="L525" s="109"/>
      <c r="M525" s="109"/>
      <c r="N525" s="109"/>
      <c r="O525" s="109"/>
      <c r="P525" s="39"/>
    </row>
    <row r="526" spans="2:16" ht="12.75">
      <c r="B526" s="72"/>
      <c r="D526" s="109"/>
      <c r="J526" s="109"/>
      <c r="K526" s="109"/>
      <c r="L526" s="109"/>
      <c r="M526" s="109"/>
      <c r="N526" s="109"/>
      <c r="O526" s="109"/>
      <c r="P526" s="39"/>
    </row>
    <row r="527" spans="2:16" ht="12.75">
      <c r="B527" s="72"/>
      <c r="J527" s="109"/>
      <c r="K527" s="109"/>
      <c r="L527" s="109"/>
      <c r="M527" s="109"/>
      <c r="N527" s="109"/>
      <c r="O527" s="109"/>
      <c r="P527" s="39"/>
    </row>
    <row r="528" spans="2:16" ht="12.75">
      <c r="B528" s="72"/>
      <c r="J528" s="109"/>
      <c r="K528" s="109"/>
      <c r="L528" s="109"/>
      <c r="M528" s="109"/>
      <c r="N528" s="109"/>
      <c r="O528" s="109"/>
      <c r="P528" s="39"/>
    </row>
    <row r="529" spans="2:16" ht="12.75">
      <c r="B529" s="72"/>
      <c r="J529" s="109"/>
      <c r="K529" s="109"/>
      <c r="L529" s="109"/>
      <c r="M529" s="109"/>
      <c r="N529" s="109"/>
      <c r="O529" s="109"/>
      <c r="P529" s="39"/>
    </row>
    <row r="530" spans="2:16" ht="12.75">
      <c r="B530" s="72"/>
      <c r="J530" s="109"/>
      <c r="K530" s="109"/>
      <c r="L530" s="109"/>
      <c r="M530" s="109"/>
      <c r="N530" s="109"/>
      <c r="O530" s="109"/>
      <c r="P530" s="39"/>
    </row>
    <row r="531" spans="2:16" ht="12.75">
      <c r="B531" s="72"/>
      <c r="J531" s="109"/>
      <c r="K531" s="109"/>
      <c r="L531" s="109"/>
      <c r="M531" s="109"/>
      <c r="N531" s="109"/>
      <c r="O531" s="109"/>
      <c r="P531" s="39"/>
    </row>
    <row r="532" spans="2:16" ht="12.75">
      <c r="B532" s="72"/>
      <c r="J532" s="109"/>
      <c r="K532" s="109"/>
      <c r="L532" s="109"/>
      <c r="M532" s="109"/>
      <c r="N532" s="109"/>
      <c r="O532" s="109"/>
      <c r="P532" s="39"/>
    </row>
    <row r="533" spans="2:16" ht="12.75">
      <c r="B533" s="72"/>
      <c r="J533" s="109"/>
      <c r="K533" s="109"/>
      <c r="L533" s="109"/>
      <c r="M533" s="109"/>
      <c r="N533" s="109"/>
      <c r="O533" s="109"/>
      <c r="P533" s="39"/>
    </row>
    <row r="534" spans="2:16" ht="12.75">
      <c r="B534" s="72"/>
      <c r="J534" s="109"/>
      <c r="K534" s="109"/>
      <c r="L534" s="109"/>
      <c r="P534" s="39"/>
    </row>
    <row r="535" spans="2:16" ht="12.75">
      <c r="B535" s="72"/>
      <c r="J535" s="109"/>
      <c r="K535" s="109"/>
      <c r="L535" s="109"/>
      <c r="P535" s="39"/>
    </row>
    <row r="536" spans="2:16" ht="12.75">
      <c r="B536" s="72"/>
      <c r="J536" s="109"/>
      <c r="K536" s="109"/>
      <c r="L536" s="109"/>
      <c r="P536" s="39"/>
    </row>
    <row r="537" spans="2:16" ht="12.75">
      <c r="B537" s="72"/>
      <c r="J537" s="109"/>
      <c r="K537" s="109"/>
      <c r="L537" s="109"/>
      <c r="P537" s="39"/>
    </row>
    <row r="538" spans="2:16" ht="12.75">
      <c r="B538" s="72"/>
      <c r="J538" s="109"/>
      <c r="K538" s="109"/>
      <c r="P538" s="39"/>
    </row>
    <row r="539" spans="2:16" ht="12.75">
      <c r="B539" s="72"/>
      <c r="J539" s="109"/>
      <c r="K539" s="109"/>
      <c r="P539" s="39"/>
    </row>
    <row r="540" spans="2:16" ht="12.75">
      <c r="B540" s="72"/>
      <c r="J540" s="109"/>
      <c r="K540" s="109"/>
      <c r="P540" s="39"/>
    </row>
    <row r="541" spans="2:16" ht="12.75">
      <c r="B541" s="72"/>
      <c r="J541" s="109"/>
      <c r="K541" s="109"/>
      <c r="P541" s="39"/>
    </row>
    <row r="542" spans="2:16" ht="12.75">
      <c r="B542" s="72"/>
      <c r="J542" s="109"/>
      <c r="K542" s="109"/>
      <c r="P542" s="39"/>
    </row>
    <row r="543" spans="2:16" ht="12.75">
      <c r="B543" s="72"/>
      <c r="J543" s="109"/>
      <c r="K543" s="109"/>
      <c r="P543" s="39"/>
    </row>
    <row r="544" spans="10:16" ht="12.75">
      <c r="J544" s="109"/>
      <c r="K544" s="109"/>
      <c r="P544" s="39"/>
    </row>
    <row r="545" spans="10:16" ht="12.75">
      <c r="J545" s="109"/>
      <c r="K545" s="109"/>
      <c r="P545" s="39"/>
    </row>
    <row r="546" spans="10:16" ht="12.75">
      <c r="J546" s="109"/>
      <c r="K546" s="109"/>
      <c r="P546" s="39"/>
    </row>
    <row r="547" spans="10:16" ht="12.75">
      <c r="J547" s="109"/>
      <c r="K547" s="109"/>
      <c r="P547" s="39"/>
    </row>
    <row r="548" spans="10:16" ht="12.75">
      <c r="J548" s="109"/>
      <c r="K548" s="109"/>
      <c r="P548" s="39"/>
    </row>
    <row r="549" spans="10:16" ht="12.75">
      <c r="J549" s="109"/>
      <c r="K549" s="109"/>
      <c r="P549" s="39"/>
    </row>
    <row r="550" spans="10:16" ht="12.75">
      <c r="J550" s="109"/>
      <c r="K550" s="109"/>
      <c r="P550" s="39"/>
    </row>
    <row r="551" spans="10:16" ht="12.75">
      <c r="J551" s="109"/>
      <c r="K551" s="109"/>
      <c r="P551" s="39"/>
    </row>
    <row r="552" spans="10:16" ht="12.75">
      <c r="J552" s="109"/>
      <c r="K552" s="109"/>
      <c r="P552" s="39"/>
    </row>
    <row r="553" spans="10:16" ht="12.75">
      <c r="J553" s="109"/>
      <c r="K553" s="109"/>
      <c r="P553" s="39"/>
    </row>
    <row r="554" spans="10:16" ht="12.75">
      <c r="J554" s="109"/>
      <c r="K554" s="109"/>
      <c r="P554" s="39"/>
    </row>
    <row r="555" spans="10:16" ht="12.75">
      <c r="J555" s="109"/>
      <c r="K555" s="109"/>
      <c r="P555" s="39"/>
    </row>
    <row r="556" spans="10:16" ht="12.75">
      <c r="J556" s="109"/>
      <c r="P556" s="39"/>
    </row>
    <row r="557" ht="12.75">
      <c r="J557" s="109"/>
    </row>
    <row r="558" ht="12.75">
      <c r="J558" s="10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1496062992125984" right="0.31496062992125984" top="0.6692913385826772" bottom="0.5905511811023623" header="0.31496062992125984" footer="0.35433070866141736"/>
  <pageSetup horizontalDpi="600" verticalDpi="600" orientation="portrait" paperSize="9" scale="84" r:id="rId1"/>
  <headerFooter alignWithMargins="0">
    <oddFooter>&amp;CStránka &amp;P</oddFooter>
  </headerFooter>
  <rowBreaks count="6" manualBreakCount="6">
    <brk id="90" max="14" man="1"/>
    <brk id="169" max="14" man="1"/>
    <brk id="257" max="14" man="1"/>
    <brk id="343" max="14" man="1"/>
    <brk id="425" max="14" man="1"/>
    <brk id="4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2018-12-04T07:14:06Z</cp:lastPrinted>
  <dcterms:created xsi:type="dcterms:W3CDTF">2009-01-05T12:05:07Z</dcterms:created>
  <dcterms:modified xsi:type="dcterms:W3CDTF">2018-12-06T11:53:26Z</dcterms:modified>
  <cp:category/>
  <cp:version/>
  <cp:contentType/>
  <cp:contentStatus/>
</cp:coreProperties>
</file>