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400" windowHeight="10932" activeTab="1"/>
  </bookViews>
  <sheets>
    <sheet name="3. ZR" sheetId="1" r:id="rId1"/>
    <sheet name="3. ZR vč. PN" sheetId="2" r:id="rId2"/>
  </sheets>
  <definedNames>
    <definedName name="_xlnm.Print_Titles" localSheetId="0">'3. ZR'!$8:$9</definedName>
    <definedName name="_xlnm.Print_Titles" localSheetId="1">'3. ZR vč. PN'!$8:$9</definedName>
    <definedName name="_xlnm.Print_Area" localSheetId="0">'3. ZR'!$A$1:$L$515</definedName>
    <definedName name="_xlnm.Print_Area" localSheetId="1">'3. ZR vč. PN'!$A$1:$L$515</definedName>
    <definedName name="Z_39FD50E0_9911_4D32_8842_5A58F13D310F_.wvu.Cols" localSheetId="0" hidden="1">'3. ZR'!$D:$K,'3. ZR'!$N:$N,'3. ZR'!#REF!</definedName>
    <definedName name="Z_39FD50E0_9911_4D32_8842_5A58F13D310F_.wvu.Cols" localSheetId="1" hidden="1">'3. ZR vč. PN'!$D:$K,'3. ZR vč. PN'!$N:$N,'3. ZR vč. PN'!#REF!</definedName>
    <definedName name="Z_39FD50E0_9911_4D32_8842_5A58F13D310F_.wvu.PrintTitles" localSheetId="0" hidden="1">'3. ZR'!$8:$9</definedName>
    <definedName name="Z_39FD50E0_9911_4D32_8842_5A58F13D310F_.wvu.PrintTitles" localSheetId="1" hidden="1">'3. ZR vč. PN'!$8:$9</definedName>
    <definedName name="Z_39FD50E0_9911_4D32_8842_5A58F13D310F_.wvu.Rows" localSheetId="0" hidden="1">'3. ZR'!#REF!</definedName>
    <definedName name="Z_39FD50E0_9911_4D32_8842_5A58F13D310F_.wvu.Rows" localSheetId="1" hidden="1">'3. ZR vč. PN'!#REF!</definedName>
  </definedNames>
  <calcPr fullCalcOnLoad="1"/>
</workbook>
</file>

<file path=xl/sharedStrings.xml><?xml version="1.0" encoding="utf-8"?>
<sst xmlns="http://schemas.openxmlformats.org/spreadsheetml/2006/main" count="1100" uniqueCount="358">
  <si>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</si>
  <si>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</si>
  <si>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</si>
  <si>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</si>
  <si>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</si>
  <si>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</si>
  <si>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</si>
  <si>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</si>
  <si>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</si>
  <si>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</si>
  <si>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</si>
  <si>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</si>
  <si>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</si>
  <si>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</si>
  <si>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</si>
  <si>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</si>
  <si>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</si>
  <si>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</si>
  <si>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</si>
  <si>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</si>
  <si>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</si>
  <si>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</si>
  <si>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splátky půjčených prostředků</t>
  </si>
  <si>
    <t>splátky půjčených prostředků od obcí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</si>
  <si>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</si>
  <si>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</si>
  <si>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</si>
  <si>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</si>
  <si>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</si>
  <si>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</si>
  <si>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</si>
  <si>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</si>
  <si>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</si>
  <si>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</si>
  <si>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</si>
  <si>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</si>
  <si>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</si>
  <si>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</si>
  <si>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</si>
  <si>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</si>
  <si>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</si>
  <si>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</si>
  <si>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</si>
  <si>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</si>
  <si>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</si>
  <si>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</si>
  <si>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</si>
  <si>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</si>
  <si>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</si>
  <si>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</si>
  <si>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</si>
  <si>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</si>
  <si>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</si>
  <si>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</si>
  <si>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</si>
  <si>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</si>
  <si>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</si>
  <si>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</si>
  <si>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</si>
  <si>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</si>
  <si>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</si>
  <si>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</si>
  <si>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</si>
  <si>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</si>
  <si>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</si>
  <si>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</si>
  <si>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</si>
  <si>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</si>
  <si>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</si>
  <si>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</si>
  <si>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krizové plánování</t>
  </si>
  <si>
    <t>pronájem a nákl.na detaš.pracoviště</t>
  </si>
  <si>
    <t>pronájem služeb a prostor v RC NP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</si>
  <si>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</si>
  <si>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</si>
  <si>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</si>
  <si>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</si>
  <si>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</si>
  <si>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</si>
  <si>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</si>
  <si>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</si>
  <si>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</si>
  <si>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</si>
  <si>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</si>
  <si>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</si>
  <si>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</si>
  <si>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</si>
  <si>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</si>
  <si>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</si>
  <si>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</si>
  <si>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</si>
  <si>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</si>
  <si>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</si>
  <si>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</si>
  <si>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</si>
  <si>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</si>
  <si>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</si>
  <si>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</si>
  <si>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</si>
  <si>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</si>
  <si>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</si>
  <si>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</si>
  <si>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</si>
  <si>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kompenzační pomůcky - SR</t>
  </si>
  <si>
    <t>neinvestiční dotace obcím</t>
  </si>
  <si>
    <t>investiční transfery PO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</si>
  <si>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</si>
  <si>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</si>
  <si>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</si>
  <si>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</si>
  <si>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</si>
  <si>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</si>
  <si>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</si>
  <si>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</si>
  <si>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</si>
  <si>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</si>
  <si>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</si>
  <si>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</si>
  <si>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</si>
  <si>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</si>
  <si>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</si>
  <si>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</si>
  <si>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</si>
  <si>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</si>
  <si>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</si>
  <si>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</si>
  <si>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</si>
  <si>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</si>
  <si>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</si>
  <si>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</si>
  <si>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</si>
  <si>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</si>
  <si>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</si>
  <si>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</si>
  <si>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</si>
  <si>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</si>
  <si>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</si>
  <si>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</si>
  <si>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</si>
  <si>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</si>
  <si>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</si>
  <si>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</si>
  <si>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</si>
  <si>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</si>
  <si>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</si>
  <si>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</si>
  <si>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</si>
  <si>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</si>
  <si>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</si>
  <si>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</si>
  <si>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</si>
  <si>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</si>
  <si>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</si>
  <si>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</si>
  <si>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</si>
  <si>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</si>
  <si>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</si>
  <si>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</si>
  <si>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</si>
  <si>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</si>
  <si>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</si>
  <si>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</si>
  <si>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</si>
  <si>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</si>
  <si>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nedaňové příjmy odvětví zdravotnictví</t>
  </si>
  <si>
    <t xml:space="preserve">podpora vzděl.národ.menšin a multikult.výchovy - SR </t>
  </si>
  <si>
    <t>školní vybavení pro žáky 1.ročníku zákl.vzděl. - SR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</si>
  <si>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</si>
  <si>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</si>
  <si>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</si>
  <si>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</si>
  <si>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</si>
  <si>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</si>
  <si>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</si>
  <si>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</si>
  <si>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</si>
  <si>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</si>
  <si>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</si>
  <si>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>zapojení zůstatku sociálního fondu z min.let</t>
  </si>
  <si>
    <t>zajiš.podm.zákl.vzděl.nezlet.azyl.na území ČR - SR</t>
  </si>
  <si>
    <t>část.kompenz.výdajů vzniklých při real.společ.maturit-SR</t>
  </si>
  <si>
    <t>kontaktní centrum a terénní služby na malém městě-SR</t>
  </si>
  <si>
    <t xml:space="preserve">  z MŽP</t>
  </si>
  <si>
    <t xml:space="preserve">  z SFŽP</t>
  </si>
  <si>
    <t>Dobrovolnictví na Náchodsku - SR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</si>
  <si>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</si>
  <si>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</si>
  <si>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</si>
  <si>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</si>
  <si>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</si>
  <si>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</si>
  <si>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</si>
  <si>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</si>
  <si>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</si>
  <si>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</si>
  <si>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</si>
  <si>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</si>
  <si>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</si>
  <si>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</si>
  <si>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</si>
  <si>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</si>
  <si>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</si>
  <si>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</si>
  <si>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</si>
  <si>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</si>
  <si>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</si>
  <si>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</si>
  <si>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</si>
  <si>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</si>
  <si>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</si>
  <si>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</si>
  <si>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</si>
  <si>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</si>
  <si>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</si>
  <si>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>ÚZ</t>
  </si>
  <si>
    <t>ÚZ 70</t>
  </si>
  <si>
    <t>org. 21</t>
  </si>
  <si>
    <t xml:space="preserve">OP VK 5.1. - Technická pomoc - administrace 2 - SR 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</si>
  <si>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</si>
  <si>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</si>
  <si>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</si>
  <si>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</si>
  <si>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                      - CIRI - centrum sdíl.služeb</t>
  </si>
  <si>
    <t xml:space="preserve">             kultura</t>
  </si>
  <si>
    <t>kap. 39 - regionální rozvoj a cestovní ruch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</si>
  <si>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</si>
  <si>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</si>
  <si>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</si>
  <si>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</si>
  <si>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</si>
  <si>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v tom: životní prostředí a zemědělství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</si>
  <si>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</si>
  <si>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</si>
  <si>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</si>
  <si>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</si>
  <si>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</si>
  <si>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</si>
  <si>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 xml:space="preserve">  odvětví - ostatní</t>
  </si>
  <si>
    <t>HZS KHK - Rekonstr.stadionu pro požární sport v HK</t>
  </si>
  <si>
    <t>HZS KHK - Požární stanice a ZZS Vrchlabí</t>
  </si>
  <si>
    <t xml:space="preserve">rezerva </t>
  </si>
  <si>
    <t>odstraňování škod po povodních v červnu 2013 - SR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</si>
  <si>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</si>
  <si>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</si>
  <si>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</si>
  <si>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</si>
  <si>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>Průmyslová zóna Kvasiny III.</t>
  </si>
  <si>
    <t xml:space="preserve"> </t>
  </si>
  <si>
    <t>příjmy z pronájmu majetku -  odvětví správa majetku kraje</t>
  </si>
  <si>
    <t xml:space="preserve">  z Úřadu práce</t>
  </si>
  <si>
    <t>bezplatná výuka ČJ přizpůs.potřebám žáků-cizinců - SR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</si>
  <si>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</si>
  <si>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</si>
  <si>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</si>
  <si>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</si>
  <si>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</si>
  <si>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</si>
  <si>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</si>
  <si>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</si>
  <si>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</si>
  <si>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školství - vzdělávání a prevence</t>
  </si>
  <si>
    <t xml:space="preserve">            kultura a památková péče</t>
  </si>
  <si>
    <t xml:space="preserve">            individuální dotace</t>
  </si>
  <si>
    <t xml:space="preserve">             činnost KÚ</t>
  </si>
  <si>
    <t xml:space="preserve">             regionální rozvoj a CR</t>
  </si>
  <si>
    <t>Snížení emisí z lokál.vytápění domácností v KHK - SR</t>
  </si>
  <si>
    <t>financování asistentů pedagoga - modul A - SR</t>
  </si>
  <si>
    <t>financování asistentů pedagoga - modul B - SR</t>
  </si>
  <si>
    <t xml:space="preserve">                        investice a evrop.projekty</t>
  </si>
  <si>
    <t>majetková účast v a.s. Zdravotnický holding</t>
  </si>
  <si>
    <t>individuální dotace</t>
  </si>
  <si>
    <t>33122  33163</t>
  </si>
  <si>
    <t xml:space="preserve">            volný čas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</si>
  <si>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</si>
  <si>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</si>
  <si>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</si>
  <si>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</si>
  <si>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</si>
  <si>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</si>
  <si>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průmyslová zóna Kvasiny III.</t>
  </si>
  <si>
    <t>průmyslová zóna Kvasiny</t>
  </si>
  <si>
    <t>NA ROK 2017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</si>
  <si>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</si>
  <si>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</si>
  <si>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</si>
  <si>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</si>
  <si>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</si>
  <si>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</si>
  <si>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</si>
  <si>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</si>
  <si>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dotace na činnost - SR</t>
  </si>
  <si>
    <t>podpora navýšení kapacit ve šk.porad.zařízeních - SR</t>
  </si>
  <si>
    <t xml:space="preserve">2GG 1.1.OPVK-Zvyšování kvality ve vzděl.II. - SR </t>
  </si>
  <si>
    <t xml:space="preserve">2GG 1.2.OPVK-Rovné příl.dětí a ž.se sp.potř. II. - SR </t>
  </si>
  <si>
    <t xml:space="preserve">2GG1.3.OPVK-Další vzděl.prac.škol a zař.  II. - SR </t>
  </si>
  <si>
    <t>Akce</t>
  </si>
  <si>
    <t xml:space="preserve">Digitální planetárium - SR </t>
  </si>
  <si>
    <t xml:space="preserve">             doprava</t>
  </si>
  <si>
    <t>vratky návratné finanční výpomoci</t>
  </si>
  <si>
    <t>výdaje na reprezentační účely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</si>
  <si>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</si>
  <si>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</si>
  <si>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</si>
  <si>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</si>
  <si>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</si>
  <si>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poplatky</t>
  </si>
  <si>
    <t xml:space="preserve">                 org. 2088</t>
  </si>
  <si>
    <t xml:space="preserve">                 org. 2077</t>
  </si>
  <si>
    <t xml:space="preserve">                 org. 2099</t>
  </si>
  <si>
    <t>OP Z Rozvoj reg.partnerství v soc.oblasti v KHK - SR 2016</t>
  </si>
  <si>
    <t>OP Z Služby soc.prevence v KHK IV - SR  2016</t>
  </si>
  <si>
    <t>průmyslová zóna Kvasiny - SR</t>
  </si>
  <si>
    <t xml:space="preserve">            školství - vzdělávání </t>
  </si>
  <si>
    <t xml:space="preserve">            školství - prevence</t>
  </si>
  <si>
    <t>OP VVV - Maják - síť kolegiální podpory - SR</t>
  </si>
  <si>
    <t xml:space="preserve">OP Z Služby soc.prevence v KHK IV - SR  </t>
  </si>
  <si>
    <t>investiční transfery a.s.</t>
  </si>
  <si>
    <t>nedaňové příjmy odvětví investice</t>
  </si>
  <si>
    <t>OP VVV - Smart Akcelerátor - SR</t>
  </si>
  <si>
    <t>investiční transfery ZOO Dvůr Králové n. Labem, a.s.</t>
  </si>
  <si>
    <t>OP Z - Zaměstnaný absolvent - SR 2016</t>
  </si>
  <si>
    <t>Krajský akční plán vzdělávání v KHK - SR 2016</t>
  </si>
  <si>
    <t xml:space="preserve">             org. 2077</t>
  </si>
  <si>
    <t xml:space="preserve">nedaňové příjmy FRR </t>
  </si>
  <si>
    <t>umoření leasingu RC NP - Immorent</t>
  </si>
  <si>
    <t>OP Z - Predikce trhu práce - Kompas - SR</t>
  </si>
  <si>
    <t>BILANCE PŘÍJMŮ A VÝDAJŮ KRÁLOVÉHRADECKÉHO KRAJE</t>
  </si>
  <si>
    <t>OP Z Rozvoj dostup.a kvality soc.sl.v KHK V - SR 2016</t>
  </si>
  <si>
    <t xml:space="preserve">Krajský akční plán vzdělávání v KHK - SR </t>
  </si>
  <si>
    <t>OP VVV - Rovný přístup ke kvalit.předšk.vzdělávání - SR</t>
  </si>
  <si>
    <t>OP Z - krizové řízení ZZS KHK - SR</t>
  </si>
  <si>
    <t>volný čas</t>
  </si>
  <si>
    <t>financování výst.,modern.,oprav a údržby silnic II.a III.tř. - SFDI</t>
  </si>
  <si>
    <t>výchovně vzdělávací aktivity v muzejnictví - SR</t>
  </si>
  <si>
    <t>nedaňové příjmy odvětví regionální rozvoj</t>
  </si>
  <si>
    <t>OP Z projekty PO - SR</t>
  </si>
  <si>
    <t>výkon sociální práce v KHK - SR</t>
  </si>
  <si>
    <t>národní program řešení problematiky HIV/AIDS - SR</t>
  </si>
  <si>
    <t>program prevence kriminality na místní úrovni - SR</t>
  </si>
  <si>
    <t>fin.výst.,modern.,oprav a údržby silnic nebo dálnic - SFDI</t>
  </si>
  <si>
    <t>Snížení emisí z lokál.vytápění domácností v KHK-SR 2016</t>
  </si>
  <si>
    <t>nedaňové příjmy - dotační fond</t>
  </si>
  <si>
    <t>zvýšení platů nepedag. zaměstnanců region. školství - SR</t>
  </si>
  <si>
    <t>připravenost ZZS KHK na řešení mimoř.událostí - SR</t>
  </si>
  <si>
    <t>průmyslová zóna Vrchlabí - SR</t>
  </si>
  <si>
    <t xml:space="preserve">OP Z Rozvoj dostup.a kvality soc.sl.v KHK V - SR </t>
  </si>
  <si>
    <t>podpora standard.veřejných služeb muzeí a galerií - SR</t>
  </si>
  <si>
    <t>preventivní ochrana před nepřízn.vlivy počasí - SR</t>
  </si>
  <si>
    <t>podpora expozičních a výstavních projektů - SR</t>
  </si>
  <si>
    <t>podpora samosprávy v oblasti stárnutí - SR</t>
  </si>
  <si>
    <t>příjmy z dividend - odvětví doprava</t>
  </si>
  <si>
    <t>volby prezidenta ČR 2018 - příprava</t>
  </si>
  <si>
    <t>stabilizace zdrav.nelékař.prac.ve směnném provozu-SR</t>
  </si>
  <si>
    <t>integrovaný systém ochrany movitého kult.dědictví - SR</t>
  </si>
  <si>
    <t>variantní aplikace nových silničních technologií - SR</t>
  </si>
  <si>
    <t>zvýšení atraktivity královéhradeckého kraje - SR</t>
  </si>
  <si>
    <t>poplatky</t>
  </si>
  <si>
    <t>potravinová pomoc dětem v KHK - obědy do škol - SR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</si>
</sst>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6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4" fillId="0" borderId="12" xfId="38" applyNumberFormat="1" applyFont="1" applyBorder="1" applyAlignment="1">
      <alignment vertical="center"/>
    </xf>
    <xf numFmtId="166" fontId="4" fillId="0" borderId="13" xfId="38" applyNumberFormat="1" applyFont="1" applyBorder="1" applyAlignment="1">
      <alignment vertical="center"/>
    </xf>
    <xf numFmtId="166" fontId="3" fillId="0" borderId="14" xfId="38" applyNumberFormat="1" applyFont="1" applyBorder="1" applyAlignment="1">
      <alignment vertical="center"/>
    </xf>
    <xf numFmtId="166" fontId="3" fillId="0" borderId="15" xfId="38" applyNumberFormat="1" applyFont="1" applyBorder="1" applyAlignment="1">
      <alignment vertical="center"/>
    </xf>
    <xf numFmtId="166" fontId="3" fillId="0" borderId="16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7" xfId="38" applyNumberFormat="1" applyFont="1" applyBorder="1" applyAlignment="1">
      <alignment vertical="center"/>
    </xf>
    <xf numFmtId="166" fontId="4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8" fillId="0" borderId="19" xfId="38" applyNumberFormat="1" applyFont="1" applyBorder="1" applyAlignment="1">
      <alignment vertical="center"/>
    </xf>
    <xf numFmtId="165" fontId="4" fillId="0" borderId="16" xfId="38" applyNumberFormat="1" applyFont="1" applyBorder="1" applyAlignment="1">
      <alignment horizontal="center"/>
    </xf>
    <xf numFmtId="165" fontId="4" fillId="0" borderId="14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6" fontId="4" fillId="0" borderId="19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6" fontId="0" fillId="0" borderId="19" xfId="38" applyNumberFormat="1" applyFont="1" applyBorder="1" applyAlignment="1">
      <alignment/>
    </xf>
    <xf numFmtId="166" fontId="0" fillId="0" borderId="20" xfId="38" applyNumberFormat="1" applyFont="1" applyBorder="1" applyAlignment="1">
      <alignment/>
    </xf>
    <xf numFmtId="166" fontId="4" fillId="0" borderId="19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6" fillId="0" borderId="19" xfId="38" applyNumberFormat="1" applyFont="1" applyBorder="1" applyAlignment="1">
      <alignment/>
    </xf>
    <xf numFmtId="166" fontId="6" fillId="0" borderId="20" xfId="38" applyNumberFormat="1" applyFont="1" applyBorder="1" applyAlignment="1">
      <alignment/>
    </xf>
    <xf numFmtId="166" fontId="6" fillId="0" borderId="19" xfId="38" applyNumberFormat="1" applyFont="1" applyBorder="1" applyAlignment="1">
      <alignment/>
    </xf>
    <xf numFmtId="166" fontId="6" fillId="0" borderId="20" xfId="38" applyNumberFormat="1" applyFont="1" applyBorder="1" applyAlignment="1">
      <alignment/>
    </xf>
    <xf numFmtId="165" fontId="4" fillId="0" borderId="19" xfId="38" applyNumberFormat="1" applyFont="1" applyBorder="1" applyAlignment="1">
      <alignment horizontal="center"/>
    </xf>
    <xf numFmtId="166" fontId="0" fillId="0" borderId="19" xfId="38" applyNumberFormat="1" applyFont="1" applyFill="1" applyBorder="1" applyAlignment="1">
      <alignment/>
    </xf>
    <xf numFmtId="166" fontId="0" fillId="0" borderId="19" xfId="38" applyNumberFormat="1" applyFont="1" applyBorder="1" applyAlignment="1">
      <alignment/>
    </xf>
    <xf numFmtId="3" fontId="4" fillId="0" borderId="23" xfId="0" applyFont="1" applyBorder="1" applyAlignment="1">
      <alignment/>
    </xf>
    <xf numFmtId="3" fontId="5" fillId="0" borderId="23" xfId="0" applyFont="1" applyBorder="1" applyAlignment="1">
      <alignment/>
    </xf>
    <xf numFmtId="3" fontId="0" fillId="0" borderId="23" xfId="0" applyFont="1" applyBorder="1" applyAlignment="1">
      <alignment/>
    </xf>
    <xf numFmtId="3" fontId="0" fillId="0" borderId="23" xfId="0" applyBorder="1" applyAlignment="1">
      <alignment/>
    </xf>
    <xf numFmtId="3" fontId="4" fillId="0" borderId="23" xfId="0" applyFont="1" applyBorder="1" applyAlignment="1">
      <alignment/>
    </xf>
    <xf numFmtId="3" fontId="5" fillId="0" borderId="23" xfId="0" applyFont="1" applyBorder="1" applyAlignment="1">
      <alignment/>
    </xf>
    <xf numFmtId="3" fontId="0" fillId="0" borderId="24" xfId="0" applyBorder="1" applyAlignment="1">
      <alignment/>
    </xf>
    <xf numFmtId="3" fontId="0" fillId="0" borderId="23" xfId="0" applyFont="1" applyBorder="1" applyAlignment="1">
      <alignment/>
    </xf>
    <xf numFmtId="3" fontId="2" fillId="0" borderId="25" xfId="0" applyFont="1" applyBorder="1" applyAlignment="1">
      <alignment vertical="center"/>
    </xf>
    <xf numFmtId="3" fontId="6" fillId="0" borderId="23" xfId="0" applyFont="1" applyBorder="1" applyAlignment="1">
      <alignment/>
    </xf>
    <xf numFmtId="3" fontId="6" fillId="0" borderId="23" xfId="0" applyFont="1" applyBorder="1" applyAlignment="1">
      <alignment/>
    </xf>
    <xf numFmtId="3" fontId="0" fillId="0" borderId="24" xfId="0" applyFont="1" applyBorder="1" applyAlignment="1">
      <alignment/>
    </xf>
    <xf numFmtId="3" fontId="7" fillId="0" borderId="23" xfId="0" applyFont="1" applyBorder="1" applyAlignment="1">
      <alignment/>
    </xf>
    <xf numFmtId="3" fontId="7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4" fillId="0" borderId="23" xfId="0" applyFont="1" applyFill="1" applyBorder="1" applyAlignment="1">
      <alignment/>
    </xf>
    <xf numFmtId="3" fontId="0" fillId="0" borderId="23" xfId="0" applyFill="1" applyBorder="1" applyAlignment="1">
      <alignment/>
    </xf>
    <xf numFmtId="3" fontId="4" fillId="0" borderId="25" xfId="0" applyFont="1" applyBorder="1" applyAlignment="1">
      <alignment/>
    </xf>
    <xf numFmtId="3" fontId="3" fillId="0" borderId="26" xfId="0" applyFont="1" applyBorder="1" applyAlignment="1">
      <alignment vertical="center"/>
    </xf>
    <xf numFmtId="3" fontId="4" fillId="0" borderId="26" xfId="0" applyFont="1" applyBorder="1" applyAlignment="1">
      <alignment vertical="center"/>
    </xf>
    <xf numFmtId="3" fontId="2" fillId="0" borderId="26" xfId="0" applyFont="1" applyBorder="1" applyAlignment="1">
      <alignment vertical="center"/>
    </xf>
    <xf numFmtId="3" fontId="2" fillId="0" borderId="27" xfId="0" applyFont="1" applyBorder="1" applyAlignment="1">
      <alignment vertical="center"/>
    </xf>
    <xf numFmtId="3" fontId="2" fillId="0" borderId="23" xfId="0" applyFont="1" applyBorder="1" applyAlignment="1">
      <alignment vertical="center"/>
    </xf>
    <xf numFmtId="3" fontId="0" fillId="0" borderId="23" xfId="0" applyFont="1" applyBorder="1" applyAlignment="1">
      <alignment vertical="center"/>
    </xf>
    <xf numFmtId="3" fontId="0" fillId="0" borderId="23" xfId="0" applyBorder="1" applyAlignment="1">
      <alignment vertical="center"/>
    </xf>
    <xf numFmtId="3" fontId="7" fillId="0" borderId="23" xfId="0" applyFont="1" applyBorder="1" applyAlignment="1">
      <alignment/>
    </xf>
    <xf numFmtId="3" fontId="4" fillId="0" borderId="23" xfId="0" applyFont="1" applyBorder="1" applyAlignment="1">
      <alignment horizontal="left" vertical="center"/>
    </xf>
    <xf numFmtId="165" fontId="4" fillId="0" borderId="20" xfId="38" applyNumberFormat="1" applyFont="1" applyBorder="1" applyAlignment="1">
      <alignment horizontal="center"/>
    </xf>
    <xf numFmtId="165" fontId="4" fillId="0" borderId="28" xfId="38" applyNumberFormat="1" applyFont="1" applyBorder="1" applyAlignment="1">
      <alignment horizontal="center"/>
    </xf>
    <xf numFmtId="165" fontId="4" fillId="0" borderId="17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166" fontId="8" fillId="0" borderId="20" xfId="38" applyNumberFormat="1" applyFont="1" applyBorder="1" applyAlignment="1">
      <alignment vertical="center"/>
    </xf>
    <xf numFmtId="3" fontId="45" fillId="0" borderId="0" xfId="0" applyFont="1" applyAlignment="1">
      <alignment/>
    </xf>
    <xf numFmtId="166" fontId="8" fillId="0" borderId="29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8" fillId="0" borderId="28" xfId="38" applyNumberFormat="1" applyFont="1" applyBorder="1" applyAlignment="1">
      <alignment vertical="center"/>
    </xf>
    <xf numFmtId="3" fontId="0" fillId="0" borderId="25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3" fontId="46" fillId="0" borderId="0" xfId="0" applyFont="1" applyAlignment="1">
      <alignment/>
    </xf>
    <xf numFmtId="3" fontId="7" fillId="0" borderId="30" xfId="0" applyFont="1" applyBorder="1" applyAlignment="1">
      <alignment/>
    </xf>
    <xf numFmtId="166" fontId="0" fillId="0" borderId="21" xfId="38" applyNumberFormat="1" applyFont="1" applyFill="1" applyBorder="1" applyAlignment="1">
      <alignment/>
    </xf>
    <xf numFmtId="3" fontId="0" fillId="0" borderId="19" xfId="0" applyBorder="1" applyAlignment="1">
      <alignment/>
    </xf>
    <xf numFmtId="167" fontId="0" fillId="0" borderId="31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4" fillId="0" borderId="19" xfId="38" applyNumberFormat="1" applyFont="1" applyBorder="1" applyAlignment="1">
      <alignment/>
    </xf>
    <xf numFmtId="167" fontId="6" fillId="0" borderId="19" xfId="38" applyNumberFormat="1" applyFont="1" applyBorder="1" applyAlignment="1">
      <alignment/>
    </xf>
    <xf numFmtId="167" fontId="6" fillId="0" borderId="19" xfId="38" applyNumberFormat="1" applyFont="1" applyBorder="1" applyAlignment="1">
      <alignment/>
    </xf>
    <xf numFmtId="167" fontId="0" fillId="0" borderId="28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33" borderId="19" xfId="0" applyNumberFormat="1" applyFill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30" xfId="0" applyFont="1" applyBorder="1" applyAlignment="1">
      <alignment horizontal="left" vertical="center"/>
    </xf>
    <xf numFmtId="3" fontId="4" fillId="0" borderId="30" xfId="0" applyFont="1" applyBorder="1" applyAlignment="1">
      <alignment/>
    </xf>
    <xf numFmtId="3" fontId="5" fillId="0" borderId="30" xfId="0" applyFont="1" applyBorder="1" applyAlignment="1">
      <alignment/>
    </xf>
    <xf numFmtId="3" fontId="0" fillId="0" borderId="30" xfId="0" applyFont="1" applyBorder="1" applyAlignment="1">
      <alignment/>
    </xf>
    <xf numFmtId="3" fontId="0" fillId="0" borderId="30" xfId="0" applyBorder="1" applyAlignment="1">
      <alignment/>
    </xf>
    <xf numFmtId="3" fontId="4" fillId="0" borderId="30" xfId="0" applyFont="1" applyBorder="1" applyAlignment="1">
      <alignment/>
    </xf>
    <xf numFmtId="3" fontId="5" fillId="0" borderId="30" xfId="0" applyFont="1" applyBorder="1" applyAlignment="1">
      <alignment/>
    </xf>
    <xf numFmtId="3" fontId="0" fillId="0" borderId="30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30" xfId="0" applyFont="1" applyBorder="1" applyAlignment="1">
      <alignment horizontal="center"/>
    </xf>
    <xf numFmtId="3" fontId="0" fillId="0" borderId="23" xfId="0" applyFont="1" applyBorder="1" applyAlignment="1">
      <alignment/>
    </xf>
    <xf numFmtId="3" fontId="9" fillId="0" borderId="30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30" xfId="0" applyFont="1" applyBorder="1" applyAlignment="1">
      <alignment horizontal="center"/>
    </xf>
    <xf numFmtId="3" fontId="9" fillId="0" borderId="30" xfId="0" applyFont="1" applyFill="1" applyBorder="1" applyAlignment="1">
      <alignment horizontal="center"/>
    </xf>
    <xf numFmtId="3" fontId="7" fillId="0" borderId="30" xfId="0" applyFont="1" applyFill="1" applyBorder="1" applyAlignment="1">
      <alignment horizontal="center"/>
    </xf>
    <xf numFmtId="3" fontId="9" fillId="0" borderId="26" xfId="0" applyFont="1" applyBorder="1" applyAlignment="1">
      <alignment horizontal="center" vertical="center"/>
    </xf>
    <xf numFmtId="3" fontId="9" fillId="0" borderId="27" xfId="0" applyFont="1" applyBorder="1" applyAlignment="1">
      <alignment horizontal="center" vertical="center"/>
    </xf>
    <xf numFmtId="3" fontId="9" fillId="0" borderId="23" xfId="0" applyFont="1" applyBorder="1" applyAlignment="1">
      <alignment horizontal="center" vertical="center"/>
    </xf>
    <xf numFmtId="3" fontId="9" fillId="0" borderId="25" xfId="0" applyFont="1" applyBorder="1" applyAlignment="1">
      <alignment horizontal="center" vertical="center"/>
    </xf>
    <xf numFmtId="3" fontId="7" fillId="0" borderId="23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9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20" xfId="38" applyNumberFormat="1" applyFont="1" applyBorder="1" applyAlignment="1">
      <alignment/>
    </xf>
    <xf numFmtId="174" fontId="0" fillId="0" borderId="19" xfId="38" applyNumberFormat="1" applyFont="1" applyBorder="1" applyAlignment="1">
      <alignment/>
    </xf>
    <xf numFmtId="174" fontId="4" fillId="0" borderId="19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0" xfId="38" applyNumberFormat="1" applyFont="1" applyBorder="1" applyAlignment="1">
      <alignment/>
    </xf>
    <xf numFmtId="174" fontId="2" fillId="0" borderId="28" xfId="38" applyNumberFormat="1" applyFont="1" applyBorder="1" applyAlignment="1">
      <alignment vertical="center"/>
    </xf>
    <xf numFmtId="174" fontId="2" fillId="0" borderId="17" xfId="38" applyNumberFormat="1" applyFont="1" applyBorder="1" applyAlignment="1">
      <alignment vertical="center"/>
    </xf>
    <xf numFmtId="174" fontId="2" fillId="0" borderId="29" xfId="38" applyNumberFormat="1" applyFont="1" applyBorder="1" applyAlignment="1">
      <alignment vertical="center"/>
    </xf>
    <xf numFmtId="174" fontId="6" fillId="0" borderId="19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0" fillId="0" borderId="21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19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19" xfId="38" applyNumberFormat="1" applyFont="1" applyFill="1" applyBorder="1" applyAlignment="1">
      <alignment/>
    </xf>
    <xf numFmtId="174" fontId="0" fillId="0" borderId="21" xfId="38" applyNumberFormat="1" applyFont="1" applyBorder="1" applyAlignment="1">
      <alignment/>
    </xf>
    <xf numFmtId="174" fontId="0" fillId="0" borderId="21" xfId="38" applyNumberFormat="1" applyFont="1" applyFill="1" applyBorder="1" applyAlignment="1">
      <alignment/>
    </xf>
    <xf numFmtId="174" fontId="4" fillId="0" borderId="35" xfId="38" applyNumberFormat="1" applyFont="1" applyBorder="1" applyAlignment="1">
      <alignment/>
    </xf>
    <xf numFmtId="174" fontId="4" fillId="0" borderId="36" xfId="38" applyNumberFormat="1" applyFont="1" applyBorder="1" applyAlignment="1">
      <alignment/>
    </xf>
    <xf numFmtId="174" fontId="4" fillId="0" borderId="13" xfId="38" applyNumberFormat="1" applyFont="1" applyBorder="1" applyAlignment="1">
      <alignment vertical="center"/>
    </xf>
    <xf numFmtId="174" fontId="2" fillId="0" borderId="13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8" fillId="0" borderId="20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13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3" fillId="0" borderId="29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4" fillId="0" borderId="12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3" fillId="0" borderId="14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7" xfId="38" applyNumberFormat="1" applyFont="1" applyBorder="1" applyAlignment="1">
      <alignment vertical="center"/>
    </xf>
    <xf numFmtId="174" fontId="2" fillId="0" borderId="14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3" fillId="0" borderId="18" xfId="38" applyNumberFormat="1" applyFont="1" applyBorder="1" applyAlignment="1">
      <alignment vertical="center"/>
    </xf>
    <xf numFmtId="174" fontId="4" fillId="0" borderId="18" xfId="38" applyNumberFormat="1" applyFont="1" applyBorder="1" applyAlignment="1">
      <alignment vertical="center"/>
    </xf>
    <xf numFmtId="174" fontId="2" fillId="0" borderId="18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3" fillId="0" borderId="19" xfId="38" applyNumberFormat="1" applyFont="1" applyBorder="1" applyAlignment="1">
      <alignment vertical="center"/>
    </xf>
    <xf numFmtId="174" fontId="3" fillId="0" borderId="28" xfId="38" applyNumberFormat="1" applyFont="1" applyBorder="1" applyAlignment="1">
      <alignment vertical="center"/>
    </xf>
    <xf numFmtId="174" fontId="2" fillId="0" borderId="16" xfId="38" applyNumberFormat="1" applyFont="1" applyBorder="1" applyAlignment="1">
      <alignment vertical="center"/>
    </xf>
    <xf numFmtId="174" fontId="2" fillId="0" borderId="19" xfId="38" applyNumberFormat="1" applyFont="1" applyBorder="1" applyAlignment="1">
      <alignment vertical="center"/>
    </xf>
    <xf numFmtId="174" fontId="0" fillId="0" borderId="22" xfId="38" applyNumberFormat="1" applyFont="1" applyBorder="1" applyAlignment="1">
      <alignment/>
    </xf>
    <xf numFmtId="165" fontId="45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33" xfId="0" applyFont="1" applyBorder="1" applyAlignment="1">
      <alignment horizontal="center"/>
    </xf>
    <xf numFmtId="174" fontId="0" fillId="0" borderId="28" xfId="38" applyNumberFormat="1" applyFont="1" applyBorder="1" applyAlignment="1">
      <alignment/>
    </xf>
    <xf numFmtId="174" fontId="0" fillId="0" borderId="17" xfId="38" applyNumberFormat="1" applyFont="1" applyBorder="1" applyAlignment="1">
      <alignment/>
    </xf>
    <xf numFmtId="174" fontId="0" fillId="0" borderId="29" xfId="38" applyNumberFormat="1" applyFont="1" applyBorder="1" applyAlignment="1">
      <alignment/>
    </xf>
    <xf numFmtId="3" fontId="0" fillId="0" borderId="25" xfId="0" applyFont="1" applyBorder="1" applyAlignment="1">
      <alignment/>
    </xf>
    <xf numFmtId="4" fontId="0" fillId="0" borderId="0" xfId="0" applyNumberFormat="1" applyAlignment="1">
      <alignment/>
    </xf>
    <xf numFmtId="3" fontId="0" fillId="0" borderId="23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/>
    </xf>
    <xf numFmtId="174" fontId="0" fillId="0" borderId="19" xfId="38" applyNumberFormat="1" applyFont="1" applyBorder="1" applyAlignment="1">
      <alignment vertical="center"/>
    </xf>
    <xf numFmtId="174" fontId="0" fillId="0" borderId="10" xfId="38" applyNumberFormat="1" applyFont="1" applyBorder="1" applyAlignment="1">
      <alignment vertical="center"/>
    </xf>
    <xf numFmtId="174" fontId="0" fillId="0" borderId="20" xfId="38" applyNumberFormat="1" applyFont="1" applyBorder="1" applyAlignment="1">
      <alignment vertical="center"/>
    </xf>
    <xf numFmtId="174" fontId="0" fillId="0" borderId="17" xfId="38" applyNumberFormat="1" applyFont="1" applyBorder="1" applyAlignment="1">
      <alignment vertical="center"/>
    </xf>
    <xf numFmtId="174" fontId="0" fillId="0" borderId="29" xfId="38" applyNumberFormat="1" applyFont="1" applyBorder="1" applyAlignment="1">
      <alignment vertical="center"/>
    </xf>
    <xf numFmtId="174" fontId="4" fillId="0" borderId="28" xfId="38" applyNumberFormat="1" applyFont="1" applyBorder="1" applyAlignment="1">
      <alignment vertical="center"/>
    </xf>
    <xf numFmtId="49" fontId="5" fillId="0" borderId="30" xfId="0" applyNumberFormat="1" applyFont="1" applyBorder="1" applyAlignment="1">
      <alignment horizontal="left"/>
    </xf>
    <xf numFmtId="3" fontId="0" fillId="0" borderId="24" xfId="0" applyFont="1" applyBorder="1" applyAlignment="1">
      <alignment/>
    </xf>
    <xf numFmtId="174" fontId="0" fillId="0" borderId="20" xfId="38" applyNumberFormat="1" applyFont="1" applyFill="1" applyBorder="1" applyAlignment="1">
      <alignment/>
    </xf>
    <xf numFmtId="3" fontId="0" fillId="0" borderId="10" xfId="0" applyBorder="1" applyAlignment="1">
      <alignment/>
    </xf>
    <xf numFmtId="3" fontId="0" fillId="0" borderId="20" xfId="0" applyBorder="1" applyAlignment="1">
      <alignment/>
    </xf>
    <xf numFmtId="174" fontId="4" fillId="0" borderId="37" xfId="38" applyNumberFormat="1" applyFon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4" fillId="0" borderId="20" xfId="0" applyNumberFormat="1" applyFont="1" applyBorder="1" applyAlignment="1">
      <alignment/>
    </xf>
    <xf numFmtId="167" fontId="0" fillId="0" borderId="29" xfId="0" applyNumberFormat="1" applyBorder="1" applyAlignment="1">
      <alignment/>
    </xf>
    <xf numFmtId="166" fontId="4" fillId="0" borderId="11" xfId="38" applyNumberFormat="1" applyFont="1" applyBorder="1" applyAlignment="1">
      <alignment/>
    </xf>
    <xf numFmtId="4" fontId="4" fillId="0" borderId="19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20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19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20" xfId="38" applyNumberFormat="1" applyFont="1" applyBorder="1" applyAlignment="1">
      <alignment/>
    </xf>
    <xf numFmtId="4" fontId="2" fillId="0" borderId="28" xfId="38" applyNumberFormat="1" applyFont="1" applyBorder="1" applyAlignment="1">
      <alignment vertical="center"/>
    </xf>
    <xf numFmtId="4" fontId="2" fillId="0" borderId="17" xfId="38" applyNumberFormat="1" applyFont="1" applyBorder="1" applyAlignment="1">
      <alignment vertical="center"/>
    </xf>
    <xf numFmtId="4" fontId="2" fillId="0" borderId="29" xfId="38" applyNumberFormat="1" applyFont="1" applyBorder="1" applyAlignment="1">
      <alignment vertical="center"/>
    </xf>
    <xf numFmtId="4" fontId="6" fillId="0" borderId="19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20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0" fillId="0" borderId="22" xfId="38" applyNumberFormat="1" applyFont="1" applyBorder="1" applyAlignment="1">
      <alignment/>
    </xf>
    <xf numFmtId="4" fontId="6" fillId="0" borderId="19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20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9" xfId="38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0" fillId="0" borderId="20" xfId="38" applyNumberFormat="1" applyFont="1" applyFill="1" applyBorder="1" applyAlignment="1">
      <alignment/>
    </xf>
    <xf numFmtId="4" fontId="4" fillId="0" borderId="37" xfId="38" applyNumberFormat="1" applyFont="1" applyBorder="1" applyAlignment="1">
      <alignment/>
    </xf>
    <xf numFmtId="4" fontId="4" fillId="0" borderId="35" xfId="38" applyNumberFormat="1" applyFont="1" applyBorder="1" applyAlignment="1">
      <alignment/>
    </xf>
    <xf numFmtId="4" fontId="4" fillId="0" borderId="36" xfId="38" applyNumberFormat="1" applyFont="1" applyBorder="1" applyAlignment="1">
      <alignment/>
    </xf>
    <xf numFmtId="4" fontId="3" fillId="0" borderId="18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4" fillId="0" borderId="18" xfId="38" applyNumberFormat="1" applyFont="1" applyBorder="1" applyAlignment="1">
      <alignment vertical="center"/>
    </xf>
    <xf numFmtId="4" fontId="4" fillId="0" borderId="12" xfId="38" applyNumberFormat="1" applyFont="1" applyBorder="1" applyAlignment="1">
      <alignment vertical="center"/>
    </xf>
    <xf numFmtId="4" fontId="4" fillId="0" borderId="13" xfId="38" applyNumberFormat="1" applyFont="1" applyBorder="1" applyAlignment="1">
      <alignment vertical="center"/>
    </xf>
    <xf numFmtId="4" fontId="2" fillId="0" borderId="18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9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20" xfId="38" applyNumberFormat="1" applyFont="1" applyBorder="1" applyAlignment="1">
      <alignment vertical="center"/>
    </xf>
    <xf numFmtId="4" fontId="3" fillId="0" borderId="28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29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19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20" xfId="38" applyNumberFormat="1" applyFont="1" applyBorder="1" applyAlignment="1">
      <alignment vertical="center"/>
    </xf>
    <xf numFmtId="4" fontId="8" fillId="0" borderId="19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3" fontId="0" fillId="0" borderId="0" xfId="0" applyBorder="1" applyAlignment="1">
      <alignment/>
    </xf>
    <xf numFmtId="4" fontId="0" fillId="0" borderId="19" xfId="38" applyNumberFormat="1" applyFont="1" applyBorder="1" applyAlignment="1">
      <alignment vertical="center"/>
    </xf>
    <xf numFmtId="174" fontId="4" fillId="0" borderId="22" xfId="38" applyNumberFormat="1" applyFont="1" applyBorder="1" applyAlignment="1">
      <alignment/>
    </xf>
    <xf numFmtId="4" fontId="0" fillId="0" borderId="10" xfId="38" applyNumberFormat="1" applyFont="1" applyBorder="1" applyAlignment="1">
      <alignment vertical="center"/>
    </xf>
    <xf numFmtId="4" fontId="0" fillId="0" borderId="38" xfId="38" applyNumberFormat="1" applyFont="1" applyBorder="1" applyAlignment="1">
      <alignment vertical="center"/>
    </xf>
    <xf numFmtId="4" fontId="0" fillId="0" borderId="17" xfId="38" applyNumberFormat="1" applyFont="1" applyBorder="1" applyAlignment="1">
      <alignment vertical="center"/>
    </xf>
    <xf numFmtId="4" fontId="0" fillId="0" borderId="29" xfId="38" applyNumberFormat="1" applyFont="1" applyBorder="1" applyAlignment="1">
      <alignment vertical="center"/>
    </xf>
    <xf numFmtId="4" fontId="8" fillId="0" borderId="29" xfId="38" applyNumberFormat="1" applyFont="1" applyBorder="1" applyAlignment="1">
      <alignment vertical="center"/>
    </xf>
    <xf numFmtId="4" fontId="8" fillId="0" borderId="28" xfId="38" applyNumberFormat="1" applyFont="1" applyBorder="1" applyAlignment="1">
      <alignment vertical="center"/>
    </xf>
    <xf numFmtId="4" fontId="0" fillId="0" borderId="28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0" fillId="0" borderId="29" xfId="38" applyNumberFormat="1" applyFont="1" applyBorder="1" applyAlignment="1">
      <alignment/>
    </xf>
    <xf numFmtId="166" fontId="0" fillId="0" borderId="17" xfId="38" applyNumberFormat="1" applyFont="1" applyBorder="1" applyAlignment="1">
      <alignment/>
    </xf>
    <xf numFmtId="174" fontId="8" fillId="0" borderId="17" xfId="38" applyNumberFormat="1" applyFont="1" applyBorder="1" applyAlignment="1">
      <alignment vertical="center"/>
    </xf>
    <xf numFmtId="3" fontId="0" fillId="0" borderId="25" xfId="0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7" xfId="0" applyFont="1" applyBorder="1" applyAlignment="1">
      <alignment horizontal="center" vertical="center"/>
    </xf>
    <xf numFmtId="3" fontId="0" fillId="0" borderId="2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8"/>
  <sheetViews>
    <sheetView zoomScaleSheetLayoutView="69" zoomScalePageLayoutView="0" workbookViewId="0" topLeftCell="A1">
      <pane xSplit="1" ySplit="9" topLeftCell="C45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615" sqref="J615"/>
    </sheetView>
  </sheetViews>
  <sheetFormatPr defaultColWidth="9.00390625" defaultRowHeight="12.75"/>
  <cols>
    <col min="1" max="1" width="48.375" style="0" customWidth="1"/>
    <col min="2" max="2" width="10.00390625" style="0" hidden="1" customWidth="1"/>
    <col min="3" max="3" width="16.00390625" style="0" customWidth="1"/>
    <col min="4" max="4" width="15.125" style="0" hidden="1" customWidth="1"/>
    <col min="5" max="5" width="12.875" style="0" hidden="1" customWidth="1"/>
    <col min="6" max="6" width="16.375" style="0" hidden="1" customWidth="1"/>
    <col min="7" max="7" width="14.50390625" style="0" hidden="1" customWidth="1"/>
    <col min="8" max="8" width="12.625" style="0" hidden="1" customWidth="1"/>
    <col min="9" max="9" width="16.00390625" style="0" customWidth="1"/>
    <col min="10" max="10" width="13.625" style="0" customWidth="1"/>
    <col min="11" max="11" width="13.625" style="0" hidden="1" customWidth="1"/>
    <col min="12" max="12" width="15.875" style="0" customWidth="1"/>
    <col min="13" max="13" width="11.875" style="0" hidden="1" customWidth="1"/>
    <col min="14" max="14" width="13.50390625" style="0" hidden="1" customWidth="1"/>
    <col min="15" max="15" width="15.00390625" style="0" hidden="1" customWidth="1"/>
    <col min="16" max="16" width="13.375" style="0" hidden="1" customWidth="1"/>
    <col min="17" max="17" width="0.6171875" style="0" hidden="1" customWidth="1"/>
    <col min="18" max="18" width="0" style="0" hidden="1" customWidth="1"/>
    <col min="20" max="20" width="13.00390625" style="0" customWidth="1"/>
  </cols>
  <sheetData>
    <row r="1" spans="3:17" ht="12.75">
      <c r="C1" s="1"/>
      <c r="D1" s="1"/>
      <c r="E1" s="1"/>
      <c r="F1" s="2"/>
      <c r="I1" s="2"/>
      <c r="L1" s="2" t="s">
        <v>155</v>
      </c>
      <c r="O1" s="2"/>
      <c r="Q1" s="2" t="s">
        <v>155</v>
      </c>
    </row>
    <row r="2" spans="3:6" ht="9.75" customHeight="1">
      <c r="C2" s="1"/>
      <c r="D2" s="1"/>
      <c r="E2" s="1"/>
      <c r="F2" s="2"/>
    </row>
    <row r="3" spans="1:17" ht="15">
      <c r="A3" s="269" t="s">
        <v>326</v>
      </c>
      <c r="B3" s="269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ht="15">
      <c r="A4" s="271" t="s">
        <v>281</v>
      </c>
      <c r="B4" s="271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 ht="13.5">
      <c r="A5" s="272" t="s">
        <v>0</v>
      </c>
      <c r="B5" s="272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7" ht="12.75">
      <c r="A6" s="273" t="s">
        <v>1</v>
      </c>
      <c r="B6" s="273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</row>
    <row r="7" spans="1:13" ht="18" customHeight="1" thickBot="1">
      <c r="A7" s="3"/>
      <c r="B7" s="3"/>
      <c r="C7" s="4"/>
      <c r="D7" s="170"/>
      <c r="E7" s="4"/>
      <c r="F7" s="4"/>
      <c r="J7" s="80"/>
      <c r="M7" s="74"/>
    </row>
    <row r="8" spans="1:17" ht="12.75">
      <c r="A8" s="274" t="s">
        <v>2</v>
      </c>
      <c r="B8" s="92" t="s">
        <v>295</v>
      </c>
      <c r="C8" s="24" t="s">
        <v>3</v>
      </c>
      <c r="D8" s="25" t="s">
        <v>4</v>
      </c>
      <c r="E8" s="25" t="s">
        <v>5</v>
      </c>
      <c r="F8" s="26" t="s">
        <v>6</v>
      </c>
      <c r="G8" s="24" t="s">
        <v>7</v>
      </c>
      <c r="H8" s="25" t="s">
        <v>5</v>
      </c>
      <c r="I8" s="26" t="s">
        <v>6</v>
      </c>
      <c r="J8" s="24" t="s">
        <v>8</v>
      </c>
      <c r="K8" s="25" t="s">
        <v>5</v>
      </c>
      <c r="L8" s="26" t="s">
        <v>6</v>
      </c>
      <c r="M8" s="24" t="s">
        <v>9</v>
      </c>
      <c r="N8" s="25" t="s">
        <v>5</v>
      </c>
      <c r="O8" s="26" t="s">
        <v>6</v>
      </c>
      <c r="P8" s="24" t="s">
        <v>190</v>
      </c>
      <c r="Q8" s="26" t="s">
        <v>6</v>
      </c>
    </row>
    <row r="9" spans="1:24" ht="13.5" thickBot="1">
      <c r="A9" s="275"/>
      <c r="B9" s="179" t="s">
        <v>214</v>
      </c>
      <c r="C9" s="70" t="s">
        <v>10</v>
      </c>
      <c r="D9" s="71" t="s">
        <v>11</v>
      </c>
      <c r="E9" s="71" t="s">
        <v>12</v>
      </c>
      <c r="F9" s="72" t="s">
        <v>13</v>
      </c>
      <c r="G9" s="70" t="s">
        <v>11</v>
      </c>
      <c r="H9" s="71" t="s">
        <v>12</v>
      </c>
      <c r="I9" s="72" t="s">
        <v>14</v>
      </c>
      <c r="J9" s="70" t="s">
        <v>11</v>
      </c>
      <c r="K9" s="71" t="s">
        <v>12</v>
      </c>
      <c r="L9" s="72" t="s">
        <v>15</v>
      </c>
      <c r="M9" s="70" t="s">
        <v>11</v>
      </c>
      <c r="N9" s="71" t="s">
        <v>12</v>
      </c>
      <c r="O9" s="72" t="s">
        <v>16</v>
      </c>
      <c r="P9" s="70" t="s">
        <v>11</v>
      </c>
      <c r="Q9" s="72" t="s">
        <v>191</v>
      </c>
      <c r="W9" s="254"/>
      <c r="X9" s="254"/>
    </row>
    <row r="10" spans="1:17" ht="15.75" customHeight="1">
      <c r="A10" s="68" t="s">
        <v>17</v>
      </c>
      <c r="B10" s="93"/>
      <c r="C10" s="39"/>
      <c r="D10" s="5"/>
      <c r="E10" s="5"/>
      <c r="F10" s="69"/>
      <c r="G10" s="39"/>
      <c r="H10" s="5"/>
      <c r="I10" s="69"/>
      <c r="J10" s="39"/>
      <c r="K10" s="5"/>
      <c r="L10" s="69"/>
      <c r="M10" s="39"/>
      <c r="N10" s="5"/>
      <c r="O10" s="69"/>
      <c r="P10" s="83"/>
      <c r="Q10" s="191"/>
    </row>
    <row r="11" spans="1:17" ht="12.75">
      <c r="A11" s="42" t="s">
        <v>282</v>
      </c>
      <c r="B11" s="94"/>
      <c r="C11" s="116">
        <f>C13+C14+C15</f>
        <v>3575069</v>
      </c>
      <c r="D11" s="117">
        <f>D13+D14+D15</f>
        <v>27664.74</v>
      </c>
      <c r="E11" s="117">
        <f>E13+E14+E15</f>
        <v>0</v>
      </c>
      <c r="F11" s="118">
        <f>F13+F14+F15</f>
        <v>3602733.74</v>
      </c>
      <c r="G11" s="198">
        <f aca="true" t="shared" si="0" ref="G11:Q11">G13+G14+G15</f>
        <v>141976.66999999998</v>
      </c>
      <c r="H11" s="199">
        <f t="shared" si="0"/>
        <v>40984.47</v>
      </c>
      <c r="I11" s="200">
        <f t="shared" si="0"/>
        <v>3785694.8800000004</v>
      </c>
      <c r="J11" s="198">
        <f t="shared" si="0"/>
        <v>126928.71</v>
      </c>
      <c r="K11" s="117">
        <f t="shared" si="0"/>
        <v>0</v>
      </c>
      <c r="L11" s="200">
        <f t="shared" si="0"/>
        <v>3912623.5900000003</v>
      </c>
      <c r="M11" s="116">
        <f t="shared" si="0"/>
        <v>0</v>
      </c>
      <c r="N11" s="117">
        <f t="shared" si="0"/>
        <v>0</v>
      </c>
      <c r="O11" s="118">
        <f t="shared" si="0"/>
        <v>21194.74</v>
      </c>
      <c r="P11" s="116">
        <f t="shared" si="0"/>
        <v>0</v>
      </c>
      <c r="Q11" s="118">
        <f t="shared" si="0"/>
        <v>21194.74</v>
      </c>
    </row>
    <row r="12" spans="1:17" ht="12.75">
      <c r="A12" s="43" t="s">
        <v>18</v>
      </c>
      <c r="B12" s="95"/>
      <c r="C12" s="116"/>
      <c r="D12" s="117"/>
      <c r="E12" s="117"/>
      <c r="F12" s="118"/>
      <c r="G12" s="198"/>
      <c r="H12" s="199"/>
      <c r="I12" s="200"/>
      <c r="J12" s="198"/>
      <c r="K12" s="6"/>
      <c r="L12" s="200"/>
      <c r="M12" s="27"/>
      <c r="N12" s="6"/>
      <c r="O12" s="28"/>
      <c r="P12" s="85"/>
      <c r="Q12" s="193"/>
    </row>
    <row r="13" spans="1:17" ht="12.75">
      <c r="A13" s="103" t="s">
        <v>289</v>
      </c>
      <c r="B13" s="95"/>
      <c r="C13" s="121">
        <v>3574869</v>
      </c>
      <c r="D13" s="119">
        <f>6470</f>
        <v>6470</v>
      </c>
      <c r="E13" s="117"/>
      <c r="F13" s="120">
        <f>C13+D13+E13</f>
        <v>3581339</v>
      </c>
      <c r="G13" s="202">
        <f>16000+21765+104211.67</f>
        <v>141976.66999999998</v>
      </c>
      <c r="H13" s="203">
        <f>238+18746.47+22000</f>
        <v>40984.47</v>
      </c>
      <c r="I13" s="201">
        <f>F13+G13+H13</f>
        <v>3764300.14</v>
      </c>
      <c r="J13" s="202">
        <f>125932.16</f>
        <v>125932.16</v>
      </c>
      <c r="K13" s="6"/>
      <c r="L13" s="201">
        <f>I13+J13+K13</f>
        <v>3890232.3000000003</v>
      </c>
      <c r="M13" s="27"/>
      <c r="N13" s="6"/>
      <c r="O13" s="28"/>
      <c r="P13" s="85"/>
      <c r="Q13" s="193"/>
    </row>
    <row r="14" spans="1:17" ht="12.75">
      <c r="A14" s="44" t="s">
        <v>19</v>
      </c>
      <c r="B14" s="96"/>
      <c r="C14" s="121"/>
      <c r="D14" s="136">
        <f>21194.74</f>
        <v>21194.74</v>
      </c>
      <c r="E14" s="119"/>
      <c r="F14" s="120">
        <f>C14+D14+E14</f>
        <v>21194.74</v>
      </c>
      <c r="G14" s="202"/>
      <c r="H14" s="199"/>
      <c r="I14" s="201">
        <f>F14+G14+H14</f>
        <v>21194.74</v>
      </c>
      <c r="J14" s="202"/>
      <c r="K14" s="6"/>
      <c r="L14" s="201">
        <f>I14+J14+K14</f>
        <v>21194.74</v>
      </c>
      <c r="M14" s="29"/>
      <c r="N14" s="6"/>
      <c r="O14" s="30">
        <f>L14+M14+N14</f>
        <v>21194.74</v>
      </c>
      <c r="P14" s="85"/>
      <c r="Q14" s="193">
        <f aca="true" t="shared" si="1" ref="Q14:Q86">O14+P14</f>
        <v>21194.74</v>
      </c>
    </row>
    <row r="15" spans="1:17" ht="12.75">
      <c r="A15" s="103" t="s">
        <v>356</v>
      </c>
      <c r="B15" s="96"/>
      <c r="C15" s="121">
        <v>200</v>
      </c>
      <c r="D15" s="136"/>
      <c r="E15" s="119"/>
      <c r="F15" s="120">
        <f>C15+D15+E15</f>
        <v>200</v>
      </c>
      <c r="G15" s="202"/>
      <c r="H15" s="199"/>
      <c r="I15" s="201">
        <f>F15+G15+H15</f>
        <v>200</v>
      </c>
      <c r="J15" s="202">
        <f>996.55</f>
        <v>996.55</v>
      </c>
      <c r="K15" s="6"/>
      <c r="L15" s="201">
        <f>I15+J15+K15</f>
        <v>1196.55</v>
      </c>
      <c r="M15" s="29"/>
      <c r="N15" s="6"/>
      <c r="O15" s="30"/>
      <c r="P15" s="85"/>
      <c r="Q15" s="193"/>
    </row>
    <row r="16" spans="1:17" ht="12.75">
      <c r="A16" s="42" t="s">
        <v>283</v>
      </c>
      <c r="B16" s="94"/>
      <c r="C16" s="116">
        <f aca="true" t="shared" si="2" ref="C16:Q16">SUM(C18:C39)+C46</f>
        <v>226820.6</v>
      </c>
      <c r="D16" s="117">
        <f t="shared" si="2"/>
        <v>14928.48</v>
      </c>
      <c r="E16" s="117">
        <f t="shared" si="2"/>
        <v>1800</v>
      </c>
      <c r="F16" s="118">
        <f t="shared" si="2"/>
        <v>243549.08000000002</v>
      </c>
      <c r="G16" s="198">
        <f t="shared" si="2"/>
        <v>15078.990000000002</v>
      </c>
      <c r="H16" s="199">
        <f t="shared" si="2"/>
        <v>28.35</v>
      </c>
      <c r="I16" s="200">
        <f t="shared" si="2"/>
        <v>258656.41999999998</v>
      </c>
      <c r="J16" s="198">
        <f t="shared" si="2"/>
        <v>14368.560000000001</v>
      </c>
      <c r="K16" s="117">
        <f t="shared" si="2"/>
        <v>0</v>
      </c>
      <c r="L16" s="200">
        <f t="shared" si="2"/>
        <v>273024.98000000004</v>
      </c>
      <c r="M16" s="116">
        <f t="shared" si="2"/>
        <v>0</v>
      </c>
      <c r="N16" s="117">
        <f t="shared" si="2"/>
        <v>0</v>
      </c>
      <c r="O16" s="118">
        <f t="shared" si="2"/>
        <v>243995.68000000002</v>
      </c>
      <c r="P16" s="116">
        <f t="shared" si="2"/>
        <v>0</v>
      </c>
      <c r="Q16" s="118">
        <f t="shared" si="2"/>
        <v>243995.68000000002</v>
      </c>
    </row>
    <row r="17" spans="1:17" ht="10.5" customHeight="1">
      <c r="A17" s="43" t="s">
        <v>20</v>
      </c>
      <c r="B17" s="95"/>
      <c r="C17" s="116"/>
      <c r="D17" s="117"/>
      <c r="E17" s="117"/>
      <c r="F17" s="118"/>
      <c r="G17" s="198"/>
      <c r="H17" s="199"/>
      <c r="I17" s="200"/>
      <c r="J17" s="198"/>
      <c r="K17" s="6"/>
      <c r="L17" s="200"/>
      <c r="M17" s="27"/>
      <c r="N17" s="6"/>
      <c r="O17" s="28"/>
      <c r="P17" s="85"/>
      <c r="Q17" s="193"/>
    </row>
    <row r="18" spans="1:17" ht="12.75">
      <c r="A18" s="44" t="s">
        <v>21</v>
      </c>
      <c r="B18" s="96"/>
      <c r="C18" s="121">
        <v>1500</v>
      </c>
      <c r="D18" s="119"/>
      <c r="E18" s="119"/>
      <c r="F18" s="120">
        <f>C18+D18+E18</f>
        <v>1500</v>
      </c>
      <c r="G18" s="202"/>
      <c r="H18" s="203"/>
      <c r="I18" s="201">
        <f>F18+G18+H18</f>
        <v>1500</v>
      </c>
      <c r="J18" s="202"/>
      <c r="K18" s="7"/>
      <c r="L18" s="201">
        <f>I18+J18+K18</f>
        <v>1500</v>
      </c>
      <c r="M18" s="29"/>
      <c r="N18" s="7"/>
      <c r="O18" s="30">
        <f>L18+M18+N18</f>
        <v>1500</v>
      </c>
      <c r="P18" s="85"/>
      <c r="Q18" s="193">
        <f t="shared" si="1"/>
        <v>1500</v>
      </c>
    </row>
    <row r="19" spans="1:17" ht="12.75" hidden="1">
      <c r="A19" s="44" t="s">
        <v>22</v>
      </c>
      <c r="B19" s="96"/>
      <c r="C19" s="121"/>
      <c r="D19" s="119"/>
      <c r="E19" s="119"/>
      <c r="F19" s="120">
        <f aca="true" t="shared" si="3" ref="F19:F46">C19+D19+E19</f>
        <v>0</v>
      </c>
      <c r="G19" s="202"/>
      <c r="H19" s="203"/>
      <c r="I19" s="201">
        <f aca="true" t="shared" si="4" ref="I19:I38">F19+G19+H19</f>
        <v>0</v>
      </c>
      <c r="J19" s="202"/>
      <c r="K19" s="7"/>
      <c r="L19" s="201">
        <f aca="true" t="shared" si="5" ref="L19:L38">I19+J19+K19</f>
        <v>0</v>
      </c>
      <c r="M19" s="29"/>
      <c r="N19" s="7"/>
      <c r="O19" s="30">
        <f aca="true" t="shared" si="6" ref="O19:O38">L19+M19+N19</f>
        <v>0</v>
      </c>
      <c r="P19" s="85"/>
      <c r="Q19" s="193">
        <f t="shared" si="1"/>
        <v>0</v>
      </c>
    </row>
    <row r="20" spans="1:17" ht="12.75" hidden="1">
      <c r="A20" s="44" t="s">
        <v>23</v>
      </c>
      <c r="B20" s="96"/>
      <c r="C20" s="121"/>
      <c r="D20" s="119"/>
      <c r="E20" s="119"/>
      <c r="F20" s="120">
        <f t="shared" si="3"/>
        <v>0</v>
      </c>
      <c r="G20" s="202"/>
      <c r="H20" s="203"/>
      <c r="I20" s="201">
        <f t="shared" si="4"/>
        <v>0</v>
      </c>
      <c r="J20" s="202"/>
      <c r="K20" s="7"/>
      <c r="L20" s="201">
        <f t="shared" si="5"/>
        <v>0</v>
      </c>
      <c r="M20" s="29"/>
      <c r="N20" s="7"/>
      <c r="O20" s="30">
        <f t="shared" si="6"/>
        <v>0</v>
      </c>
      <c r="P20" s="85"/>
      <c r="Q20" s="193">
        <f t="shared" si="1"/>
        <v>0</v>
      </c>
    </row>
    <row r="21" spans="1:17" ht="12.75">
      <c r="A21" s="103" t="s">
        <v>298</v>
      </c>
      <c r="B21" s="96"/>
      <c r="C21" s="121"/>
      <c r="D21" s="119"/>
      <c r="E21" s="119"/>
      <c r="F21" s="120">
        <f t="shared" si="3"/>
        <v>0</v>
      </c>
      <c r="G21" s="202">
        <f>60.5</f>
        <v>60.5</v>
      </c>
      <c r="H21" s="203"/>
      <c r="I21" s="201">
        <f t="shared" si="4"/>
        <v>60.5</v>
      </c>
      <c r="J21" s="202">
        <f>728.31</f>
        <v>728.31</v>
      </c>
      <c r="K21" s="7"/>
      <c r="L21" s="201">
        <f t="shared" si="5"/>
        <v>788.81</v>
      </c>
      <c r="M21" s="29"/>
      <c r="N21" s="7"/>
      <c r="O21" s="30">
        <f t="shared" si="6"/>
        <v>788.81</v>
      </c>
      <c r="P21" s="85"/>
      <c r="Q21" s="193">
        <f t="shared" si="1"/>
        <v>788.81</v>
      </c>
    </row>
    <row r="22" spans="1:17" ht="12.75">
      <c r="A22" s="44" t="s">
        <v>24</v>
      </c>
      <c r="B22" s="96"/>
      <c r="C22" s="121">
        <v>45000</v>
      </c>
      <c r="D22" s="119"/>
      <c r="E22" s="119"/>
      <c r="F22" s="120">
        <f t="shared" si="3"/>
        <v>45000</v>
      </c>
      <c r="G22" s="202"/>
      <c r="H22" s="203"/>
      <c r="I22" s="201">
        <f t="shared" si="4"/>
        <v>45000</v>
      </c>
      <c r="J22" s="202"/>
      <c r="K22" s="7"/>
      <c r="L22" s="201">
        <f t="shared" si="5"/>
        <v>45000</v>
      </c>
      <c r="M22" s="29"/>
      <c r="N22" s="7"/>
      <c r="O22" s="30">
        <f t="shared" si="6"/>
        <v>45000</v>
      </c>
      <c r="P22" s="85"/>
      <c r="Q22" s="193">
        <f t="shared" si="1"/>
        <v>45000</v>
      </c>
    </row>
    <row r="23" spans="1:17" ht="12.75" hidden="1">
      <c r="A23" s="44" t="s">
        <v>26</v>
      </c>
      <c r="B23" s="96"/>
      <c r="C23" s="121"/>
      <c r="D23" s="119"/>
      <c r="E23" s="119"/>
      <c r="F23" s="120">
        <f t="shared" si="3"/>
        <v>0</v>
      </c>
      <c r="G23" s="202"/>
      <c r="H23" s="203"/>
      <c r="I23" s="201">
        <f t="shared" si="4"/>
        <v>0</v>
      </c>
      <c r="J23" s="202"/>
      <c r="K23" s="7"/>
      <c r="L23" s="201">
        <f t="shared" si="5"/>
        <v>0</v>
      </c>
      <c r="M23" s="29"/>
      <c r="N23" s="7"/>
      <c r="O23" s="30">
        <f t="shared" si="6"/>
        <v>0</v>
      </c>
      <c r="P23" s="85"/>
      <c r="Q23" s="193">
        <f t="shared" si="1"/>
        <v>0</v>
      </c>
    </row>
    <row r="24" spans="1:17" ht="12.75">
      <c r="A24" s="45" t="s">
        <v>162</v>
      </c>
      <c r="B24" s="97"/>
      <c r="C24" s="121">
        <v>21583.8</v>
      </c>
      <c r="D24" s="119"/>
      <c r="E24" s="119"/>
      <c r="F24" s="120">
        <f t="shared" si="3"/>
        <v>21583.8</v>
      </c>
      <c r="G24" s="202"/>
      <c r="H24" s="203"/>
      <c r="I24" s="201">
        <f t="shared" si="4"/>
        <v>21583.8</v>
      </c>
      <c r="J24" s="202">
        <f>1136.24</f>
        <v>1136.24</v>
      </c>
      <c r="K24" s="7"/>
      <c r="L24" s="201">
        <f t="shared" si="5"/>
        <v>22720.04</v>
      </c>
      <c r="M24" s="29"/>
      <c r="N24" s="7"/>
      <c r="O24" s="30">
        <f t="shared" si="6"/>
        <v>22720.04</v>
      </c>
      <c r="P24" s="85"/>
      <c r="Q24" s="193">
        <f t="shared" si="1"/>
        <v>22720.04</v>
      </c>
    </row>
    <row r="25" spans="1:17" ht="12.75">
      <c r="A25" s="45" t="s">
        <v>168</v>
      </c>
      <c r="B25" s="97"/>
      <c r="C25" s="121">
        <v>40000</v>
      </c>
      <c r="D25" s="119">
        <f>10000</f>
        <v>10000</v>
      </c>
      <c r="E25" s="119"/>
      <c r="F25" s="120">
        <f t="shared" si="3"/>
        <v>50000</v>
      </c>
      <c r="G25" s="202"/>
      <c r="H25" s="203"/>
      <c r="I25" s="201">
        <f t="shared" si="4"/>
        <v>50000</v>
      </c>
      <c r="J25" s="202"/>
      <c r="K25" s="7"/>
      <c r="L25" s="201">
        <f t="shared" si="5"/>
        <v>50000</v>
      </c>
      <c r="M25" s="29"/>
      <c r="N25" s="7"/>
      <c r="O25" s="30">
        <f t="shared" si="6"/>
        <v>50000</v>
      </c>
      <c r="P25" s="85"/>
      <c r="Q25" s="193">
        <f t="shared" si="1"/>
        <v>50000</v>
      </c>
    </row>
    <row r="26" spans="1:17" ht="12.75">
      <c r="A26" s="45" t="s">
        <v>350</v>
      </c>
      <c r="B26" s="97"/>
      <c r="C26" s="121"/>
      <c r="D26" s="119"/>
      <c r="E26" s="119"/>
      <c r="F26" s="120"/>
      <c r="G26" s="202"/>
      <c r="H26" s="203"/>
      <c r="I26" s="201">
        <f t="shared" si="4"/>
        <v>0</v>
      </c>
      <c r="J26" s="202">
        <f>4250</f>
        <v>4250</v>
      </c>
      <c r="K26" s="7"/>
      <c r="L26" s="201">
        <f>I26+J26+K26</f>
        <v>4250</v>
      </c>
      <c r="M26" s="29"/>
      <c r="N26" s="7"/>
      <c r="O26" s="30"/>
      <c r="P26" s="85"/>
      <c r="Q26" s="193"/>
    </row>
    <row r="27" spans="1:17" ht="12.75">
      <c r="A27" s="45" t="s">
        <v>248</v>
      </c>
      <c r="B27" s="97"/>
      <c r="C27" s="121"/>
      <c r="D27" s="119"/>
      <c r="E27" s="119"/>
      <c r="F27" s="120">
        <f t="shared" si="3"/>
        <v>0</v>
      </c>
      <c r="G27" s="202">
        <f>1232.13</f>
        <v>1232.13</v>
      </c>
      <c r="H27" s="203"/>
      <c r="I27" s="201">
        <f t="shared" si="4"/>
        <v>1232.13</v>
      </c>
      <c r="J27" s="202"/>
      <c r="K27" s="7"/>
      <c r="L27" s="201">
        <f>I27+J27+K27</f>
        <v>1232.13</v>
      </c>
      <c r="M27" s="29"/>
      <c r="N27" s="7"/>
      <c r="O27" s="30"/>
      <c r="P27" s="85"/>
      <c r="Q27" s="193"/>
    </row>
    <row r="28" spans="1:17" ht="12.75">
      <c r="A28" s="45" t="s">
        <v>25</v>
      </c>
      <c r="B28" s="97"/>
      <c r="C28" s="121"/>
      <c r="D28" s="119"/>
      <c r="E28" s="119"/>
      <c r="F28" s="120">
        <f t="shared" si="3"/>
        <v>0</v>
      </c>
      <c r="G28" s="202">
        <f>4.43+0.8</f>
        <v>5.2299999999999995</v>
      </c>
      <c r="H28" s="203"/>
      <c r="I28" s="201">
        <f t="shared" si="4"/>
        <v>5.2299999999999995</v>
      </c>
      <c r="J28" s="202">
        <f>445.73</f>
        <v>445.73</v>
      </c>
      <c r="K28" s="7"/>
      <c r="L28" s="201">
        <f t="shared" si="5"/>
        <v>450.96000000000004</v>
      </c>
      <c r="M28" s="40"/>
      <c r="N28" s="7"/>
      <c r="O28" s="30">
        <f t="shared" si="6"/>
        <v>450.96000000000004</v>
      </c>
      <c r="P28" s="85"/>
      <c r="Q28" s="193">
        <f t="shared" si="1"/>
        <v>450.96000000000004</v>
      </c>
    </row>
    <row r="29" spans="1:17" ht="12.75">
      <c r="A29" s="45" t="s">
        <v>323</v>
      </c>
      <c r="B29" s="97"/>
      <c r="C29" s="121"/>
      <c r="D29" s="119">
        <f>515.32</f>
        <v>515.32</v>
      </c>
      <c r="E29" s="119"/>
      <c r="F29" s="120">
        <f t="shared" si="3"/>
        <v>515.32</v>
      </c>
      <c r="G29" s="202">
        <f>-515.32+4.98</f>
        <v>-510.34000000000003</v>
      </c>
      <c r="H29" s="203"/>
      <c r="I29" s="201">
        <f t="shared" si="4"/>
        <v>4.980000000000018</v>
      </c>
      <c r="J29" s="202">
        <f>168.99</f>
        <v>168.99</v>
      </c>
      <c r="K29" s="7"/>
      <c r="L29" s="201">
        <f t="shared" si="5"/>
        <v>173.97000000000003</v>
      </c>
      <c r="M29" s="29"/>
      <c r="N29" s="7"/>
      <c r="O29" s="30"/>
      <c r="P29" s="85"/>
      <c r="Q29" s="193"/>
    </row>
    <row r="30" spans="1:17" ht="12.75">
      <c r="A30" s="45" t="s">
        <v>317</v>
      </c>
      <c r="B30" s="97"/>
      <c r="C30" s="121"/>
      <c r="D30" s="119">
        <v>43.5</v>
      </c>
      <c r="E30" s="119"/>
      <c r="F30" s="120">
        <f t="shared" si="3"/>
        <v>43.5</v>
      </c>
      <c r="G30" s="202"/>
      <c r="H30" s="203"/>
      <c r="I30" s="201">
        <f t="shared" si="4"/>
        <v>43.5</v>
      </c>
      <c r="J30" s="202"/>
      <c r="K30" s="7"/>
      <c r="L30" s="201">
        <f t="shared" si="5"/>
        <v>43.5</v>
      </c>
      <c r="M30" s="29"/>
      <c r="N30" s="7"/>
      <c r="O30" s="30"/>
      <c r="P30" s="85"/>
      <c r="Q30" s="193"/>
    </row>
    <row r="31" spans="1:17" ht="12.75" hidden="1">
      <c r="A31" s="45" t="s">
        <v>169</v>
      </c>
      <c r="B31" s="97"/>
      <c r="C31" s="121"/>
      <c r="D31" s="119"/>
      <c r="E31" s="119"/>
      <c r="F31" s="120">
        <f t="shared" si="3"/>
        <v>0</v>
      </c>
      <c r="G31" s="202"/>
      <c r="H31" s="203"/>
      <c r="I31" s="201">
        <f t="shared" si="4"/>
        <v>0</v>
      </c>
      <c r="J31" s="202"/>
      <c r="K31" s="7"/>
      <c r="L31" s="201">
        <f t="shared" si="5"/>
        <v>0</v>
      </c>
      <c r="M31" s="29"/>
      <c r="N31" s="7"/>
      <c r="O31" s="30">
        <f t="shared" si="6"/>
        <v>0</v>
      </c>
      <c r="P31" s="85"/>
      <c r="Q31" s="193">
        <f t="shared" si="1"/>
        <v>0</v>
      </c>
    </row>
    <row r="32" spans="1:17" ht="12.75" hidden="1">
      <c r="A32" s="45" t="s">
        <v>170</v>
      </c>
      <c r="B32" s="97"/>
      <c r="C32" s="121"/>
      <c r="D32" s="119"/>
      <c r="E32" s="119"/>
      <c r="F32" s="120">
        <f t="shared" si="3"/>
        <v>0</v>
      </c>
      <c r="G32" s="202"/>
      <c r="H32" s="203"/>
      <c r="I32" s="201">
        <f t="shared" si="4"/>
        <v>0</v>
      </c>
      <c r="J32" s="202"/>
      <c r="K32" s="7"/>
      <c r="L32" s="201">
        <f t="shared" si="5"/>
        <v>0</v>
      </c>
      <c r="M32" s="29"/>
      <c r="N32" s="7"/>
      <c r="O32" s="30">
        <f t="shared" si="6"/>
        <v>0</v>
      </c>
      <c r="P32" s="85"/>
      <c r="Q32" s="193">
        <f t="shared" si="1"/>
        <v>0</v>
      </c>
    </row>
    <row r="33" spans="1:17" ht="12.75">
      <c r="A33" s="45" t="s">
        <v>341</v>
      </c>
      <c r="B33" s="97"/>
      <c r="C33" s="121"/>
      <c r="D33" s="119">
        <f>719.88</f>
        <v>719.88</v>
      </c>
      <c r="E33" s="119"/>
      <c r="F33" s="120">
        <f t="shared" si="3"/>
        <v>719.88</v>
      </c>
      <c r="G33" s="202">
        <f>15</f>
        <v>15</v>
      </c>
      <c r="H33" s="203">
        <f>22.96</f>
        <v>22.96</v>
      </c>
      <c r="I33" s="201">
        <f t="shared" si="4"/>
        <v>757.84</v>
      </c>
      <c r="J33" s="202">
        <f>25.29+286</f>
        <v>311.29</v>
      </c>
      <c r="K33" s="7"/>
      <c r="L33" s="201">
        <f t="shared" si="5"/>
        <v>1069.13</v>
      </c>
      <c r="M33" s="29"/>
      <c r="N33" s="7"/>
      <c r="O33" s="30">
        <f t="shared" si="6"/>
        <v>1069.13</v>
      </c>
      <c r="P33" s="85"/>
      <c r="Q33" s="193">
        <f t="shared" si="1"/>
        <v>1069.13</v>
      </c>
    </row>
    <row r="34" spans="1:17" ht="12.75">
      <c r="A34" s="45" t="s">
        <v>171</v>
      </c>
      <c r="B34" s="97"/>
      <c r="C34" s="121"/>
      <c r="D34" s="119">
        <f>2400+7.1</f>
        <v>2407.1</v>
      </c>
      <c r="E34" s="119"/>
      <c r="F34" s="120">
        <f t="shared" si="3"/>
        <v>2407.1</v>
      </c>
      <c r="G34" s="202">
        <f>-2400+7.27</f>
        <v>-2392.73</v>
      </c>
      <c r="H34" s="203"/>
      <c r="I34" s="201">
        <f t="shared" si="4"/>
        <v>14.36999999999989</v>
      </c>
      <c r="J34" s="202">
        <f>218.9+438.48</f>
        <v>657.38</v>
      </c>
      <c r="K34" s="7"/>
      <c r="L34" s="201">
        <f t="shared" si="5"/>
        <v>671.7499999999999</v>
      </c>
      <c r="M34" s="29"/>
      <c r="N34" s="7"/>
      <c r="O34" s="30">
        <f t="shared" si="6"/>
        <v>671.7499999999999</v>
      </c>
      <c r="P34" s="85"/>
      <c r="Q34" s="193">
        <f t="shared" si="1"/>
        <v>671.7499999999999</v>
      </c>
    </row>
    <row r="35" spans="1:17" ht="12.75" hidden="1">
      <c r="A35" s="45" t="s">
        <v>164</v>
      </c>
      <c r="B35" s="97"/>
      <c r="C35" s="121"/>
      <c r="D35" s="119"/>
      <c r="E35" s="119"/>
      <c r="F35" s="120">
        <f t="shared" si="3"/>
        <v>0</v>
      </c>
      <c r="G35" s="202"/>
      <c r="H35" s="203"/>
      <c r="I35" s="201">
        <f t="shared" si="4"/>
        <v>0</v>
      </c>
      <c r="J35" s="202"/>
      <c r="K35" s="7"/>
      <c r="L35" s="201">
        <f t="shared" si="5"/>
        <v>0</v>
      </c>
      <c r="M35" s="29"/>
      <c r="N35" s="7"/>
      <c r="O35" s="30">
        <f t="shared" si="6"/>
        <v>0</v>
      </c>
      <c r="P35" s="85"/>
      <c r="Q35" s="193">
        <f t="shared" si="1"/>
        <v>0</v>
      </c>
    </row>
    <row r="36" spans="1:17" ht="12.75" hidden="1">
      <c r="A36" s="45" t="s">
        <v>172</v>
      </c>
      <c r="B36" s="97"/>
      <c r="C36" s="121"/>
      <c r="D36" s="119"/>
      <c r="E36" s="119"/>
      <c r="F36" s="120">
        <f t="shared" si="3"/>
        <v>0</v>
      </c>
      <c r="G36" s="202"/>
      <c r="H36" s="203"/>
      <c r="I36" s="201">
        <f t="shared" si="4"/>
        <v>0</v>
      </c>
      <c r="J36" s="202"/>
      <c r="K36" s="7"/>
      <c r="L36" s="201">
        <f t="shared" si="5"/>
        <v>0</v>
      </c>
      <c r="M36" s="29"/>
      <c r="N36" s="7"/>
      <c r="O36" s="30">
        <f t="shared" si="6"/>
        <v>0</v>
      </c>
      <c r="P36" s="85"/>
      <c r="Q36" s="193">
        <f t="shared" si="1"/>
        <v>0</v>
      </c>
    </row>
    <row r="37" spans="1:17" ht="12.75">
      <c r="A37" s="45" t="s">
        <v>334</v>
      </c>
      <c r="B37" s="97"/>
      <c r="C37" s="121"/>
      <c r="D37" s="119"/>
      <c r="E37" s="119"/>
      <c r="F37" s="120">
        <f t="shared" si="3"/>
        <v>0</v>
      </c>
      <c r="G37" s="202">
        <f>465.95</f>
        <v>465.95</v>
      </c>
      <c r="H37" s="203"/>
      <c r="I37" s="201">
        <f t="shared" si="4"/>
        <v>465.95</v>
      </c>
      <c r="J37" s="202">
        <f>38.2</f>
        <v>38.2</v>
      </c>
      <c r="K37" s="7"/>
      <c r="L37" s="201">
        <f t="shared" si="5"/>
        <v>504.15</v>
      </c>
      <c r="M37" s="29"/>
      <c r="N37" s="7"/>
      <c r="O37" s="30"/>
      <c r="P37" s="85"/>
      <c r="Q37" s="193"/>
    </row>
    <row r="38" spans="1:17" ht="12.75">
      <c r="A38" s="45" t="s">
        <v>173</v>
      </c>
      <c r="B38" s="97"/>
      <c r="C38" s="121"/>
      <c r="D38" s="119"/>
      <c r="E38" s="119"/>
      <c r="F38" s="120">
        <f t="shared" si="3"/>
        <v>0</v>
      </c>
      <c r="G38" s="202">
        <f>1396.19</f>
        <v>1396.19</v>
      </c>
      <c r="H38" s="203"/>
      <c r="I38" s="201">
        <f t="shared" si="4"/>
        <v>1396.19</v>
      </c>
      <c r="J38" s="202"/>
      <c r="K38" s="7"/>
      <c r="L38" s="201">
        <f t="shared" si="5"/>
        <v>1396.19</v>
      </c>
      <c r="M38" s="29"/>
      <c r="N38" s="7"/>
      <c r="O38" s="30">
        <f t="shared" si="6"/>
        <v>1396.19</v>
      </c>
      <c r="P38" s="85"/>
      <c r="Q38" s="193">
        <f t="shared" si="1"/>
        <v>1396.19</v>
      </c>
    </row>
    <row r="39" spans="1:17" ht="12.75">
      <c r="A39" s="44" t="s">
        <v>27</v>
      </c>
      <c r="B39" s="96"/>
      <c r="C39" s="121">
        <f>SUM(C40:C45)</f>
        <v>118736.8</v>
      </c>
      <c r="D39" s="119">
        <f>SUM(D40:D45)</f>
        <v>-752.1000000000001</v>
      </c>
      <c r="E39" s="119">
        <f>SUM(E40:E45)</f>
        <v>1800</v>
      </c>
      <c r="F39" s="120">
        <f>SUM(F40:F45)</f>
        <v>119784.7</v>
      </c>
      <c r="G39" s="202">
        <f aca="true" t="shared" si="7" ref="G39:Q39">SUM(G40:G45)</f>
        <v>353.7</v>
      </c>
      <c r="H39" s="203">
        <f t="shared" si="7"/>
        <v>0</v>
      </c>
      <c r="I39" s="201">
        <f t="shared" si="7"/>
        <v>120138.4</v>
      </c>
      <c r="J39" s="202">
        <f t="shared" si="7"/>
        <v>260.4</v>
      </c>
      <c r="K39" s="119">
        <f t="shared" si="7"/>
        <v>0</v>
      </c>
      <c r="L39" s="201">
        <f t="shared" si="7"/>
        <v>120398.8</v>
      </c>
      <c r="M39" s="121">
        <f t="shared" si="7"/>
        <v>0</v>
      </c>
      <c r="N39" s="119">
        <f t="shared" si="7"/>
        <v>0</v>
      </c>
      <c r="O39" s="120">
        <f t="shared" si="7"/>
        <v>120398.8</v>
      </c>
      <c r="P39" s="121">
        <f t="shared" si="7"/>
        <v>0</v>
      </c>
      <c r="Q39" s="120">
        <f t="shared" si="7"/>
        <v>120398.8</v>
      </c>
    </row>
    <row r="40" spans="1:17" ht="12.75">
      <c r="A40" s="44" t="s">
        <v>28</v>
      </c>
      <c r="B40" s="96"/>
      <c r="C40" s="121">
        <v>42996</v>
      </c>
      <c r="D40" s="119">
        <f>330.3</f>
        <v>330.3</v>
      </c>
      <c r="E40" s="119"/>
      <c r="F40" s="120">
        <f t="shared" si="3"/>
        <v>43326.3</v>
      </c>
      <c r="G40" s="202">
        <f>125.6</f>
        <v>125.6</v>
      </c>
      <c r="H40" s="203"/>
      <c r="I40" s="201">
        <f aca="true" t="shared" si="8" ref="I40:I46">F40+G40+H40</f>
        <v>43451.9</v>
      </c>
      <c r="J40" s="202">
        <f>26.9+233.5</f>
        <v>260.4</v>
      </c>
      <c r="K40" s="7"/>
      <c r="L40" s="201">
        <f aca="true" t="shared" si="9" ref="L40:L46">I40+J40+K40</f>
        <v>43712.3</v>
      </c>
      <c r="M40" s="29"/>
      <c r="N40" s="7"/>
      <c r="O40" s="30">
        <f aca="true" t="shared" si="10" ref="O40:O45">L40+M40+N40</f>
        <v>43712.3</v>
      </c>
      <c r="P40" s="85"/>
      <c r="Q40" s="193">
        <f t="shared" si="1"/>
        <v>43712.3</v>
      </c>
    </row>
    <row r="41" spans="1:17" ht="12.75">
      <c r="A41" s="45" t="s">
        <v>174</v>
      </c>
      <c r="B41" s="97"/>
      <c r="C41" s="121">
        <v>8354.5</v>
      </c>
      <c r="D41" s="119"/>
      <c r="E41" s="119"/>
      <c r="F41" s="120">
        <f t="shared" si="3"/>
        <v>8354.5</v>
      </c>
      <c r="G41" s="202"/>
      <c r="H41" s="203"/>
      <c r="I41" s="201">
        <f t="shared" si="8"/>
        <v>8354.5</v>
      </c>
      <c r="J41" s="202"/>
      <c r="K41" s="7"/>
      <c r="L41" s="201">
        <f t="shared" si="9"/>
        <v>8354.5</v>
      </c>
      <c r="M41" s="29"/>
      <c r="N41" s="7"/>
      <c r="O41" s="30">
        <f t="shared" si="10"/>
        <v>8354.5</v>
      </c>
      <c r="P41" s="85"/>
      <c r="Q41" s="193">
        <f t="shared" si="1"/>
        <v>8354.5</v>
      </c>
    </row>
    <row r="42" spans="1:17" ht="12.75">
      <c r="A42" s="44" t="s">
        <v>29</v>
      </c>
      <c r="B42" s="96"/>
      <c r="C42" s="121">
        <v>22167</v>
      </c>
      <c r="D42" s="119"/>
      <c r="E42" s="119">
        <v>1800</v>
      </c>
      <c r="F42" s="120">
        <f t="shared" si="3"/>
        <v>23967</v>
      </c>
      <c r="G42" s="202"/>
      <c r="H42" s="203"/>
      <c r="I42" s="201">
        <f t="shared" si="8"/>
        <v>23967</v>
      </c>
      <c r="J42" s="202"/>
      <c r="K42" s="7"/>
      <c r="L42" s="201">
        <f t="shared" si="9"/>
        <v>23967</v>
      </c>
      <c r="M42" s="29"/>
      <c r="N42" s="7"/>
      <c r="O42" s="30">
        <f t="shared" si="10"/>
        <v>23967</v>
      </c>
      <c r="P42" s="85"/>
      <c r="Q42" s="193">
        <f t="shared" si="1"/>
        <v>23967</v>
      </c>
    </row>
    <row r="43" spans="1:17" ht="12.75">
      <c r="A43" s="45" t="s">
        <v>175</v>
      </c>
      <c r="B43" s="97"/>
      <c r="C43" s="121">
        <v>11173.3</v>
      </c>
      <c r="D43" s="119">
        <f>-1082.4</f>
        <v>-1082.4</v>
      </c>
      <c r="E43" s="119"/>
      <c r="F43" s="120">
        <f t="shared" si="3"/>
        <v>10090.9</v>
      </c>
      <c r="G43" s="202">
        <f>228.1</f>
        <v>228.1</v>
      </c>
      <c r="H43" s="203"/>
      <c r="I43" s="201">
        <f t="shared" si="8"/>
        <v>10319</v>
      </c>
      <c r="J43" s="202"/>
      <c r="K43" s="7"/>
      <c r="L43" s="201">
        <f t="shared" si="9"/>
        <v>10319</v>
      </c>
      <c r="M43" s="29"/>
      <c r="N43" s="7"/>
      <c r="O43" s="30">
        <f t="shared" si="10"/>
        <v>10319</v>
      </c>
      <c r="P43" s="85"/>
      <c r="Q43" s="193">
        <f t="shared" si="1"/>
        <v>10319</v>
      </c>
    </row>
    <row r="44" spans="1:17" ht="12.75">
      <c r="A44" s="45" t="s">
        <v>268</v>
      </c>
      <c r="B44" s="97"/>
      <c r="C44" s="121">
        <v>350</v>
      </c>
      <c r="D44" s="119"/>
      <c r="E44" s="119"/>
      <c r="F44" s="120">
        <f t="shared" si="3"/>
        <v>350</v>
      </c>
      <c r="G44" s="202"/>
      <c r="H44" s="203"/>
      <c r="I44" s="201">
        <f t="shared" si="8"/>
        <v>350</v>
      </c>
      <c r="J44" s="202"/>
      <c r="K44" s="7"/>
      <c r="L44" s="201">
        <f t="shared" si="9"/>
        <v>350</v>
      </c>
      <c r="M44" s="29"/>
      <c r="N44" s="7"/>
      <c r="O44" s="30">
        <f t="shared" si="10"/>
        <v>350</v>
      </c>
      <c r="P44" s="85"/>
      <c r="Q44" s="193">
        <f t="shared" si="1"/>
        <v>350</v>
      </c>
    </row>
    <row r="45" spans="1:17" ht="12.75">
      <c r="A45" s="45" t="s">
        <v>176</v>
      </c>
      <c r="B45" s="97"/>
      <c r="C45" s="121">
        <v>33696</v>
      </c>
      <c r="D45" s="119"/>
      <c r="E45" s="119"/>
      <c r="F45" s="120">
        <f t="shared" si="3"/>
        <v>33696</v>
      </c>
      <c r="G45" s="202"/>
      <c r="H45" s="203"/>
      <c r="I45" s="201">
        <f t="shared" si="8"/>
        <v>33696</v>
      </c>
      <c r="J45" s="202"/>
      <c r="K45" s="7"/>
      <c r="L45" s="201">
        <f t="shared" si="9"/>
        <v>33696</v>
      </c>
      <c r="M45" s="29"/>
      <c r="N45" s="7"/>
      <c r="O45" s="30">
        <f t="shared" si="10"/>
        <v>33696</v>
      </c>
      <c r="P45" s="85"/>
      <c r="Q45" s="193">
        <f>O45+P45</f>
        <v>33696</v>
      </c>
    </row>
    <row r="46" spans="1:17" ht="12.75">
      <c r="A46" s="45" t="s">
        <v>236</v>
      </c>
      <c r="B46" s="97"/>
      <c r="C46" s="121"/>
      <c r="D46" s="171">
        <f>39.51+246.77+856.59+843.91+8</f>
        <v>1994.7800000000002</v>
      </c>
      <c r="E46" s="119"/>
      <c r="F46" s="120">
        <f t="shared" si="3"/>
        <v>1994.7800000000002</v>
      </c>
      <c r="G46" s="204">
        <f>82.55+1972+5000+5160.95+2237.86</f>
        <v>14453.36</v>
      </c>
      <c r="H46" s="205">
        <f>5.39</f>
        <v>5.39</v>
      </c>
      <c r="I46" s="201">
        <f t="shared" si="8"/>
        <v>16453.53</v>
      </c>
      <c r="J46" s="204">
        <f>5+1172.39+1000+1794.63+2200+200</f>
        <v>6372.02</v>
      </c>
      <c r="K46" s="190"/>
      <c r="L46" s="201">
        <f t="shared" si="9"/>
        <v>22825.55</v>
      </c>
      <c r="M46" s="83"/>
      <c r="N46" s="190"/>
      <c r="O46" s="191"/>
      <c r="P46" s="83"/>
      <c r="Q46" s="191"/>
    </row>
    <row r="47" spans="1:17" ht="12.75">
      <c r="A47" s="46" t="s">
        <v>284</v>
      </c>
      <c r="B47" s="98"/>
      <c r="C47" s="122">
        <f>SUM(C49:C52)</f>
        <v>15000</v>
      </c>
      <c r="D47" s="123">
        <f>SUM(D49:D52)</f>
        <v>0</v>
      </c>
      <c r="E47" s="123">
        <f>SUM(E49:E52)</f>
        <v>0</v>
      </c>
      <c r="F47" s="124">
        <f>SUM(F49:F52)</f>
        <v>15000</v>
      </c>
      <c r="G47" s="206">
        <f aca="true" t="shared" si="11" ref="G47:Q47">SUM(G49:G52)</f>
        <v>0</v>
      </c>
      <c r="H47" s="207">
        <f t="shared" si="11"/>
        <v>0</v>
      </c>
      <c r="I47" s="208">
        <f t="shared" si="11"/>
        <v>15000</v>
      </c>
      <c r="J47" s="206">
        <f t="shared" si="11"/>
        <v>0</v>
      </c>
      <c r="K47" s="123">
        <f t="shared" si="11"/>
        <v>0</v>
      </c>
      <c r="L47" s="208">
        <f t="shared" si="11"/>
        <v>15000</v>
      </c>
      <c r="M47" s="122">
        <f t="shared" si="11"/>
        <v>0</v>
      </c>
      <c r="N47" s="123">
        <f t="shared" si="11"/>
        <v>0</v>
      </c>
      <c r="O47" s="124">
        <f t="shared" si="11"/>
        <v>15000</v>
      </c>
      <c r="P47" s="122">
        <f t="shared" si="11"/>
        <v>0</v>
      </c>
      <c r="Q47" s="124">
        <f t="shared" si="11"/>
        <v>15000</v>
      </c>
    </row>
    <row r="48" spans="1:17" ht="11.25" customHeight="1">
      <c r="A48" s="43" t="s">
        <v>20</v>
      </c>
      <c r="B48" s="95"/>
      <c r="C48" s="121"/>
      <c r="D48" s="119"/>
      <c r="E48" s="119"/>
      <c r="F48" s="120"/>
      <c r="G48" s="202"/>
      <c r="H48" s="203"/>
      <c r="I48" s="201"/>
      <c r="J48" s="202"/>
      <c r="K48" s="7"/>
      <c r="L48" s="201"/>
      <c r="M48" s="29"/>
      <c r="N48" s="7"/>
      <c r="O48" s="30"/>
      <c r="P48" s="85"/>
      <c r="Q48" s="193"/>
    </row>
    <row r="49" spans="1:17" ht="12.75">
      <c r="A49" s="44" t="s">
        <v>30</v>
      </c>
      <c r="B49" s="96"/>
      <c r="C49" s="121"/>
      <c r="D49" s="119"/>
      <c r="E49" s="119"/>
      <c r="F49" s="120">
        <f>C49+D49+E49</f>
        <v>0</v>
      </c>
      <c r="G49" s="202"/>
      <c r="H49" s="203"/>
      <c r="I49" s="201">
        <f>F49+G49+H49</f>
        <v>0</v>
      </c>
      <c r="J49" s="202">
        <f>430</f>
        <v>430</v>
      </c>
      <c r="K49" s="7"/>
      <c r="L49" s="201">
        <f>I49+J49+K49</f>
        <v>430</v>
      </c>
      <c r="M49" s="29"/>
      <c r="N49" s="7"/>
      <c r="O49" s="30">
        <f>L49+M49+N49</f>
        <v>430</v>
      </c>
      <c r="P49" s="85"/>
      <c r="Q49" s="193">
        <f t="shared" si="1"/>
        <v>430</v>
      </c>
    </row>
    <row r="50" spans="1:17" ht="12.75">
      <c r="A50" s="45" t="s">
        <v>177</v>
      </c>
      <c r="B50" s="97"/>
      <c r="C50" s="121"/>
      <c r="D50" s="119"/>
      <c r="E50" s="119"/>
      <c r="F50" s="120">
        <f>C50+D50+E50</f>
        <v>0</v>
      </c>
      <c r="G50" s="202"/>
      <c r="H50" s="203"/>
      <c r="I50" s="201">
        <f>F50+G50+H50</f>
        <v>0</v>
      </c>
      <c r="J50" s="222">
        <f>214.73</f>
        <v>214.73</v>
      </c>
      <c r="K50" s="7"/>
      <c r="L50" s="201">
        <f>I50+J50+K50</f>
        <v>214.73</v>
      </c>
      <c r="M50" s="40"/>
      <c r="N50" s="7"/>
      <c r="O50" s="30">
        <f>L50+M50+N50</f>
        <v>214.73</v>
      </c>
      <c r="P50" s="85"/>
      <c r="Q50" s="193">
        <f t="shared" si="1"/>
        <v>214.73</v>
      </c>
    </row>
    <row r="51" spans="1:17" ht="12.75">
      <c r="A51" s="45" t="s">
        <v>237</v>
      </c>
      <c r="B51" s="97"/>
      <c r="C51" s="121">
        <v>15000</v>
      </c>
      <c r="D51" s="119"/>
      <c r="E51" s="119"/>
      <c r="F51" s="120">
        <f>C51+D51+E51</f>
        <v>15000</v>
      </c>
      <c r="G51" s="202"/>
      <c r="H51" s="203"/>
      <c r="I51" s="201">
        <f>F51+G51+H51</f>
        <v>15000</v>
      </c>
      <c r="J51" s="222">
        <f>-644.73</f>
        <v>-644.73</v>
      </c>
      <c r="K51" s="7"/>
      <c r="L51" s="201">
        <f>I51+J51+K51</f>
        <v>14355.27</v>
      </c>
      <c r="M51" s="40"/>
      <c r="N51" s="7"/>
      <c r="O51" s="30">
        <f>L51+M51+N51</f>
        <v>14355.27</v>
      </c>
      <c r="P51" s="85"/>
      <c r="Q51" s="193">
        <f t="shared" si="1"/>
        <v>14355.27</v>
      </c>
    </row>
    <row r="52" spans="1:17" ht="12.75" hidden="1">
      <c r="A52" s="44" t="s">
        <v>31</v>
      </c>
      <c r="B52" s="96"/>
      <c r="C52" s="121"/>
      <c r="D52" s="119"/>
      <c r="E52" s="119"/>
      <c r="F52" s="120">
        <f>C52+D52+E52</f>
        <v>0</v>
      </c>
      <c r="G52" s="202"/>
      <c r="H52" s="203"/>
      <c r="I52" s="201">
        <f>F52+G52+H52</f>
        <v>0</v>
      </c>
      <c r="J52" s="202"/>
      <c r="K52" s="7"/>
      <c r="L52" s="201">
        <f>I52+J52+K52</f>
        <v>0</v>
      </c>
      <c r="M52" s="29"/>
      <c r="N52" s="7"/>
      <c r="O52" s="30">
        <f>L52+M52+N52</f>
        <v>0</v>
      </c>
      <c r="P52" s="85"/>
      <c r="Q52" s="193">
        <f t="shared" si="1"/>
        <v>0</v>
      </c>
    </row>
    <row r="53" spans="1:17" ht="12.75">
      <c r="A53" s="46" t="s">
        <v>285</v>
      </c>
      <c r="B53" s="96"/>
      <c r="C53" s="121"/>
      <c r="D53" s="119"/>
      <c r="E53" s="119"/>
      <c r="F53" s="120"/>
      <c r="G53" s="202"/>
      <c r="H53" s="203"/>
      <c r="I53" s="201"/>
      <c r="J53" s="202"/>
      <c r="K53" s="7"/>
      <c r="L53" s="201"/>
      <c r="M53" s="29"/>
      <c r="N53" s="7"/>
      <c r="O53" s="30"/>
      <c r="P53" s="85"/>
      <c r="Q53" s="193"/>
    </row>
    <row r="54" spans="1:17" ht="12.75">
      <c r="A54" s="42" t="s">
        <v>32</v>
      </c>
      <c r="B54" s="94"/>
      <c r="C54" s="116">
        <f>SUM(C56:C75)</f>
        <v>79947.4</v>
      </c>
      <c r="D54" s="117">
        <f>SUM(D56:D75)</f>
        <v>5755826.28</v>
      </c>
      <c r="E54" s="117">
        <f>SUM(E56:E75)</f>
        <v>0</v>
      </c>
      <c r="F54" s="118">
        <f>SUM(F56:F75)</f>
        <v>5835773.680000001</v>
      </c>
      <c r="G54" s="198">
        <f aca="true" t="shared" si="12" ref="G54:Q54">SUM(G56:G75)</f>
        <v>374844.64</v>
      </c>
      <c r="H54" s="199">
        <f t="shared" si="12"/>
        <v>0</v>
      </c>
      <c r="I54" s="200">
        <f t="shared" si="12"/>
        <v>6210618.32</v>
      </c>
      <c r="J54" s="198">
        <f t="shared" si="12"/>
        <v>276168.58</v>
      </c>
      <c r="K54" s="117">
        <f t="shared" si="12"/>
        <v>0</v>
      </c>
      <c r="L54" s="200">
        <f t="shared" si="12"/>
        <v>6486786.9</v>
      </c>
      <c r="M54" s="116">
        <f t="shared" si="12"/>
        <v>0</v>
      </c>
      <c r="N54" s="117">
        <f t="shared" si="12"/>
        <v>0</v>
      </c>
      <c r="O54" s="118">
        <f t="shared" si="12"/>
        <v>6486786.9</v>
      </c>
      <c r="P54" s="116">
        <f t="shared" si="12"/>
        <v>0</v>
      </c>
      <c r="Q54" s="118">
        <f t="shared" si="12"/>
        <v>6486786.9</v>
      </c>
    </row>
    <row r="55" spans="1:17" ht="10.5" customHeight="1">
      <c r="A55" s="47" t="s">
        <v>33</v>
      </c>
      <c r="B55" s="99"/>
      <c r="C55" s="121"/>
      <c r="D55" s="119"/>
      <c r="E55" s="119"/>
      <c r="F55" s="120"/>
      <c r="G55" s="202"/>
      <c r="H55" s="203"/>
      <c r="I55" s="201"/>
      <c r="J55" s="202"/>
      <c r="K55" s="7"/>
      <c r="L55" s="201"/>
      <c r="M55" s="29"/>
      <c r="N55" s="7"/>
      <c r="O55" s="30"/>
      <c r="P55" s="85"/>
      <c r="Q55" s="193"/>
    </row>
    <row r="56" spans="1:17" ht="12.75">
      <c r="A56" s="45" t="s">
        <v>34</v>
      </c>
      <c r="B56" s="97"/>
      <c r="C56" s="121">
        <v>79697.4</v>
      </c>
      <c r="D56" s="119"/>
      <c r="E56" s="119"/>
      <c r="F56" s="120">
        <f aca="true" t="shared" si="13" ref="F56:F75">C56+D56+E56</f>
        <v>79697.4</v>
      </c>
      <c r="G56" s="202"/>
      <c r="H56" s="203"/>
      <c r="I56" s="201">
        <f>F56+G56+H56</f>
        <v>79697.4</v>
      </c>
      <c r="J56" s="202"/>
      <c r="K56" s="7"/>
      <c r="L56" s="201">
        <f>I56+J56+K56</f>
        <v>79697.4</v>
      </c>
      <c r="M56" s="29"/>
      <c r="N56" s="7"/>
      <c r="O56" s="30">
        <f>L56+M56+N56</f>
        <v>79697.4</v>
      </c>
      <c r="P56" s="85"/>
      <c r="Q56" s="193">
        <f t="shared" si="1"/>
        <v>79697.4</v>
      </c>
    </row>
    <row r="57" spans="1:17" ht="12.75">
      <c r="A57" s="45" t="s">
        <v>35</v>
      </c>
      <c r="B57" s="97"/>
      <c r="C57" s="121"/>
      <c r="D57" s="119">
        <f>43.5+176.59+186.8</f>
        <v>406.89</v>
      </c>
      <c r="E57" s="119"/>
      <c r="F57" s="120">
        <f t="shared" si="13"/>
        <v>406.89</v>
      </c>
      <c r="G57" s="202">
        <f>15.05+19.89+148.07+180.29</f>
        <v>363.29999999999995</v>
      </c>
      <c r="H57" s="203"/>
      <c r="I57" s="201">
        <f aca="true" t="shared" si="14" ref="I57:I74">F57+G57+H57</f>
        <v>770.1899999999999</v>
      </c>
      <c r="J57" s="202">
        <f>12+181.11+151.5+30</f>
        <v>374.61</v>
      </c>
      <c r="K57" s="7"/>
      <c r="L57" s="201">
        <f aca="true" t="shared" si="15" ref="L57:L75">I57+J57+K57</f>
        <v>1144.8</v>
      </c>
      <c r="M57" s="29"/>
      <c r="N57" s="7"/>
      <c r="O57" s="30">
        <f aca="true" t="shared" si="16" ref="O57:O75">L57+M57+N57</f>
        <v>1144.8</v>
      </c>
      <c r="P57" s="85"/>
      <c r="Q57" s="193">
        <f t="shared" si="1"/>
        <v>1144.8</v>
      </c>
    </row>
    <row r="58" spans="1:17" ht="12.75">
      <c r="A58" s="45" t="s">
        <v>36</v>
      </c>
      <c r="B58" s="97"/>
      <c r="C58" s="121"/>
      <c r="D58" s="119">
        <f>1373+5045968.66+61775.7+8921.07+363.12+8587.89+256.1+984+5144.59+7762.19+8844.48+17565.21+149.6</f>
        <v>5167695.61</v>
      </c>
      <c r="E58" s="119"/>
      <c r="F58" s="120">
        <f t="shared" si="13"/>
        <v>5167695.61</v>
      </c>
      <c r="G58" s="202">
        <f>2066.37+189.46+322.77+60538.18+1171.4+215.47+14589.37+7495.07</f>
        <v>86588.09</v>
      </c>
      <c r="H58" s="203"/>
      <c r="I58" s="201">
        <f t="shared" si="14"/>
        <v>5254283.7</v>
      </c>
      <c r="J58" s="202">
        <f>633.34+10678.94+79.94+62368.6+36489.09+1046.04+2482+908.07+1139.29+311.13+1616.06+1602.75-743.66+971.95-120.38-221.61+1211.93</f>
        <v>120453.47999999998</v>
      </c>
      <c r="K58" s="7"/>
      <c r="L58" s="201">
        <f t="shared" si="15"/>
        <v>5374737.18</v>
      </c>
      <c r="M58" s="29"/>
      <c r="N58" s="7"/>
      <c r="O58" s="30">
        <f t="shared" si="16"/>
        <v>5374737.18</v>
      </c>
      <c r="P58" s="85"/>
      <c r="Q58" s="193">
        <f t="shared" si="1"/>
        <v>5374737.18</v>
      </c>
    </row>
    <row r="59" spans="1:17" ht="12.75">
      <c r="A59" s="45" t="s">
        <v>37</v>
      </c>
      <c r="B59" s="97"/>
      <c r="C59" s="121"/>
      <c r="D59" s="119">
        <f>485940+2500+94024.14+2252.06</f>
        <v>584716.2000000001</v>
      </c>
      <c r="E59" s="119"/>
      <c r="F59" s="120">
        <f t="shared" si="13"/>
        <v>584716.2000000001</v>
      </c>
      <c r="G59" s="202">
        <f>1310.51+2500+367.11+549.91+485.54+1420.05</f>
        <v>6633.12</v>
      </c>
      <c r="H59" s="203"/>
      <c r="I59" s="201">
        <f t="shared" si="14"/>
        <v>591349.3200000001</v>
      </c>
      <c r="J59" s="202">
        <f>1661.33+62790+33033.92+412+3759.58</f>
        <v>101656.83</v>
      </c>
      <c r="K59" s="7"/>
      <c r="L59" s="201">
        <f t="shared" si="15"/>
        <v>693006.15</v>
      </c>
      <c r="M59" s="29"/>
      <c r="N59" s="7"/>
      <c r="O59" s="30">
        <f t="shared" si="16"/>
        <v>693006.15</v>
      </c>
      <c r="P59" s="85"/>
      <c r="Q59" s="193">
        <f t="shared" si="1"/>
        <v>693006.15</v>
      </c>
    </row>
    <row r="60" spans="1:17" ht="12.75">
      <c r="A60" s="45" t="s">
        <v>38</v>
      </c>
      <c r="B60" s="97"/>
      <c r="C60" s="121"/>
      <c r="D60" s="119">
        <f>44.83+27.24+728.31+27.1+44.72</f>
        <v>872.1999999999999</v>
      </c>
      <c r="E60" s="119"/>
      <c r="F60" s="120">
        <f t="shared" si="13"/>
        <v>872.1999999999999</v>
      </c>
      <c r="G60" s="202">
        <f>35.84+41.21+18.22</f>
        <v>95.27000000000001</v>
      </c>
      <c r="H60" s="203"/>
      <c r="I60" s="201">
        <f t="shared" si="14"/>
        <v>967.4699999999999</v>
      </c>
      <c r="J60" s="202">
        <f>824.69+17.36+1315</f>
        <v>2157.05</v>
      </c>
      <c r="K60" s="7"/>
      <c r="L60" s="201">
        <f t="shared" si="15"/>
        <v>3124.52</v>
      </c>
      <c r="M60" s="29"/>
      <c r="N60" s="7"/>
      <c r="O60" s="30">
        <f t="shared" si="16"/>
        <v>3124.52</v>
      </c>
      <c r="P60" s="85"/>
      <c r="Q60" s="193">
        <f t="shared" si="1"/>
        <v>3124.52</v>
      </c>
    </row>
    <row r="61" spans="1:17" ht="12.75">
      <c r="A61" s="45" t="s">
        <v>39</v>
      </c>
      <c r="B61" s="97"/>
      <c r="C61" s="121"/>
      <c r="D61" s="119"/>
      <c r="E61" s="119"/>
      <c r="F61" s="120">
        <f t="shared" si="13"/>
        <v>0</v>
      </c>
      <c r="G61" s="202">
        <f>631</f>
        <v>631</v>
      </c>
      <c r="H61" s="203"/>
      <c r="I61" s="201">
        <f t="shared" si="14"/>
        <v>631</v>
      </c>
      <c r="J61" s="202">
        <f>52+347+77+28+69+130+80+75+126+120</f>
        <v>1104</v>
      </c>
      <c r="K61" s="7"/>
      <c r="L61" s="201">
        <f t="shared" si="15"/>
        <v>1735</v>
      </c>
      <c r="M61" s="29"/>
      <c r="N61" s="7"/>
      <c r="O61" s="30">
        <f t="shared" si="16"/>
        <v>1735</v>
      </c>
      <c r="P61" s="85"/>
      <c r="Q61" s="193">
        <f t="shared" si="1"/>
        <v>1735</v>
      </c>
    </row>
    <row r="62" spans="1:17" ht="12.75">
      <c r="A62" s="45" t="s">
        <v>40</v>
      </c>
      <c r="B62" s="97"/>
      <c r="C62" s="121"/>
      <c r="D62" s="119"/>
      <c r="E62" s="119"/>
      <c r="F62" s="120">
        <f t="shared" si="13"/>
        <v>0</v>
      </c>
      <c r="G62" s="202">
        <f>100+41</f>
        <v>141</v>
      </c>
      <c r="H62" s="203"/>
      <c r="I62" s="201">
        <f t="shared" si="14"/>
        <v>141</v>
      </c>
      <c r="J62" s="202">
        <f>5508.04+16871.35</f>
        <v>22379.39</v>
      </c>
      <c r="K62" s="7"/>
      <c r="L62" s="201">
        <f t="shared" si="15"/>
        <v>22520.39</v>
      </c>
      <c r="M62" s="29"/>
      <c r="N62" s="7"/>
      <c r="O62" s="30">
        <f t="shared" si="16"/>
        <v>22520.39</v>
      </c>
      <c r="P62" s="85"/>
      <c r="Q62" s="193">
        <f t="shared" si="1"/>
        <v>22520.39</v>
      </c>
    </row>
    <row r="63" spans="1:17" ht="12.75">
      <c r="A63" s="45" t="s">
        <v>41</v>
      </c>
      <c r="B63" s="97"/>
      <c r="C63" s="121"/>
      <c r="D63" s="119"/>
      <c r="E63" s="119"/>
      <c r="F63" s="120">
        <f t="shared" si="13"/>
        <v>0</v>
      </c>
      <c r="G63" s="202">
        <f>288</f>
        <v>288</v>
      </c>
      <c r="H63" s="203"/>
      <c r="I63" s="201">
        <f t="shared" si="14"/>
        <v>288</v>
      </c>
      <c r="J63" s="202"/>
      <c r="K63" s="7"/>
      <c r="L63" s="201">
        <f t="shared" si="15"/>
        <v>288</v>
      </c>
      <c r="M63" s="29"/>
      <c r="N63" s="7"/>
      <c r="O63" s="30">
        <f t="shared" si="16"/>
        <v>288</v>
      </c>
      <c r="P63" s="85"/>
      <c r="Q63" s="193">
        <f t="shared" si="1"/>
        <v>288</v>
      </c>
    </row>
    <row r="64" spans="1:17" ht="12.75">
      <c r="A64" s="45" t="s">
        <v>160</v>
      </c>
      <c r="B64" s="97"/>
      <c r="C64" s="121"/>
      <c r="D64" s="119"/>
      <c r="E64" s="119"/>
      <c r="F64" s="120">
        <f t="shared" si="13"/>
        <v>0</v>
      </c>
      <c r="G64" s="202">
        <f>268513.86</f>
        <v>268513.86</v>
      </c>
      <c r="H64" s="203"/>
      <c r="I64" s="201">
        <f t="shared" si="14"/>
        <v>268513.86</v>
      </c>
      <c r="J64" s="202"/>
      <c r="K64" s="7"/>
      <c r="L64" s="201">
        <f t="shared" si="15"/>
        <v>268513.86</v>
      </c>
      <c r="M64" s="29"/>
      <c r="N64" s="7"/>
      <c r="O64" s="30">
        <f t="shared" si="16"/>
        <v>268513.86</v>
      </c>
      <c r="P64" s="85"/>
      <c r="Q64" s="193">
        <f t="shared" si="1"/>
        <v>268513.86</v>
      </c>
    </row>
    <row r="65" spans="1:17" ht="12.75">
      <c r="A65" s="45" t="s">
        <v>182</v>
      </c>
      <c r="B65" s="97"/>
      <c r="C65" s="121"/>
      <c r="D65" s="119">
        <f>2135.38</f>
        <v>2135.38</v>
      </c>
      <c r="E65" s="119"/>
      <c r="F65" s="120">
        <f t="shared" si="13"/>
        <v>2135.38</v>
      </c>
      <c r="G65" s="202">
        <f>857.64</f>
        <v>857.64</v>
      </c>
      <c r="H65" s="203"/>
      <c r="I65" s="201">
        <f t="shared" si="14"/>
        <v>2993.02</v>
      </c>
      <c r="J65" s="202">
        <f>3399.51</f>
        <v>3399.51</v>
      </c>
      <c r="K65" s="7"/>
      <c r="L65" s="201">
        <f t="shared" si="15"/>
        <v>6392.530000000001</v>
      </c>
      <c r="M65" s="29"/>
      <c r="N65" s="7"/>
      <c r="O65" s="30">
        <f t="shared" si="16"/>
        <v>6392.530000000001</v>
      </c>
      <c r="P65" s="85"/>
      <c r="Q65" s="193">
        <f t="shared" si="1"/>
        <v>6392.530000000001</v>
      </c>
    </row>
    <row r="66" spans="1:17" ht="12.75" hidden="1">
      <c r="A66" s="45" t="s">
        <v>42</v>
      </c>
      <c r="B66" s="97"/>
      <c r="C66" s="121"/>
      <c r="D66" s="119"/>
      <c r="E66" s="119"/>
      <c r="F66" s="120">
        <f t="shared" si="13"/>
        <v>0</v>
      </c>
      <c r="G66" s="202"/>
      <c r="H66" s="203"/>
      <c r="I66" s="201">
        <f t="shared" si="14"/>
        <v>0</v>
      </c>
      <c r="J66" s="202"/>
      <c r="K66" s="7"/>
      <c r="L66" s="201">
        <f t="shared" si="15"/>
        <v>0</v>
      </c>
      <c r="M66" s="29"/>
      <c r="N66" s="7"/>
      <c r="O66" s="30">
        <f t="shared" si="16"/>
        <v>0</v>
      </c>
      <c r="P66" s="91"/>
      <c r="Q66" s="193">
        <f t="shared" si="1"/>
        <v>0</v>
      </c>
    </row>
    <row r="67" spans="1:17" ht="12.75">
      <c r="A67" s="45" t="s">
        <v>43</v>
      </c>
      <c r="B67" s="97"/>
      <c r="C67" s="121"/>
      <c r="D67" s="119"/>
      <c r="E67" s="119"/>
      <c r="F67" s="120">
        <f t="shared" si="13"/>
        <v>0</v>
      </c>
      <c r="G67" s="202">
        <f>88+234.2</f>
        <v>322.2</v>
      </c>
      <c r="H67" s="203"/>
      <c r="I67" s="201">
        <f t="shared" si="14"/>
        <v>322.2</v>
      </c>
      <c r="J67" s="222"/>
      <c r="K67" s="7"/>
      <c r="L67" s="201">
        <f t="shared" si="15"/>
        <v>322.2</v>
      </c>
      <c r="M67" s="29"/>
      <c r="N67" s="7"/>
      <c r="O67" s="30">
        <f t="shared" si="16"/>
        <v>322.2</v>
      </c>
      <c r="P67" s="85"/>
      <c r="Q67" s="193">
        <f t="shared" si="1"/>
        <v>322.2</v>
      </c>
    </row>
    <row r="68" spans="1:17" ht="12.75" hidden="1">
      <c r="A68" s="45" t="s">
        <v>249</v>
      </c>
      <c r="B68" s="97"/>
      <c r="C68" s="121"/>
      <c r="D68" s="119"/>
      <c r="E68" s="119"/>
      <c r="F68" s="120">
        <f t="shared" si="13"/>
        <v>0</v>
      </c>
      <c r="G68" s="202"/>
      <c r="H68" s="203"/>
      <c r="I68" s="201">
        <f t="shared" si="14"/>
        <v>0</v>
      </c>
      <c r="J68" s="222"/>
      <c r="K68" s="7"/>
      <c r="L68" s="201"/>
      <c r="M68" s="29"/>
      <c r="N68" s="7"/>
      <c r="O68" s="30"/>
      <c r="P68" s="85"/>
      <c r="Q68" s="193"/>
    </row>
    <row r="69" spans="1:17" ht="12.75" hidden="1">
      <c r="A69" s="45" t="s">
        <v>183</v>
      </c>
      <c r="B69" s="97"/>
      <c r="C69" s="121"/>
      <c r="D69" s="119"/>
      <c r="E69" s="119"/>
      <c r="F69" s="120">
        <f t="shared" si="13"/>
        <v>0</v>
      </c>
      <c r="G69" s="202"/>
      <c r="H69" s="203"/>
      <c r="I69" s="201">
        <f t="shared" si="14"/>
        <v>0</v>
      </c>
      <c r="J69" s="222"/>
      <c r="K69" s="7"/>
      <c r="L69" s="201"/>
      <c r="M69" s="29"/>
      <c r="N69" s="7"/>
      <c r="O69" s="30">
        <f t="shared" si="16"/>
        <v>0</v>
      </c>
      <c r="P69" s="85"/>
      <c r="Q69" s="193">
        <f t="shared" si="1"/>
        <v>0</v>
      </c>
    </row>
    <row r="70" spans="1:17" ht="12.75" hidden="1">
      <c r="A70" s="45" t="s">
        <v>44</v>
      </c>
      <c r="B70" s="97"/>
      <c r="C70" s="121"/>
      <c r="D70" s="119"/>
      <c r="E70" s="119"/>
      <c r="F70" s="120">
        <f t="shared" si="13"/>
        <v>0</v>
      </c>
      <c r="G70" s="202"/>
      <c r="H70" s="203"/>
      <c r="I70" s="201">
        <f t="shared" si="14"/>
        <v>0</v>
      </c>
      <c r="J70" s="202"/>
      <c r="K70" s="7"/>
      <c r="L70" s="201">
        <f t="shared" si="15"/>
        <v>0</v>
      </c>
      <c r="M70" s="29"/>
      <c r="N70" s="7"/>
      <c r="O70" s="30">
        <f t="shared" si="16"/>
        <v>0</v>
      </c>
      <c r="P70" s="85"/>
      <c r="Q70" s="193">
        <f t="shared" si="1"/>
        <v>0</v>
      </c>
    </row>
    <row r="71" spans="1:17" ht="12.75" hidden="1">
      <c r="A71" s="45" t="s">
        <v>55</v>
      </c>
      <c r="B71" s="97"/>
      <c r="C71" s="121"/>
      <c r="D71" s="119"/>
      <c r="E71" s="119"/>
      <c r="F71" s="120">
        <f t="shared" si="13"/>
        <v>0</v>
      </c>
      <c r="G71" s="202"/>
      <c r="H71" s="203"/>
      <c r="I71" s="201">
        <f t="shared" si="14"/>
        <v>0</v>
      </c>
      <c r="J71" s="202"/>
      <c r="K71" s="7"/>
      <c r="L71" s="201">
        <f t="shared" si="15"/>
        <v>0</v>
      </c>
      <c r="M71" s="29"/>
      <c r="N71" s="7"/>
      <c r="O71" s="30">
        <f t="shared" si="16"/>
        <v>0</v>
      </c>
      <c r="P71" s="85"/>
      <c r="Q71" s="193">
        <f t="shared" si="1"/>
        <v>0</v>
      </c>
    </row>
    <row r="72" spans="1:17" ht="12.75">
      <c r="A72" s="45" t="s">
        <v>45</v>
      </c>
      <c r="B72" s="97"/>
      <c r="C72" s="121"/>
      <c r="D72" s="119"/>
      <c r="E72" s="119"/>
      <c r="F72" s="120">
        <f t="shared" si="13"/>
        <v>0</v>
      </c>
      <c r="G72" s="202">
        <f>9200</f>
        <v>9200</v>
      </c>
      <c r="H72" s="203"/>
      <c r="I72" s="201">
        <f t="shared" si="14"/>
        <v>9200</v>
      </c>
      <c r="J72" s="202">
        <f>24230</f>
        <v>24230</v>
      </c>
      <c r="K72" s="7"/>
      <c r="L72" s="201">
        <f t="shared" si="15"/>
        <v>33430</v>
      </c>
      <c r="M72" s="29"/>
      <c r="N72" s="7"/>
      <c r="O72" s="30">
        <f t="shared" si="16"/>
        <v>33430</v>
      </c>
      <c r="P72" s="85"/>
      <c r="Q72" s="193">
        <f t="shared" si="1"/>
        <v>33430</v>
      </c>
    </row>
    <row r="73" spans="1:17" ht="12.75" hidden="1">
      <c r="A73" s="45" t="s">
        <v>46</v>
      </c>
      <c r="B73" s="97"/>
      <c r="C73" s="121"/>
      <c r="D73" s="119"/>
      <c r="E73" s="119"/>
      <c r="F73" s="120">
        <f t="shared" si="13"/>
        <v>0</v>
      </c>
      <c r="G73" s="202"/>
      <c r="H73" s="203"/>
      <c r="I73" s="201">
        <f t="shared" si="14"/>
        <v>0</v>
      </c>
      <c r="J73" s="202"/>
      <c r="K73" s="7"/>
      <c r="L73" s="201">
        <f t="shared" si="15"/>
        <v>0</v>
      </c>
      <c r="M73" s="29"/>
      <c r="N73" s="7"/>
      <c r="O73" s="30">
        <f t="shared" si="16"/>
        <v>0</v>
      </c>
      <c r="P73" s="85"/>
      <c r="Q73" s="193">
        <f t="shared" si="1"/>
        <v>0</v>
      </c>
    </row>
    <row r="74" spans="1:17" ht="12.75">
      <c r="A74" s="45" t="s">
        <v>47</v>
      </c>
      <c r="B74" s="97"/>
      <c r="C74" s="121">
        <v>250</v>
      </c>
      <c r="D74" s="119"/>
      <c r="E74" s="119"/>
      <c r="F74" s="120">
        <f t="shared" si="13"/>
        <v>250</v>
      </c>
      <c r="G74" s="202">
        <f>1211.16</f>
        <v>1211.16</v>
      </c>
      <c r="H74" s="203"/>
      <c r="I74" s="201">
        <f t="shared" si="14"/>
        <v>1461.16</v>
      </c>
      <c r="J74" s="202">
        <f>413.71</f>
        <v>413.71</v>
      </c>
      <c r="K74" s="7"/>
      <c r="L74" s="201">
        <f t="shared" si="15"/>
        <v>1874.8700000000001</v>
      </c>
      <c r="M74" s="29"/>
      <c r="N74" s="7"/>
      <c r="O74" s="30">
        <f t="shared" si="16"/>
        <v>1874.8700000000001</v>
      </c>
      <c r="P74" s="85"/>
      <c r="Q74" s="193">
        <f t="shared" si="1"/>
        <v>1874.8700000000001</v>
      </c>
    </row>
    <row r="75" spans="1:17" ht="12.75" hidden="1">
      <c r="A75" s="45" t="s">
        <v>188</v>
      </c>
      <c r="B75" s="97"/>
      <c r="C75" s="121"/>
      <c r="D75" s="119"/>
      <c r="E75" s="119"/>
      <c r="F75" s="120">
        <f t="shared" si="13"/>
        <v>0</v>
      </c>
      <c r="G75" s="202"/>
      <c r="H75" s="203"/>
      <c r="I75" s="201"/>
      <c r="J75" s="202"/>
      <c r="K75" s="7"/>
      <c r="L75" s="201">
        <f t="shared" si="15"/>
        <v>0</v>
      </c>
      <c r="M75" s="29"/>
      <c r="N75" s="7"/>
      <c r="O75" s="30">
        <f t="shared" si="16"/>
        <v>0</v>
      </c>
      <c r="P75" s="85"/>
      <c r="Q75" s="193">
        <f t="shared" si="1"/>
        <v>0</v>
      </c>
    </row>
    <row r="76" spans="1:17" ht="12.75" hidden="1">
      <c r="A76" s="46" t="s">
        <v>48</v>
      </c>
      <c r="B76" s="98"/>
      <c r="C76" s="122">
        <f>SUM(C78:C80)</f>
        <v>0</v>
      </c>
      <c r="D76" s="123">
        <f>SUM(D78:D80)</f>
        <v>0</v>
      </c>
      <c r="E76" s="123">
        <f>SUM(E78:E80)</f>
        <v>0</v>
      </c>
      <c r="F76" s="124">
        <f>SUM(F78:F80)</f>
        <v>0</v>
      </c>
      <c r="G76" s="206"/>
      <c r="H76" s="207"/>
      <c r="I76" s="208">
        <f>SUM(I78:I80)</f>
        <v>0</v>
      </c>
      <c r="J76" s="206"/>
      <c r="K76" s="8"/>
      <c r="L76" s="208">
        <f>SUM(L78:L80)</f>
        <v>0</v>
      </c>
      <c r="M76" s="31"/>
      <c r="N76" s="8"/>
      <c r="O76" s="32">
        <f>SUM(O78:O80)</f>
        <v>0</v>
      </c>
      <c r="P76" s="86"/>
      <c r="Q76" s="32">
        <f>SUM(Q78:Q80)</f>
        <v>0</v>
      </c>
    </row>
    <row r="77" spans="1:17" ht="12.75" hidden="1">
      <c r="A77" s="43" t="s">
        <v>33</v>
      </c>
      <c r="B77" s="95"/>
      <c r="C77" s="121"/>
      <c r="D77" s="119"/>
      <c r="E77" s="119"/>
      <c r="F77" s="120"/>
      <c r="G77" s="202"/>
      <c r="H77" s="203"/>
      <c r="I77" s="201"/>
      <c r="J77" s="202"/>
      <c r="K77" s="7"/>
      <c r="L77" s="201"/>
      <c r="M77" s="29"/>
      <c r="N77" s="7"/>
      <c r="O77" s="30">
        <f>L77+M77+N77</f>
        <v>0</v>
      </c>
      <c r="P77" s="85"/>
      <c r="Q77" s="193"/>
    </row>
    <row r="78" spans="1:17" ht="12.75" hidden="1">
      <c r="A78" s="45" t="s">
        <v>49</v>
      </c>
      <c r="B78" s="97"/>
      <c r="C78" s="121"/>
      <c r="D78" s="119"/>
      <c r="E78" s="119"/>
      <c r="F78" s="120">
        <f>C78+D78+E78</f>
        <v>0</v>
      </c>
      <c r="G78" s="202"/>
      <c r="H78" s="203"/>
      <c r="I78" s="201">
        <f>F78+G78+H78</f>
        <v>0</v>
      </c>
      <c r="J78" s="202"/>
      <c r="K78" s="7"/>
      <c r="L78" s="201">
        <f>I78+J78+K78</f>
        <v>0</v>
      </c>
      <c r="M78" s="29"/>
      <c r="N78" s="7"/>
      <c r="O78" s="30">
        <f>L78+M78+N78</f>
        <v>0</v>
      </c>
      <c r="P78" s="85"/>
      <c r="Q78" s="193">
        <f t="shared" si="1"/>
        <v>0</v>
      </c>
    </row>
    <row r="79" spans="1:17" ht="12.75" hidden="1">
      <c r="A79" s="45" t="s">
        <v>50</v>
      </c>
      <c r="B79" s="97"/>
      <c r="C79" s="121"/>
      <c r="D79" s="119"/>
      <c r="E79" s="119"/>
      <c r="F79" s="120">
        <f>C79+D79+E79</f>
        <v>0</v>
      </c>
      <c r="G79" s="202"/>
      <c r="H79" s="203"/>
      <c r="I79" s="201">
        <f>F79+G79+H79</f>
        <v>0</v>
      </c>
      <c r="J79" s="202"/>
      <c r="K79" s="7"/>
      <c r="L79" s="201">
        <f>I79+J79+K79</f>
        <v>0</v>
      </c>
      <c r="M79" s="29"/>
      <c r="N79" s="7"/>
      <c r="O79" s="30">
        <f>L79+M79+N79</f>
        <v>0</v>
      </c>
      <c r="P79" s="85"/>
      <c r="Q79" s="193">
        <f t="shared" si="1"/>
        <v>0</v>
      </c>
    </row>
    <row r="80" spans="1:17" ht="12.75" hidden="1">
      <c r="A80" s="45" t="s">
        <v>51</v>
      </c>
      <c r="B80" s="97"/>
      <c r="C80" s="121"/>
      <c r="D80" s="119"/>
      <c r="E80" s="119"/>
      <c r="F80" s="120">
        <f>C80+D80+E80</f>
        <v>0</v>
      </c>
      <c r="G80" s="202"/>
      <c r="H80" s="203"/>
      <c r="I80" s="201">
        <f>F80+G80+H80</f>
        <v>0</v>
      </c>
      <c r="J80" s="202"/>
      <c r="K80" s="7"/>
      <c r="L80" s="201">
        <f>I80+J80+K80</f>
        <v>0</v>
      </c>
      <c r="M80" s="29"/>
      <c r="N80" s="7"/>
      <c r="O80" s="30">
        <f>L80+M80+N80</f>
        <v>0</v>
      </c>
      <c r="P80" s="85"/>
      <c r="Q80" s="193">
        <f t="shared" si="1"/>
        <v>0</v>
      </c>
    </row>
    <row r="81" spans="1:17" ht="12.75">
      <c r="A81" s="42" t="s">
        <v>52</v>
      </c>
      <c r="B81" s="94"/>
      <c r="C81" s="116">
        <f>SUM(C83:C95)</f>
        <v>0</v>
      </c>
      <c r="D81" s="117">
        <f>SUM(D83:D95)</f>
        <v>145142.7</v>
      </c>
      <c r="E81" s="117">
        <f>SUM(E83:E95)</f>
        <v>0</v>
      </c>
      <c r="F81" s="118">
        <f>SUM(F83:F95)</f>
        <v>145142.7</v>
      </c>
      <c r="G81" s="198">
        <f aca="true" t="shared" si="17" ref="G81:Q81">SUM(G83:G95)</f>
        <v>345343.42000000004</v>
      </c>
      <c r="H81" s="199">
        <f t="shared" si="17"/>
        <v>0</v>
      </c>
      <c r="I81" s="200">
        <f t="shared" si="17"/>
        <v>490486.12000000005</v>
      </c>
      <c r="J81" s="198">
        <f t="shared" si="17"/>
        <v>214517.12</v>
      </c>
      <c r="K81" s="117">
        <f t="shared" si="17"/>
        <v>0</v>
      </c>
      <c r="L81" s="200">
        <f t="shared" si="17"/>
        <v>705003.24</v>
      </c>
      <c r="M81" s="116">
        <f t="shared" si="17"/>
        <v>0</v>
      </c>
      <c r="N81" s="117">
        <f t="shared" si="17"/>
        <v>0</v>
      </c>
      <c r="O81" s="118">
        <f t="shared" si="17"/>
        <v>705003.24</v>
      </c>
      <c r="P81" s="116">
        <f t="shared" si="17"/>
        <v>0</v>
      </c>
      <c r="Q81" s="118">
        <f t="shared" si="17"/>
        <v>705003.24</v>
      </c>
    </row>
    <row r="82" spans="1:17" ht="12.75">
      <c r="A82" s="47" t="s">
        <v>33</v>
      </c>
      <c r="B82" s="99"/>
      <c r="C82" s="121"/>
      <c r="D82" s="119"/>
      <c r="E82" s="119"/>
      <c r="F82" s="120"/>
      <c r="G82" s="202"/>
      <c r="H82" s="203"/>
      <c r="I82" s="201"/>
      <c r="J82" s="202"/>
      <c r="K82" s="7"/>
      <c r="L82" s="201"/>
      <c r="M82" s="29"/>
      <c r="N82" s="7"/>
      <c r="O82" s="30"/>
      <c r="P82" s="85"/>
      <c r="Q82" s="193"/>
    </row>
    <row r="83" spans="1:17" ht="12.75">
      <c r="A83" s="45" t="s">
        <v>36</v>
      </c>
      <c r="B83" s="97"/>
      <c r="C83" s="121"/>
      <c r="D83" s="119"/>
      <c r="E83" s="119"/>
      <c r="F83" s="120">
        <f aca="true" t="shared" si="18" ref="F83:F95">C83+D83+E83</f>
        <v>0</v>
      </c>
      <c r="G83" s="202">
        <f>149</f>
        <v>149</v>
      </c>
      <c r="H83" s="203"/>
      <c r="I83" s="201">
        <f>F83+G83+H83</f>
        <v>149</v>
      </c>
      <c r="J83" s="202"/>
      <c r="K83" s="7"/>
      <c r="L83" s="201">
        <f>I83+J83+K83</f>
        <v>149</v>
      </c>
      <c r="M83" s="29"/>
      <c r="N83" s="7"/>
      <c r="O83" s="30">
        <f>L83+M83+N83</f>
        <v>149</v>
      </c>
      <c r="P83" s="85"/>
      <c r="Q83" s="193">
        <f t="shared" si="1"/>
        <v>149</v>
      </c>
    </row>
    <row r="84" spans="1:17" ht="12.75" hidden="1">
      <c r="A84" s="49" t="s">
        <v>37</v>
      </c>
      <c r="B84" s="100"/>
      <c r="C84" s="121"/>
      <c r="D84" s="119"/>
      <c r="E84" s="119"/>
      <c r="F84" s="120">
        <f t="shared" si="18"/>
        <v>0</v>
      </c>
      <c r="G84" s="202"/>
      <c r="H84" s="203"/>
      <c r="I84" s="201">
        <f aca="true" t="shared" si="19" ref="I84:I95">F84+G84+H84</f>
        <v>0</v>
      </c>
      <c r="J84" s="202"/>
      <c r="K84" s="7"/>
      <c r="L84" s="201">
        <f aca="true" t="shared" si="20" ref="L84:L95">I84+J84+K84</f>
        <v>0</v>
      </c>
      <c r="M84" s="29"/>
      <c r="N84" s="7"/>
      <c r="O84" s="30">
        <f aca="true" t="shared" si="21" ref="O84:O95">L84+M84+N84</f>
        <v>0</v>
      </c>
      <c r="P84" s="85"/>
      <c r="Q84" s="193">
        <f t="shared" si="1"/>
        <v>0</v>
      </c>
    </row>
    <row r="85" spans="1:17" ht="12.75" hidden="1">
      <c r="A85" s="49" t="s">
        <v>35</v>
      </c>
      <c r="B85" s="100"/>
      <c r="C85" s="121"/>
      <c r="D85" s="119"/>
      <c r="E85" s="119"/>
      <c r="F85" s="120">
        <f t="shared" si="18"/>
        <v>0</v>
      </c>
      <c r="G85" s="202"/>
      <c r="H85" s="203"/>
      <c r="I85" s="201">
        <f t="shared" si="19"/>
        <v>0</v>
      </c>
      <c r="J85" s="202"/>
      <c r="K85" s="7"/>
      <c r="L85" s="201">
        <f t="shared" si="20"/>
        <v>0</v>
      </c>
      <c r="M85" s="29"/>
      <c r="N85" s="7"/>
      <c r="O85" s="30">
        <f t="shared" si="21"/>
        <v>0</v>
      </c>
      <c r="P85" s="85"/>
      <c r="Q85" s="193">
        <f t="shared" si="1"/>
        <v>0</v>
      </c>
    </row>
    <row r="86" spans="1:17" ht="12.75">
      <c r="A86" s="49" t="s">
        <v>53</v>
      </c>
      <c r="B86" s="100"/>
      <c r="C86" s="121"/>
      <c r="D86" s="119"/>
      <c r="E86" s="119"/>
      <c r="F86" s="120">
        <f t="shared" si="18"/>
        <v>0</v>
      </c>
      <c r="G86" s="202"/>
      <c r="H86" s="203"/>
      <c r="I86" s="201">
        <f t="shared" si="19"/>
        <v>0</v>
      </c>
      <c r="J86" s="202">
        <f>232.99+850.58+48389.17</f>
        <v>49472.74</v>
      </c>
      <c r="K86" s="7"/>
      <c r="L86" s="201">
        <f t="shared" si="20"/>
        <v>49472.74</v>
      </c>
      <c r="M86" s="29"/>
      <c r="N86" s="7"/>
      <c r="O86" s="30">
        <f t="shared" si="21"/>
        <v>49472.74</v>
      </c>
      <c r="P86" s="85"/>
      <c r="Q86" s="193">
        <f t="shared" si="1"/>
        <v>49472.74</v>
      </c>
    </row>
    <row r="87" spans="1:17" ht="12.75">
      <c r="A87" s="45" t="s">
        <v>38</v>
      </c>
      <c r="B87" s="97"/>
      <c r="C87" s="121"/>
      <c r="D87" s="119">
        <f>6918.64+11340.81+7316.8+5994.23+6188.99</f>
        <v>37759.47</v>
      </c>
      <c r="E87" s="119"/>
      <c r="F87" s="120">
        <f t="shared" si="18"/>
        <v>37759.47</v>
      </c>
      <c r="G87" s="202">
        <f>4759.19+4414.57+9320.91+17006.27+8370.9+14982.04</f>
        <v>58853.880000000005</v>
      </c>
      <c r="H87" s="203"/>
      <c r="I87" s="201">
        <f t="shared" si="19"/>
        <v>96613.35</v>
      </c>
      <c r="J87" s="202">
        <f>15548.49+19898.24+29539.05</f>
        <v>64985.78</v>
      </c>
      <c r="K87" s="7"/>
      <c r="L87" s="201">
        <f t="shared" si="20"/>
        <v>161599.13</v>
      </c>
      <c r="M87" s="29"/>
      <c r="N87" s="7"/>
      <c r="O87" s="30">
        <f t="shared" si="21"/>
        <v>161599.13</v>
      </c>
      <c r="P87" s="85"/>
      <c r="Q87" s="193">
        <f aca="true" t="shared" si="22" ref="Q87:Q147">O87+P87</f>
        <v>161599.13</v>
      </c>
    </row>
    <row r="88" spans="1:17" ht="12.75" hidden="1">
      <c r="A88" s="45" t="s">
        <v>273</v>
      </c>
      <c r="B88" s="97"/>
      <c r="C88" s="121"/>
      <c r="D88" s="119"/>
      <c r="E88" s="119"/>
      <c r="F88" s="120">
        <f t="shared" si="18"/>
        <v>0</v>
      </c>
      <c r="G88" s="202"/>
      <c r="H88" s="203"/>
      <c r="I88" s="201">
        <f t="shared" si="19"/>
        <v>0</v>
      </c>
      <c r="J88" s="202"/>
      <c r="K88" s="7"/>
      <c r="L88" s="201">
        <f t="shared" si="20"/>
        <v>0</v>
      </c>
      <c r="M88" s="29"/>
      <c r="N88" s="7"/>
      <c r="O88" s="30"/>
      <c r="P88" s="85"/>
      <c r="Q88" s="193"/>
    </row>
    <row r="89" spans="1:17" ht="12.75">
      <c r="A89" s="45" t="s">
        <v>182</v>
      </c>
      <c r="B89" s="97"/>
      <c r="C89" s="121"/>
      <c r="D89" s="119">
        <f>53677.67</f>
        <v>53677.67</v>
      </c>
      <c r="E89" s="119"/>
      <c r="F89" s="120">
        <f t="shared" si="18"/>
        <v>53677.67</v>
      </c>
      <c r="G89" s="202">
        <f>43066.9</f>
        <v>43066.9</v>
      </c>
      <c r="H89" s="203"/>
      <c r="I89" s="201">
        <f t="shared" si="19"/>
        <v>96744.57</v>
      </c>
      <c r="J89" s="202">
        <f>1083.11+96650.49</f>
        <v>97733.6</v>
      </c>
      <c r="K89" s="7"/>
      <c r="L89" s="201">
        <f t="shared" si="20"/>
        <v>194478.17</v>
      </c>
      <c r="M89" s="29"/>
      <c r="N89" s="7"/>
      <c r="O89" s="30">
        <f t="shared" si="21"/>
        <v>194478.17</v>
      </c>
      <c r="P89" s="85"/>
      <c r="Q89" s="193">
        <f t="shared" si="22"/>
        <v>194478.17</v>
      </c>
    </row>
    <row r="90" spans="1:17" ht="12.75" hidden="1">
      <c r="A90" s="45" t="s">
        <v>183</v>
      </c>
      <c r="B90" s="97"/>
      <c r="C90" s="121"/>
      <c r="D90" s="119"/>
      <c r="E90" s="119"/>
      <c r="F90" s="120">
        <f t="shared" si="18"/>
        <v>0</v>
      </c>
      <c r="G90" s="202"/>
      <c r="H90" s="203"/>
      <c r="I90" s="201">
        <f t="shared" si="19"/>
        <v>0</v>
      </c>
      <c r="J90" s="202"/>
      <c r="K90" s="7"/>
      <c r="L90" s="201">
        <f t="shared" si="20"/>
        <v>0</v>
      </c>
      <c r="M90" s="29"/>
      <c r="N90" s="7"/>
      <c r="O90" s="30">
        <f t="shared" si="21"/>
        <v>0</v>
      </c>
      <c r="P90" s="85"/>
      <c r="Q90" s="193">
        <f t="shared" si="22"/>
        <v>0</v>
      </c>
    </row>
    <row r="91" spans="1:17" ht="12.75">
      <c r="A91" s="45" t="s">
        <v>54</v>
      </c>
      <c r="B91" s="97"/>
      <c r="C91" s="121"/>
      <c r="D91" s="119">
        <f>52007</f>
        <v>52007</v>
      </c>
      <c r="E91" s="119"/>
      <c r="F91" s="120">
        <f t="shared" si="18"/>
        <v>52007</v>
      </c>
      <c r="G91" s="202">
        <f>185316</f>
        <v>185316</v>
      </c>
      <c r="H91" s="203"/>
      <c r="I91" s="201">
        <f t="shared" si="19"/>
        <v>237323</v>
      </c>
      <c r="J91" s="202">
        <f>2325</f>
        <v>2325</v>
      </c>
      <c r="K91" s="7"/>
      <c r="L91" s="201">
        <f t="shared" si="20"/>
        <v>239648</v>
      </c>
      <c r="M91" s="29"/>
      <c r="N91" s="7"/>
      <c r="O91" s="30">
        <f t="shared" si="21"/>
        <v>239648</v>
      </c>
      <c r="P91" s="85"/>
      <c r="Q91" s="193">
        <f t="shared" si="22"/>
        <v>239648</v>
      </c>
    </row>
    <row r="92" spans="1:17" ht="12.75" hidden="1">
      <c r="A92" s="45" t="s">
        <v>55</v>
      </c>
      <c r="B92" s="97"/>
      <c r="C92" s="121"/>
      <c r="D92" s="119"/>
      <c r="E92" s="119"/>
      <c r="F92" s="120">
        <f t="shared" si="18"/>
        <v>0</v>
      </c>
      <c r="G92" s="202"/>
      <c r="H92" s="203"/>
      <c r="I92" s="201">
        <f t="shared" si="19"/>
        <v>0</v>
      </c>
      <c r="J92" s="202"/>
      <c r="K92" s="7"/>
      <c r="L92" s="201">
        <f t="shared" si="20"/>
        <v>0</v>
      </c>
      <c r="M92" s="29"/>
      <c r="N92" s="7"/>
      <c r="O92" s="30">
        <f t="shared" si="21"/>
        <v>0</v>
      </c>
      <c r="P92" s="85"/>
      <c r="Q92" s="193">
        <f t="shared" si="22"/>
        <v>0</v>
      </c>
    </row>
    <row r="93" spans="1:17" ht="12.75">
      <c r="A93" s="45" t="s">
        <v>56</v>
      </c>
      <c r="B93" s="97"/>
      <c r="C93" s="121"/>
      <c r="D93" s="119">
        <f>1698.56</f>
        <v>1698.56</v>
      </c>
      <c r="E93" s="119"/>
      <c r="F93" s="120">
        <f t="shared" si="18"/>
        <v>1698.56</v>
      </c>
      <c r="G93" s="202">
        <f>57957.64</f>
        <v>57957.64</v>
      </c>
      <c r="H93" s="203"/>
      <c r="I93" s="201">
        <f t="shared" si="19"/>
        <v>59656.2</v>
      </c>
      <c r="J93" s="202"/>
      <c r="K93" s="7"/>
      <c r="L93" s="201">
        <f t="shared" si="20"/>
        <v>59656.2</v>
      </c>
      <c r="M93" s="29"/>
      <c r="N93" s="7"/>
      <c r="O93" s="30">
        <f t="shared" si="21"/>
        <v>59656.2</v>
      </c>
      <c r="P93" s="85"/>
      <c r="Q93" s="193">
        <f t="shared" si="22"/>
        <v>59656.2</v>
      </c>
    </row>
    <row r="94" spans="1:17" ht="12.75" hidden="1">
      <c r="A94" s="45" t="s">
        <v>42</v>
      </c>
      <c r="B94" s="97"/>
      <c r="C94" s="121"/>
      <c r="D94" s="119"/>
      <c r="E94" s="119"/>
      <c r="F94" s="120">
        <f t="shared" si="18"/>
        <v>0</v>
      </c>
      <c r="G94" s="202"/>
      <c r="H94" s="203"/>
      <c r="I94" s="201">
        <f t="shared" si="19"/>
        <v>0</v>
      </c>
      <c r="J94" s="202"/>
      <c r="K94" s="7"/>
      <c r="L94" s="201">
        <f t="shared" si="20"/>
        <v>0</v>
      </c>
      <c r="M94" s="29"/>
      <c r="N94" s="7"/>
      <c r="O94" s="30">
        <f t="shared" si="21"/>
        <v>0</v>
      </c>
      <c r="P94" s="91"/>
      <c r="Q94" s="193">
        <f t="shared" si="22"/>
        <v>0</v>
      </c>
    </row>
    <row r="95" spans="1:17" ht="12.75" hidden="1">
      <c r="A95" s="45" t="s">
        <v>188</v>
      </c>
      <c r="B95" s="97"/>
      <c r="C95" s="121"/>
      <c r="D95" s="119"/>
      <c r="E95" s="119"/>
      <c r="F95" s="120">
        <f t="shared" si="18"/>
        <v>0</v>
      </c>
      <c r="G95" s="202"/>
      <c r="H95" s="203"/>
      <c r="I95" s="201">
        <f t="shared" si="19"/>
        <v>0</v>
      </c>
      <c r="J95" s="202"/>
      <c r="K95" s="7"/>
      <c r="L95" s="201">
        <f t="shared" si="20"/>
        <v>0</v>
      </c>
      <c r="M95" s="29"/>
      <c r="N95" s="7"/>
      <c r="O95" s="30">
        <f t="shared" si="21"/>
        <v>0</v>
      </c>
      <c r="P95" s="85"/>
      <c r="Q95" s="193">
        <f t="shared" si="22"/>
        <v>0</v>
      </c>
    </row>
    <row r="96" spans="1:17" ht="15" customHeight="1" hidden="1">
      <c r="A96" s="46" t="s">
        <v>57</v>
      </c>
      <c r="B96" s="98"/>
      <c r="C96" s="122">
        <f>SUM(C98:C100)</f>
        <v>0</v>
      </c>
      <c r="D96" s="123">
        <f>SUM(D98:D100)</f>
        <v>0</v>
      </c>
      <c r="E96" s="123">
        <f>SUM(E98:E100)</f>
        <v>0</v>
      </c>
      <c r="F96" s="124">
        <f>SUM(F98:F100)</f>
        <v>0</v>
      </c>
      <c r="G96" s="206"/>
      <c r="H96" s="207"/>
      <c r="I96" s="208">
        <f>SUM(I98:I100)</f>
        <v>0</v>
      </c>
      <c r="J96" s="206"/>
      <c r="K96" s="8"/>
      <c r="L96" s="208">
        <f>SUM(L98:L100)</f>
        <v>0</v>
      </c>
      <c r="M96" s="31"/>
      <c r="N96" s="8"/>
      <c r="O96" s="32">
        <f>SUM(O98:O100)</f>
        <v>0</v>
      </c>
      <c r="P96" s="86"/>
      <c r="Q96" s="32">
        <f>SUM(Q98:Q100)</f>
        <v>0</v>
      </c>
    </row>
    <row r="97" spans="1:17" ht="12.75" hidden="1">
      <c r="A97" s="43" t="s">
        <v>33</v>
      </c>
      <c r="B97" s="95"/>
      <c r="C97" s="121"/>
      <c r="D97" s="119"/>
      <c r="E97" s="119"/>
      <c r="F97" s="120"/>
      <c r="G97" s="202"/>
      <c r="H97" s="203"/>
      <c r="I97" s="201"/>
      <c r="J97" s="202"/>
      <c r="K97" s="7"/>
      <c r="L97" s="201"/>
      <c r="M97" s="29"/>
      <c r="N97" s="7"/>
      <c r="O97" s="30"/>
      <c r="P97" s="85"/>
      <c r="Q97" s="193"/>
    </row>
    <row r="98" spans="1:17" ht="12.75" hidden="1">
      <c r="A98" s="45" t="s">
        <v>58</v>
      </c>
      <c r="B98" s="97"/>
      <c r="C98" s="121"/>
      <c r="D98" s="119"/>
      <c r="E98" s="119"/>
      <c r="F98" s="120">
        <f>C98+D98+E98</f>
        <v>0</v>
      </c>
      <c r="G98" s="202"/>
      <c r="H98" s="203"/>
      <c r="I98" s="201">
        <f>F98+G98+H98</f>
        <v>0</v>
      </c>
      <c r="J98" s="202"/>
      <c r="K98" s="7"/>
      <c r="L98" s="201">
        <f>I98+J98+K98</f>
        <v>0</v>
      </c>
      <c r="M98" s="29"/>
      <c r="N98" s="7"/>
      <c r="O98" s="30">
        <f>L98+M98+N98</f>
        <v>0</v>
      </c>
      <c r="P98" s="85"/>
      <c r="Q98" s="193">
        <f t="shared" si="22"/>
        <v>0</v>
      </c>
    </row>
    <row r="99" spans="1:17" ht="12.75" hidden="1">
      <c r="A99" s="45" t="s">
        <v>30</v>
      </c>
      <c r="B99" s="97"/>
      <c r="C99" s="121"/>
      <c r="D99" s="119"/>
      <c r="E99" s="119"/>
      <c r="F99" s="120">
        <f>C99+D99+E99</f>
        <v>0</v>
      </c>
      <c r="G99" s="202"/>
      <c r="H99" s="203"/>
      <c r="I99" s="201">
        <f>F99+G99+H99</f>
        <v>0</v>
      </c>
      <c r="J99" s="202"/>
      <c r="K99" s="7"/>
      <c r="L99" s="201">
        <f>I99+J99+K99</f>
        <v>0</v>
      </c>
      <c r="M99" s="29"/>
      <c r="N99" s="7"/>
      <c r="O99" s="30">
        <f>L99+M99+N99</f>
        <v>0</v>
      </c>
      <c r="P99" s="85"/>
      <c r="Q99" s="193">
        <f t="shared" si="22"/>
        <v>0</v>
      </c>
    </row>
    <row r="100" spans="1:17" ht="12.75" hidden="1">
      <c r="A100" s="45" t="s">
        <v>50</v>
      </c>
      <c r="B100" s="97"/>
      <c r="C100" s="121"/>
      <c r="D100" s="119"/>
      <c r="E100" s="119"/>
      <c r="F100" s="120">
        <f>C100+D100+E100</f>
        <v>0</v>
      </c>
      <c r="G100" s="202"/>
      <c r="H100" s="203"/>
      <c r="I100" s="201">
        <f>F100+G100+H100</f>
        <v>0</v>
      </c>
      <c r="J100" s="202"/>
      <c r="K100" s="7"/>
      <c r="L100" s="201">
        <f>I100+J100+K100</f>
        <v>0</v>
      </c>
      <c r="M100" s="29"/>
      <c r="N100" s="7"/>
      <c r="O100" s="30">
        <f>L100+M100+N100</f>
        <v>0</v>
      </c>
      <c r="P100" s="85"/>
      <c r="Q100" s="193">
        <f t="shared" si="22"/>
        <v>0</v>
      </c>
    </row>
    <row r="101" spans="1:17" ht="15.75" thickBot="1">
      <c r="A101" s="50" t="s">
        <v>59</v>
      </c>
      <c r="B101" s="101"/>
      <c r="C101" s="125">
        <f>C11+C16+C54+C81+C47+C96</f>
        <v>3896837</v>
      </c>
      <c r="D101" s="126">
        <f aca="true" t="shared" si="23" ref="D101:Q101">D11+D16+D54+D81+D47</f>
        <v>5943562.2</v>
      </c>
      <c r="E101" s="126">
        <f t="shared" si="23"/>
        <v>1800</v>
      </c>
      <c r="F101" s="127">
        <f t="shared" si="23"/>
        <v>9842199.2</v>
      </c>
      <c r="G101" s="209">
        <f t="shared" si="23"/>
        <v>877243.7200000001</v>
      </c>
      <c r="H101" s="210">
        <f t="shared" si="23"/>
        <v>41012.82</v>
      </c>
      <c r="I101" s="211">
        <f t="shared" si="23"/>
        <v>10760455.74</v>
      </c>
      <c r="J101" s="209">
        <f t="shared" si="23"/>
        <v>631982.97</v>
      </c>
      <c r="K101" s="126">
        <f t="shared" si="23"/>
        <v>0</v>
      </c>
      <c r="L101" s="211">
        <f t="shared" si="23"/>
        <v>11392438.71</v>
      </c>
      <c r="M101" s="125">
        <f t="shared" si="23"/>
        <v>0</v>
      </c>
      <c r="N101" s="126">
        <f t="shared" si="23"/>
        <v>0</v>
      </c>
      <c r="O101" s="127">
        <f t="shared" si="23"/>
        <v>7471980.5600000005</v>
      </c>
      <c r="P101" s="125">
        <f t="shared" si="23"/>
        <v>0</v>
      </c>
      <c r="Q101" s="127">
        <f t="shared" si="23"/>
        <v>7471980.5600000005</v>
      </c>
    </row>
    <row r="102" spans="1:17" ht="12.75">
      <c r="A102" s="42" t="s">
        <v>60</v>
      </c>
      <c r="B102" s="94"/>
      <c r="C102" s="116"/>
      <c r="D102" s="119"/>
      <c r="E102" s="119"/>
      <c r="F102" s="120"/>
      <c r="G102" s="202"/>
      <c r="H102" s="203"/>
      <c r="I102" s="201"/>
      <c r="J102" s="202"/>
      <c r="K102" s="7"/>
      <c r="L102" s="201"/>
      <c r="M102" s="29"/>
      <c r="N102" s="7"/>
      <c r="O102" s="30"/>
      <c r="P102" s="85"/>
      <c r="Q102" s="193"/>
    </row>
    <row r="103" spans="1:17" ht="12.75">
      <c r="A103" s="42" t="s">
        <v>61</v>
      </c>
      <c r="B103" s="104"/>
      <c r="C103" s="116">
        <f aca="true" t="shared" si="24" ref="C103:Q103">C104+C114</f>
        <v>46742</v>
      </c>
      <c r="D103" s="117">
        <f t="shared" si="24"/>
        <v>4236.76</v>
      </c>
      <c r="E103" s="117">
        <f t="shared" si="24"/>
        <v>0</v>
      </c>
      <c r="F103" s="118">
        <f t="shared" si="24"/>
        <v>50978.76</v>
      </c>
      <c r="G103" s="198">
        <f t="shared" si="24"/>
        <v>485</v>
      </c>
      <c r="H103" s="199">
        <f t="shared" si="24"/>
        <v>0</v>
      </c>
      <c r="I103" s="200">
        <f t="shared" si="24"/>
        <v>51463.76</v>
      </c>
      <c r="J103" s="198">
        <f t="shared" si="24"/>
        <v>737.73</v>
      </c>
      <c r="K103" s="117">
        <f t="shared" si="24"/>
        <v>0</v>
      </c>
      <c r="L103" s="200">
        <f t="shared" si="24"/>
        <v>52201.490000000005</v>
      </c>
      <c r="M103" s="116">
        <f t="shared" si="24"/>
        <v>0</v>
      </c>
      <c r="N103" s="117">
        <f t="shared" si="24"/>
        <v>0</v>
      </c>
      <c r="O103" s="118">
        <f t="shared" si="24"/>
        <v>52201.490000000005</v>
      </c>
      <c r="P103" s="116">
        <f t="shared" si="24"/>
        <v>0</v>
      </c>
      <c r="Q103" s="118">
        <f t="shared" si="24"/>
        <v>52201.490000000005</v>
      </c>
    </row>
    <row r="104" spans="1:17" ht="12.75">
      <c r="A104" s="51" t="s">
        <v>62</v>
      </c>
      <c r="B104" s="104"/>
      <c r="C104" s="128">
        <f aca="true" t="shared" si="25" ref="C104:Q104">SUM(C106:C113)</f>
        <v>46742</v>
      </c>
      <c r="D104" s="129">
        <f t="shared" si="25"/>
        <v>4236.76</v>
      </c>
      <c r="E104" s="129">
        <f t="shared" si="25"/>
        <v>0</v>
      </c>
      <c r="F104" s="130">
        <f t="shared" si="25"/>
        <v>50978.76</v>
      </c>
      <c r="G104" s="212">
        <f t="shared" si="25"/>
        <v>485</v>
      </c>
      <c r="H104" s="213">
        <f t="shared" si="25"/>
        <v>0</v>
      </c>
      <c r="I104" s="214">
        <f t="shared" si="25"/>
        <v>51463.76</v>
      </c>
      <c r="J104" s="212">
        <f t="shared" si="25"/>
        <v>737.73</v>
      </c>
      <c r="K104" s="129">
        <f t="shared" si="25"/>
        <v>0</v>
      </c>
      <c r="L104" s="214">
        <f t="shared" si="25"/>
        <v>52201.490000000005</v>
      </c>
      <c r="M104" s="128">
        <f t="shared" si="25"/>
        <v>0</v>
      </c>
      <c r="N104" s="129">
        <f t="shared" si="25"/>
        <v>0</v>
      </c>
      <c r="O104" s="130">
        <f t="shared" si="25"/>
        <v>52201.490000000005</v>
      </c>
      <c r="P104" s="128">
        <f t="shared" si="25"/>
        <v>0</v>
      </c>
      <c r="Q104" s="130">
        <f t="shared" si="25"/>
        <v>52201.490000000005</v>
      </c>
    </row>
    <row r="105" spans="1:17" ht="10.5" customHeight="1">
      <c r="A105" s="47" t="s">
        <v>33</v>
      </c>
      <c r="B105" s="81"/>
      <c r="C105" s="121"/>
      <c r="D105" s="119"/>
      <c r="E105" s="119"/>
      <c r="F105" s="120"/>
      <c r="G105" s="202"/>
      <c r="H105" s="203"/>
      <c r="I105" s="201"/>
      <c r="J105" s="202"/>
      <c r="K105" s="7"/>
      <c r="L105" s="201"/>
      <c r="M105" s="29"/>
      <c r="N105" s="7"/>
      <c r="O105" s="30"/>
      <c r="P105" s="85"/>
      <c r="Q105" s="193"/>
    </row>
    <row r="106" spans="1:17" ht="12.75">
      <c r="A106" s="45" t="s">
        <v>156</v>
      </c>
      <c r="B106" s="102"/>
      <c r="C106" s="121">
        <v>17854.5</v>
      </c>
      <c r="D106" s="119">
        <f>3365.95</f>
        <v>3365.95</v>
      </c>
      <c r="E106" s="119"/>
      <c r="F106" s="120">
        <f aca="true" t="shared" si="26" ref="F106:F113">C106+D106+E106</f>
        <v>21220.45</v>
      </c>
      <c r="G106" s="202"/>
      <c r="H106" s="203"/>
      <c r="I106" s="201">
        <f aca="true" t="shared" si="27" ref="I106:I113">F106+G106+H106</f>
        <v>21220.45</v>
      </c>
      <c r="J106" s="202"/>
      <c r="K106" s="7"/>
      <c r="L106" s="201">
        <f aca="true" t="shared" si="28" ref="L106:L113">I106+J106+K106</f>
        <v>21220.45</v>
      </c>
      <c r="M106" s="29"/>
      <c r="N106" s="7"/>
      <c r="O106" s="30">
        <f aca="true" t="shared" si="29" ref="O106:O113">L106+M106+N106</f>
        <v>21220.45</v>
      </c>
      <c r="P106" s="85"/>
      <c r="Q106" s="193">
        <f t="shared" si="22"/>
        <v>21220.45</v>
      </c>
    </row>
    <row r="107" spans="1:17" ht="12.75">
      <c r="A107" s="45" t="s">
        <v>63</v>
      </c>
      <c r="B107" s="102"/>
      <c r="C107" s="121">
        <v>4209</v>
      </c>
      <c r="D107" s="119">
        <f>239.77</f>
        <v>239.77</v>
      </c>
      <c r="E107" s="119"/>
      <c r="F107" s="120">
        <f t="shared" si="26"/>
        <v>4448.77</v>
      </c>
      <c r="G107" s="202"/>
      <c r="H107" s="203"/>
      <c r="I107" s="201">
        <f t="shared" si="27"/>
        <v>4448.77</v>
      </c>
      <c r="J107" s="202"/>
      <c r="K107" s="7"/>
      <c r="L107" s="201">
        <f t="shared" si="28"/>
        <v>4448.77</v>
      </c>
      <c r="M107" s="29"/>
      <c r="N107" s="7"/>
      <c r="O107" s="30">
        <f t="shared" si="29"/>
        <v>4448.77</v>
      </c>
      <c r="P107" s="85"/>
      <c r="Q107" s="193">
        <f t="shared" si="22"/>
        <v>4448.77</v>
      </c>
    </row>
    <row r="108" spans="1:17" ht="12.75">
      <c r="A108" s="45" t="s">
        <v>299</v>
      </c>
      <c r="B108" s="102"/>
      <c r="C108" s="121">
        <v>1100</v>
      </c>
      <c r="D108" s="119"/>
      <c r="E108" s="119"/>
      <c r="F108" s="120">
        <f t="shared" si="26"/>
        <v>1100</v>
      </c>
      <c r="G108" s="202">
        <f>350</f>
        <v>350</v>
      </c>
      <c r="H108" s="203"/>
      <c r="I108" s="201">
        <f t="shared" si="27"/>
        <v>1450</v>
      </c>
      <c r="J108" s="202"/>
      <c r="K108" s="7"/>
      <c r="L108" s="201">
        <f t="shared" si="28"/>
        <v>1450</v>
      </c>
      <c r="M108" s="29"/>
      <c r="N108" s="7"/>
      <c r="O108" s="30">
        <f t="shared" si="29"/>
        <v>1450</v>
      </c>
      <c r="P108" s="85"/>
      <c r="Q108" s="193">
        <f t="shared" si="22"/>
        <v>1450</v>
      </c>
    </row>
    <row r="109" spans="1:17" ht="12.75">
      <c r="A109" s="45" t="s">
        <v>64</v>
      </c>
      <c r="B109" s="102"/>
      <c r="C109" s="121">
        <v>17204.5</v>
      </c>
      <c r="D109" s="119">
        <f>537+94.04</f>
        <v>631.04</v>
      </c>
      <c r="E109" s="119"/>
      <c r="F109" s="120">
        <f t="shared" si="26"/>
        <v>17835.54</v>
      </c>
      <c r="G109" s="202">
        <f>-350-1000</f>
        <v>-1350</v>
      </c>
      <c r="H109" s="203"/>
      <c r="I109" s="201">
        <f t="shared" si="27"/>
        <v>16485.54</v>
      </c>
      <c r="J109" s="202">
        <f>-4688+737.73</f>
        <v>-3950.27</v>
      </c>
      <c r="K109" s="7"/>
      <c r="L109" s="201">
        <f t="shared" si="28"/>
        <v>12535.27</v>
      </c>
      <c r="M109" s="29"/>
      <c r="N109" s="7"/>
      <c r="O109" s="30">
        <f t="shared" si="29"/>
        <v>12535.27</v>
      </c>
      <c r="P109" s="85"/>
      <c r="Q109" s="193">
        <f t="shared" si="22"/>
        <v>12535.27</v>
      </c>
    </row>
    <row r="110" spans="1:17" ht="12.75" hidden="1">
      <c r="A110" s="45" t="s">
        <v>241</v>
      </c>
      <c r="B110" s="102">
        <v>95029</v>
      </c>
      <c r="C110" s="121"/>
      <c r="D110" s="119"/>
      <c r="E110" s="119"/>
      <c r="F110" s="120">
        <f t="shared" si="26"/>
        <v>0</v>
      </c>
      <c r="G110" s="202"/>
      <c r="H110" s="203"/>
      <c r="I110" s="201"/>
      <c r="J110" s="202"/>
      <c r="K110" s="7"/>
      <c r="L110" s="201"/>
      <c r="M110" s="29"/>
      <c r="N110" s="7"/>
      <c r="O110" s="30"/>
      <c r="P110" s="85"/>
      <c r="Q110" s="193"/>
    </row>
    <row r="111" spans="1:17" ht="12.75" hidden="1">
      <c r="A111" s="45" t="s">
        <v>91</v>
      </c>
      <c r="B111" s="102"/>
      <c r="C111" s="121"/>
      <c r="D111" s="119"/>
      <c r="E111" s="119"/>
      <c r="F111" s="120">
        <f t="shared" si="26"/>
        <v>0</v>
      </c>
      <c r="G111" s="202"/>
      <c r="H111" s="203"/>
      <c r="I111" s="201"/>
      <c r="J111" s="202"/>
      <c r="K111" s="7"/>
      <c r="L111" s="201"/>
      <c r="M111" s="29"/>
      <c r="N111" s="7"/>
      <c r="O111" s="30"/>
      <c r="P111" s="85"/>
      <c r="Q111" s="193"/>
    </row>
    <row r="112" spans="1:17" ht="12.75">
      <c r="A112" s="45" t="s">
        <v>65</v>
      </c>
      <c r="B112" s="102"/>
      <c r="C112" s="121">
        <v>500</v>
      </c>
      <c r="D112" s="119"/>
      <c r="E112" s="119"/>
      <c r="F112" s="120">
        <f t="shared" si="26"/>
        <v>500</v>
      </c>
      <c r="G112" s="202"/>
      <c r="H112" s="203"/>
      <c r="I112" s="201">
        <f t="shared" si="27"/>
        <v>500</v>
      </c>
      <c r="J112" s="202"/>
      <c r="K112" s="7"/>
      <c r="L112" s="201">
        <f t="shared" si="28"/>
        <v>500</v>
      </c>
      <c r="M112" s="29"/>
      <c r="N112" s="7"/>
      <c r="O112" s="30">
        <f t="shared" si="29"/>
        <v>500</v>
      </c>
      <c r="P112" s="85"/>
      <c r="Q112" s="193">
        <f t="shared" si="22"/>
        <v>500</v>
      </c>
    </row>
    <row r="113" spans="1:17" ht="12.75">
      <c r="A113" s="48" t="s">
        <v>66</v>
      </c>
      <c r="B113" s="105"/>
      <c r="C113" s="131">
        <v>5874</v>
      </c>
      <c r="D113" s="132"/>
      <c r="E113" s="132"/>
      <c r="F113" s="169">
        <f t="shared" si="26"/>
        <v>5874</v>
      </c>
      <c r="G113" s="215">
        <f>-35+1520</f>
        <v>1485</v>
      </c>
      <c r="H113" s="216"/>
      <c r="I113" s="217">
        <f t="shared" si="27"/>
        <v>7359</v>
      </c>
      <c r="J113" s="215">
        <f>4688</f>
        <v>4688</v>
      </c>
      <c r="K113" s="10"/>
      <c r="L113" s="217">
        <f t="shared" si="28"/>
        <v>12047</v>
      </c>
      <c r="M113" s="33"/>
      <c r="N113" s="10"/>
      <c r="O113" s="34">
        <f t="shared" si="29"/>
        <v>12047</v>
      </c>
      <c r="P113" s="90"/>
      <c r="Q113" s="194">
        <f t="shared" si="22"/>
        <v>12047</v>
      </c>
    </row>
    <row r="114" spans="1:17" ht="12.75" hidden="1">
      <c r="A114" s="52" t="s">
        <v>67</v>
      </c>
      <c r="B114" s="106"/>
      <c r="C114" s="133">
        <f>SUM(C116:C119)</f>
        <v>0</v>
      </c>
      <c r="D114" s="134">
        <f>SUM(D116:D119)</f>
        <v>0</v>
      </c>
      <c r="E114" s="134">
        <f>SUM(E116:E119)</f>
        <v>0</v>
      </c>
      <c r="F114" s="135">
        <f>SUM(F116:F119)</f>
        <v>0</v>
      </c>
      <c r="G114" s="218"/>
      <c r="H114" s="219"/>
      <c r="I114" s="220">
        <f>SUM(I116:I119)</f>
        <v>0</v>
      </c>
      <c r="J114" s="218"/>
      <c r="K114" s="12"/>
      <c r="L114" s="220">
        <f>SUM(L116:L119)</f>
        <v>0</v>
      </c>
      <c r="M114" s="37"/>
      <c r="N114" s="12"/>
      <c r="O114" s="38">
        <f>SUM(O116:O119)</f>
        <v>0</v>
      </c>
      <c r="P114" s="88"/>
      <c r="Q114" s="38">
        <f>SUM(Q116:Q119)</f>
        <v>0</v>
      </c>
    </row>
    <row r="115" spans="1:17" ht="11.25" customHeight="1" hidden="1">
      <c r="A115" s="43" t="s">
        <v>33</v>
      </c>
      <c r="B115" s="102"/>
      <c r="C115" s="122"/>
      <c r="D115" s="123"/>
      <c r="E115" s="123"/>
      <c r="F115" s="124"/>
      <c r="G115" s="206"/>
      <c r="H115" s="207"/>
      <c r="I115" s="208"/>
      <c r="J115" s="206"/>
      <c r="K115" s="8"/>
      <c r="L115" s="208"/>
      <c r="M115" s="31"/>
      <c r="N115" s="8"/>
      <c r="O115" s="32"/>
      <c r="P115" s="85"/>
      <c r="Q115" s="193"/>
    </row>
    <row r="116" spans="1:17" ht="12.75" hidden="1">
      <c r="A116" s="45" t="s">
        <v>185</v>
      </c>
      <c r="B116" s="102"/>
      <c r="C116" s="121"/>
      <c r="D116" s="119"/>
      <c r="E116" s="119"/>
      <c r="F116" s="120">
        <f>C116+D116+E116</f>
        <v>0</v>
      </c>
      <c r="G116" s="202"/>
      <c r="H116" s="203"/>
      <c r="I116" s="201">
        <f>F116+G116+H116</f>
        <v>0</v>
      </c>
      <c r="J116" s="202"/>
      <c r="K116" s="7"/>
      <c r="L116" s="201">
        <f>I116+J116+K116</f>
        <v>0</v>
      </c>
      <c r="M116" s="29"/>
      <c r="N116" s="7"/>
      <c r="O116" s="30">
        <f>L116+M116+N116</f>
        <v>0</v>
      </c>
      <c r="P116" s="85"/>
      <c r="Q116" s="193">
        <f t="shared" si="22"/>
        <v>0</v>
      </c>
    </row>
    <row r="117" spans="1:17" ht="12.75" hidden="1">
      <c r="A117" s="45" t="s">
        <v>241</v>
      </c>
      <c r="B117" s="102"/>
      <c r="C117" s="121"/>
      <c r="D117" s="119"/>
      <c r="E117" s="119"/>
      <c r="F117" s="120">
        <f>C117+D117+E117</f>
        <v>0</v>
      </c>
      <c r="G117" s="202"/>
      <c r="H117" s="203"/>
      <c r="I117" s="201"/>
      <c r="J117" s="202"/>
      <c r="K117" s="7"/>
      <c r="L117" s="201"/>
      <c r="M117" s="29"/>
      <c r="N117" s="7"/>
      <c r="O117" s="30"/>
      <c r="P117" s="85"/>
      <c r="Q117" s="193"/>
    </row>
    <row r="118" spans="1:17" ht="12.75" hidden="1">
      <c r="A118" s="45" t="s">
        <v>66</v>
      </c>
      <c r="B118" s="102"/>
      <c r="C118" s="121"/>
      <c r="D118" s="119"/>
      <c r="E118" s="119"/>
      <c r="F118" s="120">
        <f>C118+D118+E118</f>
        <v>0</v>
      </c>
      <c r="G118" s="215"/>
      <c r="H118" s="216"/>
      <c r="I118" s="217">
        <f>F118+G118+H118</f>
        <v>0</v>
      </c>
      <c r="J118" s="215"/>
      <c r="K118" s="10"/>
      <c r="L118" s="217">
        <f>I118+J118+K118</f>
        <v>0</v>
      </c>
      <c r="M118" s="33"/>
      <c r="N118" s="10"/>
      <c r="O118" s="34">
        <f>L118+M118+N118</f>
        <v>0</v>
      </c>
      <c r="P118" s="90"/>
      <c r="Q118" s="194">
        <f t="shared" si="22"/>
        <v>0</v>
      </c>
    </row>
    <row r="119" spans="1:17" ht="12.75" hidden="1">
      <c r="A119" s="48" t="s">
        <v>68</v>
      </c>
      <c r="B119" s="105"/>
      <c r="C119" s="131"/>
      <c r="D119" s="132"/>
      <c r="E119" s="132"/>
      <c r="F119" s="169">
        <f>C119+D119+E119</f>
        <v>0</v>
      </c>
      <c r="G119" s="215"/>
      <c r="H119" s="216"/>
      <c r="I119" s="217">
        <f>F119+G119+H119</f>
        <v>0</v>
      </c>
      <c r="J119" s="215"/>
      <c r="K119" s="10"/>
      <c r="L119" s="217">
        <f>I119+J119+K119</f>
        <v>0</v>
      </c>
      <c r="M119" s="33"/>
      <c r="N119" s="10"/>
      <c r="O119" s="34">
        <f>L119+M119+N119</f>
        <v>0</v>
      </c>
      <c r="P119" s="85"/>
      <c r="Q119" s="193">
        <f t="shared" si="22"/>
        <v>0</v>
      </c>
    </row>
    <row r="120" spans="1:17" ht="12.75">
      <c r="A120" s="42" t="s">
        <v>69</v>
      </c>
      <c r="B120" s="106"/>
      <c r="C120" s="116">
        <f aca="true" t="shared" si="30" ref="C120:Q120">C121+C134</f>
        <v>335211.19999999995</v>
      </c>
      <c r="D120" s="117">
        <f t="shared" si="30"/>
        <v>11768.62</v>
      </c>
      <c r="E120" s="117">
        <f t="shared" si="30"/>
        <v>0</v>
      </c>
      <c r="F120" s="118">
        <f t="shared" si="30"/>
        <v>346979.82</v>
      </c>
      <c r="G120" s="198">
        <f t="shared" si="30"/>
        <v>3629.6399999999994</v>
      </c>
      <c r="H120" s="199">
        <f t="shared" si="30"/>
        <v>0</v>
      </c>
      <c r="I120" s="200">
        <f t="shared" si="30"/>
        <v>350609.45999999996</v>
      </c>
      <c r="J120" s="198">
        <f t="shared" si="30"/>
        <v>7578.96</v>
      </c>
      <c r="K120" s="117">
        <f t="shared" si="30"/>
        <v>0</v>
      </c>
      <c r="L120" s="200">
        <f t="shared" si="30"/>
        <v>358188.42000000004</v>
      </c>
      <c r="M120" s="116">
        <f t="shared" si="30"/>
        <v>0</v>
      </c>
      <c r="N120" s="117">
        <f t="shared" si="30"/>
        <v>0</v>
      </c>
      <c r="O120" s="118">
        <f t="shared" si="30"/>
        <v>356738.37000000005</v>
      </c>
      <c r="P120" s="116">
        <f t="shared" si="30"/>
        <v>0</v>
      </c>
      <c r="Q120" s="118">
        <f t="shared" si="30"/>
        <v>356738.37000000005</v>
      </c>
    </row>
    <row r="121" spans="1:17" ht="12.75">
      <c r="A121" s="51" t="s">
        <v>62</v>
      </c>
      <c r="B121" s="106"/>
      <c r="C121" s="128">
        <f aca="true" t="shared" si="31" ref="C121:Q121">SUM(C123:C133)</f>
        <v>335211.19999999995</v>
      </c>
      <c r="D121" s="129">
        <f t="shared" si="31"/>
        <v>9713.880000000001</v>
      </c>
      <c r="E121" s="129">
        <f t="shared" si="31"/>
        <v>0</v>
      </c>
      <c r="F121" s="130">
        <f t="shared" si="31"/>
        <v>344925.08</v>
      </c>
      <c r="G121" s="212">
        <f t="shared" si="31"/>
        <v>3629.6399999999994</v>
      </c>
      <c r="H121" s="213">
        <f t="shared" si="31"/>
        <v>0</v>
      </c>
      <c r="I121" s="214">
        <f t="shared" si="31"/>
        <v>348554.72</v>
      </c>
      <c r="J121" s="212">
        <f t="shared" si="31"/>
        <v>7578.96</v>
      </c>
      <c r="K121" s="129">
        <f t="shared" si="31"/>
        <v>0</v>
      </c>
      <c r="L121" s="214">
        <f t="shared" si="31"/>
        <v>356133.68000000005</v>
      </c>
      <c r="M121" s="128">
        <f t="shared" si="31"/>
        <v>0</v>
      </c>
      <c r="N121" s="129">
        <f t="shared" si="31"/>
        <v>0</v>
      </c>
      <c r="O121" s="130">
        <f t="shared" si="31"/>
        <v>354683.63000000006</v>
      </c>
      <c r="P121" s="128">
        <f t="shared" si="31"/>
        <v>0</v>
      </c>
      <c r="Q121" s="130">
        <f t="shared" si="31"/>
        <v>354683.63000000006</v>
      </c>
    </row>
    <row r="122" spans="1:17" ht="12.75">
      <c r="A122" s="47" t="s">
        <v>33</v>
      </c>
      <c r="B122" s="102"/>
      <c r="C122" s="121"/>
      <c r="D122" s="119"/>
      <c r="E122" s="119"/>
      <c r="F122" s="120"/>
      <c r="G122" s="202"/>
      <c r="H122" s="203"/>
      <c r="I122" s="201"/>
      <c r="J122" s="202"/>
      <c r="K122" s="7"/>
      <c r="L122" s="201"/>
      <c r="M122" s="29"/>
      <c r="N122" s="7"/>
      <c r="O122" s="30"/>
      <c r="P122" s="85"/>
      <c r="Q122" s="193"/>
    </row>
    <row r="123" spans="1:17" ht="12.75">
      <c r="A123" s="103" t="s">
        <v>157</v>
      </c>
      <c r="B123" s="102"/>
      <c r="C123" s="121">
        <v>166947.3</v>
      </c>
      <c r="D123" s="119">
        <f>3795.76</f>
        <v>3795.76</v>
      </c>
      <c r="E123" s="119"/>
      <c r="F123" s="120">
        <f aca="true" t="shared" si="32" ref="F123:F133">C123+D123+E123</f>
        <v>170743.06</v>
      </c>
      <c r="G123" s="202">
        <f>218</f>
        <v>218</v>
      </c>
      <c r="H123" s="203"/>
      <c r="I123" s="201">
        <f>F123+G123+H123</f>
        <v>170961.06</v>
      </c>
      <c r="J123" s="202">
        <f>2342.16</f>
        <v>2342.16</v>
      </c>
      <c r="K123" s="7"/>
      <c r="L123" s="201">
        <f>I123+J123+K123</f>
        <v>173303.22</v>
      </c>
      <c r="M123" s="29"/>
      <c r="N123" s="7"/>
      <c r="O123" s="30">
        <f>L123+M123+N123</f>
        <v>173303.22</v>
      </c>
      <c r="P123" s="85"/>
      <c r="Q123" s="193">
        <f t="shared" si="22"/>
        <v>173303.22</v>
      </c>
    </row>
    <row r="124" spans="1:17" ht="12.75">
      <c r="A124" s="45" t="s">
        <v>63</v>
      </c>
      <c r="B124" s="102"/>
      <c r="C124" s="121">
        <v>56898.9</v>
      </c>
      <c r="D124" s="119">
        <f>1927.38</f>
        <v>1927.38</v>
      </c>
      <c r="E124" s="119"/>
      <c r="F124" s="120">
        <f t="shared" si="32"/>
        <v>58826.28</v>
      </c>
      <c r="G124" s="202">
        <f>75.1</f>
        <v>75.1</v>
      </c>
      <c r="H124" s="203"/>
      <c r="I124" s="201">
        <f aca="true" t="shared" si="33" ref="I124:I133">F124+G124+H124</f>
        <v>58901.38</v>
      </c>
      <c r="J124" s="202">
        <f>806.29</f>
        <v>806.29</v>
      </c>
      <c r="K124" s="7"/>
      <c r="L124" s="201">
        <f aca="true" t="shared" si="34" ref="L124:L133">I124+J124+K124</f>
        <v>59707.67</v>
      </c>
      <c r="M124" s="29"/>
      <c r="N124" s="7"/>
      <c r="O124" s="30">
        <f aca="true" t="shared" si="35" ref="O124:O133">L124+M124+N124</f>
        <v>59707.67</v>
      </c>
      <c r="P124" s="85"/>
      <c r="Q124" s="193">
        <f t="shared" si="22"/>
        <v>59707.67</v>
      </c>
    </row>
    <row r="125" spans="1:17" ht="12.75">
      <c r="A125" s="45" t="s">
        <v>299</v>
      </c>
      <c r="B125" s="102"/>
      <c r="C125" s="121">
        <v>200</v>
      </c>
      <c r="D125" s="119"/>
      <c r="E125" s="119"/>
      <c r="F125" s="120">
        <f t="shared" si="32"/>
        <v>200</v>
      </c>
      <c r="G125" s="202"/>
      <c r="H125" s="203"/>
      <c r="I125" s="201">
        <f t="shared" si="33"/>
        <v>200</v>
      </c>
      <c r="J125" s="202"/>
      <c r="K125" s="7"/>
      <c r="L125" s="201">
        <f t="shared" si="34"/>
        <v>200</v>
      </c>
      <c r="M125" s="29"/>
      <c r="N125" s="7"/>
      <c r="O125" s="30">
        <f t="shared" si="35"/>
        <v>200</v>
      </c>
      <c r="P125" s="85"/>
      <c r="Q125" s="193">
        <f t="shared" si="22"/>
        <v>200</v>
      </c>
    </row>
    <row r="126" spans="1:17" ht="12.75">
      <c r="A126" s="45" t="s">
        <v>64</v>
      </c>
      <c r="B126" s="102"/>
      <c r="C126" s="121">
        <v>50038.4</v>
      </c>
      <c r="D126" s="119">
        <f>3800+141.22</f>
        <v>3941.22</v>
      </c>
      <c r="E126" s="119"/>
      <c r="F126" s="120">
        <f t="shared" si="32"/>
        <v>53979.62</v>
      </c>
      <c r="G126" s="202">
        <f>140.26+117.43+7.6+1417</f>
        <v>1682.29</v>
      </c>
      <c r="H126" s="203"/>
      <c r="I126" s="201">
        <f t="shared" si="33"/>
        <v>55661.91</v>
      </c>
      <c r="J126" s="202">
        <f>4054.82+80.89</f>
        <v>4135.71</v>
      </c>
      <c r="K126" s="7"/>
      <c r="L126" s="201">
        <f t="shared" si="34"/>
        <v>59797.62</v>
      </c>
      <c r="M126" s="29"/>
      <c r="N126" s="7"/>
      <c r="O126" s="30">
        <f t="shared" si="35"/>
        <v>59797.62</v>
      </c>
      <c r="P126" s="85"/>
      <c r="Q126" s="193">
        <f t="shared" si="22"/>
        <v>59797.62</v>
      </c>
    </row>
    <row r="127" spans="1:17" ht="12.75">
      <c r="A127" s="45" t="s">
        <v>70</v>
      </c>
      <c r="B127" s="102" t="s">
        <v>216</v>
      </c>
      <c r="C127" s="121">
        <v>352</v>
      </c>
      <c r="D127" s="119"/>
      <c r="E127" s="119"/>
      <c r="F127" s="120">
        <f t="shared" si="32"/>
        <v>352</v>
      </c>
      <c r="G127" s="202"/>
      <c r="H127" s="203"/>
      <c r="I127" s="201">
        <f t="shared" si="33"/>
        <v>352</v>
      </c>
      <c r="J127" s="202"/>
      <c r="K127" s="7"/>
      <c r="L127" s="201">
        <f t="shared" si="34"/>
        <v>352</v>
      </c>
      <c r="M127" s="29"/>
      <c r="N127" s="7"/>
      <c r="O127" s="30">
        <f t="shared" si="35"/>
        <v>352</v>
      </c>
      <c r="P127" s="85"/>
      <c r="Q127" s="193">
        <f t="shared" si="22"/>
        <v>352</v>
      </c>
    </row>
    <row r="128" spans="1:17" ht="12.75" hidden="1">
      <c r="A128" s="45" t="s">
        <v>71</v>
      </c>
      <c r="B128" s="102" t="s">
        <v>215</v>
      </c>
      <c r="C128" s="121"/>
      <c r="D128" s="119"/>
      <c r="E128" s="119"/>
      <c r="F128" s="120">
        <f t="shared" si="32"/>
        <v>0</v>
      </c>
      <c r="G128" s="202"/>
      <c r="H128" s="203"/>
      <c r="I128" s="201">
        <f t="shared" si="33"/>
        <v>0</v>
      </c>
      <c r="J128" s="202"/>
      <c r="K128" s="7"/>
      <c r="L128" s="201">
        <f t="shared" si="34"/>
        <v>0</v>
      </c>
      <c r="M128" s="29"/>
      <c r="N128" s="7"/>
      <c r="O128" s="30">
        <f t="shared" si="35"/>
        <v>0</v>
      </c>
      <c r="P128" s="85"/>
      <c r="Q128" s="193">
        <f t="shared" si="22"/>
        <v>0</v>
      </c>
    </row>
    <row r="129" spans="1:17" ht="12.75">
      <c r="A129" s="45" t="s">
        <v>72</v>
      </c>
      <c r="B129" s="102"/>
      <c r="C129" s="121">
        <v>60774.6</v>
      </c>
      <c r="D129" s="119"/>
      <c r="E129" s="119"/>
      <c r="F129" s="120">
        <f t="shared" si="32"/>
        <v>60774.6</v>
      </c>
      <c r="G129" s="202"/>
      <c r="H129" s="203"/>
      <c r="I129" s="201">
        <f t="shared" si="33"/>
        <v>60774.6</v>
      </c>
      <c r="J129" s="202">
        <f>264.8</f>
        <v>264.8</v>
      </c>
      <c r="K129" s="7"/>
      <c r="L129" s="201">
        <f t="shared" si="34"/>
        <v>61039.4</v>
      </c>
      <c r="M129" s="29"/>
      <c r="N129" s="7"/>
      <c r="O129" s="30">
        <f t="shared" si="35"/>
        <v>61039.4</v>
      </c>
      <c r="P129" s="85"/>
      <c r="Q129" s="193">
        <f t="shared" si="22"/>
        <v>61039.4</v>
      </c>
    </row>
    <row r="130" spans="1:17" ht="12.75">
      <c r="A130" s="45" t="s">
        <v>90</v>
      </c>
      <c r="B130" s="102"/>
      <c r="C130" s="121"/>
      <c r="D130" s="119">
        <f>49.52</f>
        <v>49.52</v>
      </c>
      <c r="E130" s="119"/>
      <c r="F130" s="120">
        <f t="shared" si="32"/>
        <v>49.52</v>
      </c>
      <c r="G130" s="202"/>
      <c r="H130" s="203"/>
      <c r="I130" s="201">
        <f t="shared" si="33"/>
        <v>49.52</v>
      </c>
      <c r="J130" s="202"/>
      <c r="K130" s="7"/>
      <c r="L130" s="201">
        <f t="shared" si="34"/>
        <v>49.52</v>
      </c>
      <c r="M130" s="29"/>
      <c r="N130" s="7"/>
      <c r="O130" s="30">
        <f t="shared" si="35"/>
        <v>49.52</v>
      </c>
      <c r="P130" s="85"/>
      <c r="Q130" s="193">
        <f t="shared" si="22"/>
        <v>49.52</v>
      </c>
    </row>
    <row r="131" spans="1:17" ht="12.75">
      <c r="A131" s="45" t="s">
        <v>351</v>
      </c>
      <c r="B131" s="102">
        <v>98008</v>
      </c>
      <c r="C131" s="121"/>
      <c r="D131" s="119"/>
      <c r="E131" s="119"/>
      <c r="F131" s="120"/>
      <c r="G131" s="202"/>
      <c r="H131" s="203"/>
      <c r="I131" s="201">
        <f t="shared" si="33"/>
        <v>0</v>
      </c>
      <c r="J131" s="202">
        <f>30</f>
        <v>30</v>
      </c>
      <c r="K131" s="7"/>
      <c r="L131" s="201">
        <f t="shared" si="34"/>
        <v>30</v>
      </c>
      <c r="M131" s="29"/>
      <c r="N131" s="7"/>
      <c r="O131" s="30"/>
      <c r="P131" s="85"/>
      <c r="Q131" s="193"/>
    </row>
    <row r="132" spans="1:17" ht="12.75">
      <c r="A132" s="45" t="s">
        <v>336</v>
      </c>
      <c r="B132" s="102"/>
      <c r="C132" s="121"/>
      <c r="D132" s="119"/>
      <c r="E132" s="119"/>
      <c r="F132" s="120">
        <f t="shared" si="32"/>
        <v>0</v>
      </c>
      <c r="G132" s="202">
        <f>1420.05</f>
        <v>1420.05</v>
      </c>
      <c r="H132" s="203"/>
      <c r="I132" s="201">
        <f t="shared" si="33"/>
        <v>1420.05</v>
      </c>
      <c r="J132" s="202"/>
      <c r="K132" s="7"/>
      <c r="L132" s="201">
        <f t="shared" si="34"/>
        <v>1420.05</v>
      </c>
      <c r="M132" s="29"/>
      <c r="N132" s="7"/>
      <c r="O132" s="30"/>
      <c r="P132" s="85"/>
      <c r="Q132" s="193"/>
    </row>
    <row r="133" spans="1:17" ht="12.75">
      <c r="A133" s="45" t="s">
        <v>73</v>
      </c>
      <c r="B133" s="102">
        <v>4001</v>
      </c>
      <c r="C133" s="121"/>
      <c r="D133" s="119"/>
      <c r="E133" s="119"/>
      <c r="F133" s="120">
        <f t="shared" si="32"/>
        <v>0</v>
      </c>
      <c r="G133" s="202">
        <f>234.2</f>
        <v>234.2</v>
      </c>
      <c r="H133" s="203"/>
      <c r="I133" s="201">
        <f t="shared" si="33"/>
        <v>234.2</v>
      </c>
      <c r="J133" s="202"/>
      <c r="K133" s="7"/>
      <c r="L133" s="201">
        <f t="shared" si="34"/>
        <v>234.2</v>
      </c>
      <c r="M133" s="29"/>
      <c r="N133" s="7"/>
      <c r="O133" s="30">
        <f t="shared" si="35"/>
        <v>234.2</v>
      </c>
      <c r="P133" s="85"/>
      <c r="Q133" s="193">
        <f t="shared" si="22"/>
        <v>234.2</v>
      </c>
    </row>
    <row r="134" spans="1:17" ht="12.75">
      <c r="A134" s="51" t="s">
        <v>67</v>
      </c>
      <c r="B134" s="106"/>
      <c r="C134" s="128">
        <f>C137+C136</f>
        <v>0</v>
      </c>
      <c r="D134" s="129">
        <f>D137+D136</f>
        <v>2054.74</v>
      </c>
      <c r="E134" s="129">
        <f>E137+E136</f>
        <v>0</v>
      </c>
      <c r="F134" s="130">
        <f>F137+F136</f>
        <v>2054.74</v>
      </c>
      <c r="G134" s="212">
        <f aca="true" t="shared" si="36" ref="G134:Q134">G137+G136</f>
        <v>0</v>
      </c>
      <c r="H134" s="213">
        <f t="shared" si="36"/>
        <v>0</v>
      </c>
      <c r="I134" s="214">
        <f t="shared" si="36"/>
        <v>2054.74</v>
      </c>
      <c r="J134" s="212">
        <f t="shared" si="36"/>
        <v>0</v>
      </c>
      <c r="K134" s="129">
        <f t="shared" si="36"/>
        <v>0</v>
      </c>
      <c r="L134" s="214">
        <f t="shared" si="36"/>
        <v>2054.74</v>
      </c>
      <c r="M134" s="128">
        <f t="shared" si="36"/>
        <v>0</v>
      </c>
      <c r="N134" s="129">
        <f t="shared" si="36"/>
        <v>0</v>
      </c>
      <c r="O134" s="130">
        <f t="shared" si="36"/>
        <v>2054.74</v>
      </c>
      <c r="P134" s="128">
        <f t="shared" si="36"/>
        <v>0</v>
      </c>
      <c r="Q134" s="130">
        <f t="shared" si="36"/>
        <v>2054.74</v>
      </c>
    </row>
    <row r="135" spans="1:17" ht="12.75">
      <c r="A135" s="47" t="s">
        <v>33</v>
      </c>
      <c r="B135" s="102"/>
      <c r="C135" s="121"/>
      <c r="D135" s="119"/>
      <c r="E135" s="119"/>
      <c r="F135" s="118"/>
      <c r="G135" s="202"/>
      <c r="H135" s="203"/>
      <c r="I135" s="200"/>
      <c r="J135" s="202"/>
      <c r="K135" s="7"/>
      <c r="L135" s="200"/>
      <c r="M135" s="29"/>
      <c r="N135" s="7"/>
      <c r="O135" s="28"/>
      <c r="P135" s="85"/>
      <c r="Q135" s="193"/>
    </row>
    <row r="136" spans="1:17" ht="12.75" hidden="1">
      <c r="A136" s="44" t="s">
        <v>68</v>
      </c>
      <c r="B136" s="102"/>
      <c r="C136" s="121"/>
      <c r="D136" s="119"/>
      <c r="E136" s="132"/>
      <c r="F136" s="120">
        <f>C136+D136+E136</f>
        <v>0</v>
      </c>
      <c r="G136" s="202"/>
      <c r="H136" s="203"/>
      <c r="I136" s="201">
        <f>F136+G136+H136</f>
        <v>0</v>
      </c>
      <c r="J136" s="202"/>
      <c r="K136" s="7"/>
      <c r="L136" s="201">
        <f>I136+J136+K136</f>
        <v>0</v>
      </c>
      <c r="M136" s="29"/>
      <c r="N136" s="7"/>
      <c r="O136" s="30">
        <f>L136+M136+N136</f>
        <v>0</v>
      </c>
      <c r="P136" s="85"/>
      <c r="Q136" s="193">
        <f t="shared" si="22"/>
        <v>0</v>
      </c>
    </row>
    <row r="137" spans="1:17" ht="12.75">
      <c r="A137" s="48" t="s">
        <v>91</v>
      </c>
      <c r="B137" s="105"/>
      <c r="C137" s="131"/>
      <c r="D137" s="132">
        <f>1488.3+566.44</f>
        <v>2054.74</v>
      </c>
      <c r="E137" s="132"/>
      <c r="F137" s="169">
        <f>C137+D137+E137</f>
        <v>2054.74</v>
      </c>
      <c r="G137" s="215"/>
      <c r="H137" s="216"/>
      <c r="I137" s="217">
        <f>F137+G137+H137</f>
        <v>2054.74</v>
      </c>
      <c r="J137" s="215"/>
      <c r="K137" s="10"/>
      <c r="L137" s="217">
        <f>I137+J137+K137</f>
        <v>2054.74</v>
      </c>
      <c r="M137" s="33"/>
      <c r="N137" s="10"/>
      <c r="O137" s="34">
        <f>L137+M137+N137</f>
        <v>2054.74</v>
      </c>
      <c r="P137" s="90"/>
      <c r="Q137" s="194">
        <f t="shared" si="22"/>
        <v>2054.74</v>
      </c>
    </row>
    <row r="138" spans="1:17" ht="12.75">
      <c r="A138" s="42" t="s">
        <v>74</v>
      </c>
      <c r="B138" s="106"/>
      <c r="C138" s="116">
        <f>C139+C148</f>
        <v>64180</v>
      </c>
      <c r="D138" s="117">
        <f>D139+D148</f>
        <v>79169.70999999999</v>
      </c>
      <c r="E138" s="117">
        <f>E139+E148</f>
        <v>0</v>
      </c>
      <c r="F138" s="118">
        <f>F139+F148</f>
        <v>143349.71</v>
      </c>
      <c r="G138" s="198">
        <f aca="true" t="shared" si="37" ref="G138:Q138">G139+G148</f>
        <v>10117.49</v>
      </c>
      <c r="H138" s="199">
        <f t="shared" si="37"/>
        <v>9940.53</v>
      </c>
      <c r="I138" s="200">
        <f t="shared" si="37"/>
        <v>163407.72999999998</v>
      </c>
      <c r="J138" s="198">
        <f t="shared" si="37"/>
        <v>6008.55</v>
      </c>
      <c r="K138" s="117">
        <f t="shared" si="37"/>
        <v>0</v>
      </c>
      <c r="L138" s="200">
        <f t="shared" si="37"/>
        <v>169416.28</v>
      </c>
      <c r="M138" s="116">
        <f t="shared" si="37"/>
        <v>0</v>
      </c>
      <c r="N138" s="117">
        <f t="shared" si="37"/>
        <v>0</v>
      </c>
      <c r="O138" s="118">
        <f t="shared" si="37"/>
        <v>124519.73</v>
      </c>
      <c r="P138" s="116">
        <f t="shared" si="37"/>
        <v>0</v>
      </c>
      <c r="Q138" s="118">
        <f t="shared" si="37"/>
        <v>124519.73</v>
      </c>
    </row>
    <row r="139" spans="1:17" ht="12.75">
      <c r="A139" s="51" t="s">
        <v>62</v>
      </c>
      <c r="B139" s="106"/>
      <c r="C139" s="128">
        <f>SUM(C141:C146)</f>
        <v>19180</v>
      </c>
      <c r="D139" s="129">
        <f>SUM(D141:D146)</f>
        <v>31510.010000000002</v>
      </c>
      <c r="E139" s="129">
        <f>SUM(E141:E146)</f>
        <v>0</v>
      </c>
      <c r="F139" s="130">
        <f>SUM(F141:F146)</f>
        <v>50690.01</v>
      </c>
      <c r="G139" s="212">
        <f aca="true" t="shared" si="38" ref="G139:Q139">SUM(G141:G146)</f>
        <v>-6882.51</v>
      </c>
      <c r="H139" s="213">
        <f t="shared" si="38"/>
        <v>-859</v>
      </c>
      <c r="I139" s="214">
        <f t="shared" si="38"/>
        <v>42948.5</v>
      </c>
      <c r="J139" s="212">
        <f t="shared" si="38"/>
        <v>12</v>
      </c>
      <c r="K139" s="129">
        <f t="shared" si="38"/>
        <v>0</v>
      </c>
      <c r="L139" s="214">
        <f t="shared" si="38"/>
        <v>42960.5</v>
      </c>
      <c r="M139" s="128">
        <f t="shared" si="38"/>
        <v>0</v>
      </c>
      <c r="N139" s="129">
        <f t="shared" si="38"/>
        <v>0</v>
      </c>
      <c r="O139" s="130">
        <f t="shared" si="38"/>
        <v>13960.5</v>
      </c>
      <c r="P139" s="128">
        <f t="shared" si="38"/>
        <v>0</v>
      </c>
      <c r="Q139" s="130">
        <f t="shared" si="38"/>
        <v>13960.5</v>
      </c>
    </row>
    <row r="140" spans="1:17" ht="12.75">
      <c r="A140" s="47" t="s">
        <v>33</v>
      </c>
      <c r="B140" s="102"/>
      <c r="C140" s="121"/>
      <c r="D140" s="119"/>
      <c r="E140" s="119"/>
      <c r="F140" s="118"/>
      <c r="G140" s="202"/>
      <c r="H140" s="203"/>
      <c r="I140" s="200"/>
      <c r="J140" s="202"/>
      <c r="K140" s="7"/>
      <c r="L140" s="200"/>
      <c r="M140" s="29"/>
      <c r="N140" s="7"/>
      <c r="O140" s="28"/>
      <c r="P140" s="85"/>
      <c r="Q140" s="193"/>
    </row>
    <row r="141" spans="1:17" ht="12.75">
      <c r="A141" s="45" t="s">
        <v>64</v>
      </c>
      <c r="B141" s="102"/>
      <c r="C141" s="121">
        <v>19180</v>
      </c>
      <c r="D141" s="119">
        <f>-49.87-50</f>
        <v>-99.87</v>
      </c>
      <c r="E141" s="119"/>
      <c r="F141" s="120">
        <f aca="true" t="shared" si="39" ref="F141:F147">C141+D141+E141</f>
        <v>19080.13</v>
      </c>
      <c r="G141" s="202">
        <f>82.55-7000</f>
        <v>-6917.45</v>
      </c>
      <c r="H141" s="203">
        <f>-910</f>
        <v>-910</v>
      </c>
      <c r="I141" s="201">
        <f aca="true" t="shared" si="40" ref="I141:I147">F141+G141+H141</f>
        <v>11252.68</v>
      </c>
      <c r="J141" s="202"/>
      <c r="K141" s="7"/>
      <c r="L141" s="201">
        <f aca="true" t="shared" si="41" ref="L141:L147">I141+J141+K141</f>
        <v>11252.68</v>
      </c>
      <c r="M141" s="29"/>
      <c r="N141" s="7"/>
      <c r="O141" s="30">
        <f aca="true" t="shared" si="42" ref="O141:O147">L141+M141+N141</f>
        <v>11252.68</v>
      </c>
      <c r="P141" s="85"/>
      <c r="Q141" s="193">
        <f t="shared" si="22"/>
        <v>11252.68</v>
      </c>
    </row>
    <row r="142" spans="1:17" ht="12.75">
      <c r="A142" s="45" t="s">
        <v>76</v>
      </c>
      <c r="B142" s="102"/>
      <c r="C142" s="121"/>
      <c r="D142" s="119"/>
      <c r="E142" s="119"/>
      <c r="F142" s="120">
        <f t="shared" si="39"/>
        <v>0</v>
      </c>
      <c r="G142" s="202"/>
      <c r="H142" s="203">
        <f>51</f>
        <v>51</v>
      </c>
      <c r="I142" s="201">
        <f t="shared" si="40"/>
        <v>51</v>
      </c>
      <c r="J142" s="202"/>
      <c r="K142" s="7"/>
      <c r="L142" s="201">
        <f t="shared" si="41"/>
        <v>51</v>
      </c>
      <c r="M142" s="29"/>
      <c r="N142" s="7"/>
      <c r="O142" s="30">
        <f t="shared" si="42"/>
        <v>51</v>
      </c>
      <c r="P142" s="85"/>
      <c r="Q142" s="193">
        <f t="shared" si="22"/>
        <v>51</v>
      </c>
    </row>
    <row r="143" spans="1:17" ht="12.75">
      <c r="A143" s="49" t="s">
        <v>256</v>
      </c>
      <c r="B143" s="102"/>
      <c r="C143" s="121"/>
      <c r="D143" s="119">
        <f>29000</f>
        <v>29000</v>
      </c>
      <c r="E143" s="119"/>
      <c r="F143" s="120">
        <f t="shared" si="39"/>
        <v>29000</v>
      </c>
      <c r="G143" s="202"/>
      <c r="H143" s="203"/>
      <c r="I143" s="201">
        <f t="shared" si="40"/>
        <v>29000</v>
      </c>
      <c r="J143" s="202"/>
      <c r="K143" s="7"/>
      <c r="L143" s="201">
        <f t="shared" si="41"/>
        <v>29000</v>
      </c>
      <c r="M143" s="29"/>
      <c r="N143" s="7"/>
      <c r="O143" s="30"/>
      <c r="P143" s="85"/>
      <c r="Q143" s="193"/>
    </row>
    <row r="144" spans="1:17" ht="12.75">
      <c r="A144" s="45" t="s">
        <v>77</v>
      </c>
      <c r="B144" s="102">
        <v>98278</v>
      </c>
      <c r="C144" s="121"/>
      <c r="D144" s="119">
        <f>43.5</f>
        <v>43.5</v>
      </c>
      <c r="E144" s="119"/>
      <c r="F144" s="120">
        <f t="shared" si="39"/>
        <v>43.5</v>
      </c>
      <c r="G144" s="202">
        <f>15.05+19.89</f>
        <v>34.94</v>
      </c>
      <c r="H144" s="203"/>
      <c r="I144" s="201">
        <f t="shared" si="40"/>
        <v>78.44</v>
      </c>
      <c r="J144" s="202">
        <f>12</f>
        <v>12</v>
      </c>
      <c r="K144" s="7"/>
      <c r="L144" s="201">
        <f t="shared" si="41"/>
        <v>90.44</v>
      </c>
      <c r="M144" s="29"/>
      <c r="N144" s="7"/>
      <c r="O144" s="30">
        <f t="shared" si="42"/>
        <v>90.44</v>
      </c>
      <c r="P144" s="85"/>
      <c r="Q144" s="193">
        <f t="shared" si="22"/>
        <v>90.44</v>
      </c>
    </row>
    <row r="145" spans="1:17" ht="12.75" hidden="1">
      <c r="A145" s="45" t="s">
        <v>90</v>
      </c>
      <c r="B145" s="102"/>
      <c r="C145" s="121"/>
      <c r="D145" s="119"/>
      <c r="E145" s="119"/>
      <c r="F145" s="120">
        <f t="shared" si="39"/>
        <v>0</v>
      </c>
      <c r="G145" s="202"/>
      <c r="H145" s="203"/>
      <c r="I145" s="201">
        <f t="shared" si="40"/>
        <v>0</v>
      </c>
      <c r="J145" s="202"/>
      <c r="K145" s="7"/>
      <c r="L145" s="201">
        <f t="shared" si="41"/>
        <v>0</v>
      </c>
      <c r="M145" s="29"/>
      <c r="N145" s="7"/>
      <c r="O145" s="30">
        <f t="shared" si="42"/>
        <v>0</v>
      </c>
      <c r="P145" s="85"/>
      <c r="Q145" s="193">
        <f t="shared" si="22"/>
        <v>0</v>
      </c>
    </row>
    <row r="146" spans="1:17" ht="12.75">
      <c r="A146" s="44" t="s">
        <v>78</v>
      </c>
      <c r="B146" s="102"/>
      <c r="C146" s="121"/>
      <c r="D146" s="119">
        <f>2500+66.38</f>
        <v>2566.38</v>
      </c>
      <c r="E146" s="119"/>
      <c r="F146" s="120">
        <f t="shared" si="39"/>
        <v>2566.38</v>
      </c>
      <c r="G146" s="202"/>
      <c r="H146" s="203"/>
      <c r="I146" s="201">
        <f t="shared" si="40"/>
        <v>2566.38</v>
      </c>
      <c r="J146" s="202"/>
      <c r="K146" s="7"/>
      <c r="L146" s="201">
        <f t="shared" si="41"/>
        <v>2566.38</v>
      </c>
      <c r="M146" s="29"/>
      <c r="N146" s="7"/>
      <c r="O146" s="30">
        <f t="shared" si="42"/>
        <v>2566.38</v>
      </c>
      <c r="P146" s="85"/>
      <c r="Q146" s="193">
        <f t="shared" si="22"/>
        <v>2566.38</v>
      </c>
    </row>
    <row r="147" spans="1:17" ht="12.75">
      <c r="A147" s="44" t="s">
        <v>79</v>
      </c>
      <c r="B147" s="102"/>
      <c r="C147" s="121"/>
      <c r="D147" s="119">
        <f>66.38+2500</f>
        <v>2566.38</v>
      </c>
      <c r="E147" s="119"/>
      <c r="F147" s="120">
        <f t="shared" si="39"/>
        <v>2566.38</v>
      </c>
      <c r="G147" s="202"/>
      <c r="H147" s="203"/>
      <c r="I147" s="201">
        <f t="shared" si="40"/>
        <v>2566.38</v>
      </c>
      <c r="J147" s="202"/>
      <c r="K147" s="7"/>
      <c r="L147" s="201">
        <f t="shared" si="41"/>
        <v>2566.38</v>
      </c>
      <c r="M147" s="29"/>
      <c r="N147" s="7"/>
      <c r="O147" s="30">
        <f t="shared" si="42"/>
        <v>2566.38</v>
      </c>
      <c r="P147" s="85"/>
      <c r="Q147" s="193">
        <f t="shared" si="22"/>
        <v>2566.38</v>
      </c>
    </row>
    <row r="148" spans="1:17" ht="12.75">
      <c r="A148" s="52" t="s">
        <v>67</v>
      </c>
      <c r="B148" s="106"/>
      <c r="C148" s="133">
        <f>SUM(C150:C155)</f>
        <v>45000</v>
      </c>
      <c r="D148" s="134">
        <f>SUM(D150:D155)</f>
        <v>47659.7</v>
      </c>
      <c r="E148" s="134">
        <f>SUM(E150:E155)</f>
        <v>0</v>
      </c>
      <c r="F148" s="135">
        <f>SUM(F150:F155)</f>
        <v>92659.7</v>
      </c>
      <c r="G148" s="218">
        <f aca="true" t="shared" si="43" ref="G148:Q148">SUM(G150:G155)</f>
        <v>17000</v>
      </c>
      <c r="H148" s="219">
        <f t="shared" si="43"/>
        <v>10799.53</v>
      </c>
      <c r="I148" s="220">
        <f t="shared" si="43"/>
        <v>120459.23</v>
      </c>
      <c r="J148" s="218">
        <f t="shared" si="43"/>
        <v>5996.55</v>
      </c>
      <c r="K148" s="134">
        <f t="shared" si="43"/>
        <v>0</v>
      </c>
      <c r="L148" s="220">
        <f t="shared" si="43"/>
        <v>126455.78</v>
      </c>
      <c r="M148" s="133">
        <f t="shared" si="43"/>
        <v>0</v>
      </c>
      <c r="N148" s="134">
        <f t="shared" si="43"/>
        <v>0</v>
      </c>
      <c r="O148" s="135">
        <f t="shared" si="43"/>
        <v>110559.23</v>
      </c>
      <c r="P148" s="133">
        <f t="shared" si="43"/>
        <v>0</v>
      </c>
      <c r="Q148" s="135">
        <f t="shared" si="43"/>
        <v>110559.23</v>
      </c>
    </row>
    <row r="149" spans="1:17" ht="12.75">
      <c r="A149" s="43" t="s">
        <v>33</v>
      </c>
      <c r="B149" s="102"/>
      <c r="C149" s="122"/>
      <c r="D149" s="123"/>
      <c r="E149" s="123"/>
      <c r="F149" s="124"/>
      <c r="G149" s="206"/>
      <c r="H149" s="207"/>
      <c r="I149" s="208"/>
      <c r="J149" s="206"/>
      <c r="K149" s="8"/>
      <c r="L149" s="208"/>
      <c r="M149" s="31"/>
      <c r="N149" s="8"/>
      <c r="O149" s="32"/>
      <c r="P149" s="85"/>
      <c r="Q149" s="193"/>
    </row>
    <row r="150" spans="1:17" ht="12.75">
      <c r="A150" s="44" t="s">
        <v>80</v>
      </c>
      <c r="B150" s="102"/>
      <c r="C150" s="121"/>
      <c r="D150" s="119">
        <f>16560+49.87+5000</f>
        <v>21609.87</v>
      </c>
      <c r="E150" s="119"/>
      <c r="F150" s="120">
        <f aca="true" t="shared" si="44" ref="F150:F156">C150+D150+E150</f>
        <v>21609.87</v>
      </c>
      <c r="G150" s="202">
        <f>10000+7000</f>
        <v>17000</v>
      </c>
      <c r="H150" s="203">
        <f>859</f>
        <v>859</v>
      </c>
      <c r="I150" s="201">
        <f>F150+G150+H150</f>
        <v>39468.869999999995</v>
      </c>
      <c r="J150" s="202">
        <f>5000</f>
        <v>5000</v>
      </c>
      <c r="K150" s="7"/>
      <c r="L150" s="201">
        <f>I150+J150+K150</f>
        <v>44468.869999999995</v>
      </c>
      <c r="M150" s="29"/>
      <c r="N150" s="7"/>
      <c r="O150" s="30">
        <f>L150+M150+N150</f>
        <v>44468.869999999995</v>
      </c>
      <c r="P150" s="85"/>
      <c r="Q150" s="193">
        <f aca="true" t="shared" si="45" ref="Q150:Q205">O150+P150</f>
        <v>44468.869999999995</v>
      </c>
    </row>
    <row r="151" spans="1:17" ht="12.75">
      <c r="A151" s="49" t="s">
        <v>319</v>
      </c>
      <c r="B151" s="102"/>
      <c r="C151" s="121"/>
      <c r="D151" s="119">
        <v>10000</v>
      </c>
      <c r="E151" s="119"/>
      <c r="F151" s="120">
        <f t="shared" si="44"/>
        <v>10000</v>
      </c>
      <c r="G151" s="202"/>
      <c r="H151" s="203"/>
      <c r="I151" s="201">
        <f>F151+G151+H151</f>
        <v>10000</v>
      </c>
      <c r="J151" s="202"/>
      <c r="K151" s="7"/>
      <c r="L151" s="201">
        <f>I151+J151+K151</f>
        <v>10000</v>
      </c>
      <c r="M151" s="29"/>
      <c r="N151" s="7"/>
      <c r="O151" s="30"/>
      <c r="P151" s="85"/>
      <c r="Q151" s="193"/>
    </row>
    <row r="152" spans="1:17" ht="12.75">
      <c r="A152" s="44" t="s">
        <v>68</v>
      </c>
      <c r="B152" s="102"/>
      <c r="C152" s="121"/>
      <c r="D152" s="119">
        <f>4900</f>
        <v>4900</v>
      </c>
      <c r="E152" s="119"/>
      <c r="F152" s="120">
        <f t="shared" si="44"/>
        <v>4900</v>
      </c>
      <c r="G152" s="202"/>
      <c r="H152" s="203"/>
      <c r="I152" s="201">
        <f>F152+G152+H152</f>
        <v>4900</v>
      </c>
      <c r="J152" s="202">
        <f>996.55</f>
        <v>996.55</v>
      </c>
      <c r="K152" s="7"/>
      <c r="L152" s="201">
        <f>I152+J152+K152</f>
        <v>5896.55</v>
      </c>
      <c r="M152" s="29"/>
      <c r="N152" s="7"/>
      <c r="O152" s="30"/>
      <c r="P152" s="85"/>
      <c r="Q152" s="193"/>
    </row>
    <row r="153" spans="1:17" ht="12.75" hidden="1">
      <c r="A153" s="45" t="s">
        <v>254</v>
      </c>
      <c r="B153" s="102"/>
      <c r="C153" s="121"/>
      <c r="D153" s="119"/>
      <c r="E153" s="119"/>
      <c r="F153" s="120">
        <f t="shared" si="44"/>
        <v>0</v>
      </c>
      <c r="G153" s="202"/>
      <c r="H153" s="203"/>
      <c r="I153" s="201"/>
      <c r="J153" s="202"/>
      <c r="K153" s="7"/>
      <c r="L153" s="201"/>
      <c r="M153" s="29"/>
      <c r="N153" s="7"/>
      <c r="O153" s="30"/>
      <c r="P153" s="85"/>
      <c r="Q153" s="193"/>
    </row>
    <row r="154" spans="1:17" ht="12.75" hidden="1">
      <c r="A154" s="45" t="s">
        <v>90</v>
      </c>
      <c r="B154" s="102"/>
      <c r="C154" s="121"/>
      <c r="D154" s="119"/>
      <c r="E154" s="119"/>
      <c r="F154" s="120">
        <f t="shared" si="44"/>
        <v>0</v>
      </c>
      <c r="G154" s="202"/>
      <c r="H154" s="203"/>
      <c r="I154" s="201">
        <f>F154+G154+H154</f>
        <v>0</v>
      </c>
      <c r="J154" s="202"/>
      <c r="K154" s="7"/>
      <c r="L154" s="201">
        <f>I154+J154+K154</f>
        <v>0</v>
      </c>
      <c r="M154" s="29"/>
      <c r="N154" s="7"/>
      <c r="O154" s="30">
        <f>L154+M154+N154</f>
        <v>0</v>
      </c>
      <c r="P154" s="85"/>
      <c r="Q154" s="193">
        <f t="shared" si="45"/>
        <v>0</v>
      </c>
    </row>
    <row r="155" spans="1:17" ht="12.75">
      <c r="A155" s="44" t="s">
        <v>78</v>
      </c>
      <c r="B155" s="102"/>
      <c r="C155" s="121">
        <v>45000</v>
      </c>
      <c r="D155" s="119">
        <f>11216.21-66.38</f>
        <v>11149.83</v>
      </c>
      <c r="E155" s="119"/>
      <c r="F155" s="120">
        <f t="shared" si="44"/>
        <v>56149.83</v>
      </c>
      <c r="G155" s="202"/>
      <c r="H155" s="203">
        <f>9940.53</f>
        <v>9940.53</v>
      </c>
      <c r="I155" s="201">
        <f>F155+G155+H155</f>
        <v>66090.36</v>
      </c>
      <c r="J155" s="202"/>
      <c r="K155" s="7"/>
      <c r="L155" s="201">
        <f>I155+J155+K155</f>
        <v>66090.36</v>
      </c>
      <c r="M155" s="29"/>
      <c r="N155" s="7"/>
      <c r="O155" s="30">
        <f>L155+M155+N155</f>
        <v>66090.36</v>
      </c>
      <c r="P155" s="85"/>
      <c r="Q155" s="193">
        <f t="shared" si="45"/>
        <v>66090.36</v>
      </c>
    </row>
    <row r="156" spans="1:17" ht="12.75">
      <c r="A156" s="53" t="s">
        <v>81</v>
      </c>
      <c r="B156" s="105"/>
      <c r="C156" s="131"/>
      <c r="D156" s="132">
        <v>11216.21</v>
      </c>
      <c r="E156" s="132"/>
      <c r="F156" s="169">
        <f t="shared" si="44"/>
        <v>11216.21</v>
      </c>
      <c r="G156" s="215"/>
      <c r="H156" s="216">
        <f>16300</f>
        <v>16300</v>
      </c>
      <c r="I156" s="217">
        <f>F156+G156+H156</f>
        <v>27516.21</v>
      </c>
      <c r="J156" s="215"/>
      <c r="K156" s="10"/>
      <c r="L156" s="217">
        <f>I156+J156+K156</f>
        <v>27516.21</v>
      </c>
      <c r="M156" s="33"/>
      <c r="N156" s="10"/>
      <c r="O156" s="34">
        <f>L156+M156+N156</f>
        <v>27516.21</v>
      </c>
      <c r="P156" s="90"/>
      <c r="Q156" s="194">
        <f t="shared" si="45"/>
        <v>27516.21</v>
      </c>
    </row>
    <row r="157" spans="1:17" ht="12.75">
      <c r="A157" s="46" t="s">
        <v>82</v>
      </c>
      <c r="B157" s="106"/>
      <c r="C157" s="122">
        <f>C158+C163</f>
        <v>7660</v>
      </c>
      <c r="D157" s="123">
        <f>D158+D163</f>
        <v>3578.35</v>
      </c>
      <c r="E157" s="123">
        <f>E158+E163</f>
        <v>0</v>
      </c>
      <c r="F157" s="124">
        <f>F158+F163</f>
        <v>11238.35</v>
      </c>
      <c r="G157" s="206">
        <f aca="true" t="shared" si="46" ref="G157:Q157">G158+G163</f>
        <v>0</v>
      </c>
      <c r="H157" s="207">
        <f t="shared" si="46"/>
        <v>0</v>
      </c>
      <c r="I157" s="208">
        <f t="shared" si="46"/>
        <v>11238.35</v>
      </c>
      <c r="J157" s="206">
        <f t="shared" si="46"/>
        <v>0</v>
      </c>
      <c r="K157" s="123">
        <f t="shared" si="46"/>
        <v>0</v>
      </c>
      <c r="L157" s="208">
        <f t="shared" si="46"/>
        <v>11238.35</v>
      </c>
      <c r="M157" s="122">
        <f t="shared" si="46"/>
        <v>0</v>
      </c>
      <c r="N157" s="123">
        <f t="shared" si="46"/>
        <v>0</v>
      </c>
      <c r="O157" s="124">
        <f t="shared" si="46"/>
        <v>11148.35</v>
      </c>
      <c r="P157" s="122">
        <f t="shared" si="46"/>
        <v>0</v>
      </c>
      <c r="Q157" s="124">
        <f t="shared" si="46"/>
        <v>11148.35</v>
      </c>
    </row>
    <row r="158" spans="1:17" ht="12.75">
      <c r="A158" s="51" t="s">
        <v>62</v>
      </c>
      <c r="B158" s="106"/>
      <c r="C158" s="128">
        <f>SUM(C160:C162)</f>
        <v>7660</v>
      </c>
      <c r="D158" s="129">
        <f>SUM(D160:D162)</f>
        <v>3578.35</v>
      </c>
      <c r="E158" s="129">
        <f>SUM(E160:E162)</f>
        <v>0</v>
      </c>
      <c r="F158" s="130">
        <f>SUM(F160:F162)</f>
        <v>11238.35</v>
      </c>
      <c r="G158" s="212">
        <f aca="true" t="shared" si="47" ref="G158:Q158">SUM(G160:G162)</f>
        <v>0</v>
      </c>
      <c r="H158" s="213">
        <f t="shared" si="47"/>
        <v>-90</v>
      </c>
      <c r="I158" s="214">
        <f t="shared" si="47"/>
        <v>11148.35</v>
      </c>
      <c r="J158" s="212">
        <f t="shared" si="47"/>
        <v>0</v>
      </c>
      <c r="K158" s="129">
        <f t="shared" si="47"/>
        <v>0</v>
      </c>
      <c r="L158" s="214">
        <f t="shared" si="47"/>
        <v>11148.35</v>
      </c>
      <c r="M158" s="128">
        <f t="shared" si="47"/>
        <v>0</v>
      </c>
      <c r="N158" s="129">
        <f t="shared" si="47"/>
        <v>0</v>
      </c>
      <c r="O158" s="130">
        <f t="shared" si="47"/>
        <v>11148.35</v>
      </c>
      <c r="P158" s="128">
        <f t="shared" si="47"/>
        <v>0</v>
      </c>
      <c r="Q158" s="130">
        <f t="shared" si="47"/>
        <v>11148.35</v>
      </c>
    </row>
    <row r="159" spans="1:17" ht="12.75">
      <c r="A159" s="47" t="s">
        <v>33</v>
      </c>
      <c r="B159" s="102"/>
      <c r="C159" s="121"/>
      <c r="D159" s="119"/>
      <c r="E159" s="119"/>
      <c r="F159" s="118"/>
      <c r="G159" s="202"/>
      <c r="H159" s="203"/>
      <c r="I159" s="200"/>
      <c r="J159" s="202"/>
      <c r="K159" s="7"/>
      <c r="L159" s="200"/>
      <c r="M159" s="29"/>
      <c r="N159" s="7"/>
      <c r="O159" s="28"/>
      <c r="P159" s="85"/>
      <c r="Q159" s="193"/>
    </row>
    <row r="160" spans="1:17" ht="12.75">
      <c r="A160" s="45" t="s">
        <v>64</v>
      </c>
      <c r="B160" s="102"/>
      <c r="C160" s="121">
        <v>7660</v>
      </c>
      <c r="D160" s="119">
        <f>2205.35</f>
        <v>2205.35</v>
      </c>
      <c r="E160" s="119"/>
      <c r="F160" s="120">
        <f>C160+D160+E160</f>
        <v>9865.35</v>
      </c>
      <c r="G160" s="202">
        <f>-60</f>
        <v>-60</v>
      </c>
      <c r="H160" s="203">
        <f>-90</f>
        <v>-90</v>
      </c>
      <c r="I160" s="201">
        <f>SUM(F160:H160)</f>
        <v>9715.35</v>
      </c>
      <c r="J160" s="202"/>
      <c r="K160" s="7"/>
      <c r="L160" s="201">
        <f>I160+J160+K160</f>
        <v>9715.35</v>
      </c>
      <c r="M160" s="29"/>
      <c r="N160" s="7"/>
      <c r="O160" s="30">
        <f>L160+M160+N160</f>
        <v>9715.35</v>
      </c>
      <c r="P160" s="85"/>
      <c r="Q160" s="193">
        <f t="shared" si="45"/>
        <v>9715.35</v>
      </c>
    </row>
    <row r="161" spans="1:17" ht="12.75">
      <c r="A161" s="49" t="s">
        <v>83</v>
      </c>
      <c r="B161" s="102">
        <v>33166</v>
      </c>
      <c r="C161" s="121"/>
      <c r="D161" s="119">
        <f>1373</f>
        <v>1373</v>
      </c>
      <c r="E161" s="119"/>
      <c r="F161" s="120">
        <f>C161+D161+E161</f>
        <v>1373</v>
      </c>
      <c r="G161" s="202"/>
      <c r="H161" s="203"/>
      <c r="I161" s="201">
        <f>SUM(F161:H161)</f>
        <v>1373</v>
      </c>
      <c r="J161" s="202"/>
      <c r="K161" s="7"/>
      <c r="L161" s="201">
        <f>I161+J161+K161</f>
        <v>1373</v>
      </c>
      <c r="M161" s="29"/>
      <c r="N161" s="7"/>
      <c r="O161" s="30">
        <f>L161+M161+N161</f>
        <v>1373</v>
      </c>
      <c r="P161" s="85"/>
      <c r="Q161" s="193">
        <f t="shared" si="45"/>
        <v>1373</v>
      </c>
    </row>
    <row r="162" spans="1:17" ht="12.75">
      <c r="A162" s="49" t="s">
        <v>76</v>
      </c>
      <c r="B162" s="102"/>
      <c r="C162" s="121"/>
      <c r="D162" s="119"/>
      <c r="E162" s="119"/>
      <c r="F162" s="120">
        <f>C162+D162+E162</f>
        <v>0</v>
      </c>
      <c r="G162" s="202">
        <f>60</f>
        <v>60</v>
      </c>
      <c r="H162" s="203"/>
      <c r="I162" s="201">
        <f>SUM(F162:H162)</f>
        <v>60</v>
      </c>
      <c r="J162" s="202"/>
      <c r="K162" s="7"/>
      <c r="L162" s="201">
        <f>I162+J162+K162</f>
        <v>60</v>
      </c>
      <c r="M162" s="29"/>
      <c r="N162" s="7"/>
      <c r="O162" s="30">
        <f>L162+M162+N162</f>
        <v>60</v>
      </c>
      <c r="P162" s="85"/>
      <c r="Q162" s="193">
        <f t="shared" si="45"/>
        <v>60</v>
      </c>
    </row>
    <row r="163" spans="1:17" ht="12.75">
      <c r="A163" s="51" t="s">
        <v>67</v>
      </c>
      <c r="B163" s="106"/>
      <c r="C163" s="128">
        <f>C166+C165</f>
        <v>0</v>
      </c>
      <c r="D163" s="129">
        <f>D166</f>
        <v>0</v>
      </c>
      <c r="E163" s="129">
        <f>E166</f>
        <v>0</v>
      </c>
      <c r="F163" s="130">
        <f>F166+F165</f>
        <v>0</v>
      </c>
      <c r="G163" s="212">
        <f>G166+G165</f>
        <v>0</v>
      </c>
      <c r="H163" s="213">
        <f>H166+H165</f>
        <v>90</v>
      </c>
      <c r="I163" s="214">
        <f>I166+I165</f>
        <v>90</v>
      </c>
      <c r="J163" s="212">
        <f>J166+J165</f>
        <v>0</v>
      </c>
      <c r="K163" s="129">
        <f aca="true" t="shared" si="48" ref="K163:Q163">K166</f>
        <v>0</v>
      </c>
      <c r="L163" s="214">
        <f>L166+L165</f>
        <v>90</v>
      </c>
      <c r="M163" s="128">
        <f t="shared" si="48"/>
        <v>0</v>
      </c>
      <c r="N163" s="129">
        <f t="shared" si="48"/>
        <v>0</v>
      </c>
      <c r="O163" s="130">
        <f t="shared" si="48"/>
        <v>0</v>
      </c>
      <c r="P163" s="128">
        <f t="shared" si="48"/>
        <v>0</v>
      </c>
      <c r="Q163" s="130">
        <f t="shared" si="48"/>
        <v>0</v>
      </c>
    </row>
    <row r="164" spans="1:17" ht="12.75">
      <c r="A164" s="47" t="s">
        <v>33</v>
      </c>
      <c r="B164" s="102"/>
      <c r="C164" s="121"/>
      <c r="D164" s="119"/>
      <c r="E164" s="119"/>
      <c r="F164" s="118"/>
      <c r="G164" s="202"/>
      <c r="H164" s="203"/>
      <c r="I164" s="200"/>
      <c r="J164" s="202"/>
      <c r="K164" s="7"/>
      <c r="L164" s="200"/>
      <c r="M164" s="29"/>
      <c r="N164" s="7"/>
      <c r="O164" s="28"/>
      <c r="P164" s="85"/>
      <c r="Q164" s="193"/>
    </row>
    <row r="165" spans="1:17" ht="12.75">
      <c r="A165" s="53" t="s">
        <v>68</v>
      </c>
      <c r="B165" s="105"/>
      <c r="C165" s="131"/>
      <c r="D165" s="132"/>
      <c r="E165" s="132"/>
      <c r="F165" s="256"/>
      <c r="G165" s="215"/>
      <c r="H165" s="216">
        <f>90</f>
        <v>90</v>
      </c>
      <c r="I165" s="217">
        <f>SUM(F165:H165)</f>
        <v>90</v>
      </c>
      <c r="J165" s="215"/>
      <c r="K165" s="10"/>
      <c r="L165" s="217">
        <f>I165+J165+K165</f>
        <v>90</v>
      </c>
      <c r="M165" s="29"/>
      <c r="N165" s="7"/>
      <c r="O165" s="28"/>
      <c r="P165" s="85"/>
      <c r="Q165" s="193"/>
    </row>
    <row r="166" spans="1:17" ht="12.75" hidden="1">
      <c r="A166" s="48" t="s">
        <v>196</v>
      </c>
      <c r="B166" s="105"/>
      <c r="C166" s="131"/>
      <c r="D166" s="132"/>
      <c r="E166" s="132"/>
      <c r="F166" s="169">
        <f>C166+D166+E166</f>
        <v>0</v>
      </c>
      <c r="G166" s="215"/>
      <c r="H166" s="216"/>
      <c r="I166" s="217">
        <f>F166+G166+H166</f>
        <v>0</v>
      </c>
      <c r="J166" s="215"/>
      <c r="K166" s="10"/>
      <c r="L166" s="217">
        <f>I166+J166+K166</f>
        <v>0</v>
      </c>
      <c r="M166" s="33"/>
      <c r="N166" s="10"/>
      <c r="O166" s="34">
        <f>L166+M166+N166</f>
        <v>0</v>
      </c>
      <c r="P166" s="90"/>
      <c r="Q166" s="194">
        <f t="shared" si="45"/>
        <v>0</v>
      </c>
    </row>
    <row r="167" spans="1:17" ht="12.75">
      <c r="A167" s="42" t="s">
        <v>84</v>
      </c>
      <c r="B167" s="106"/>
      <c r="C167" s="116">
        <f>C168+C180</f>
        <v>1120747.5</v>
      </c>
      <c r="D167" s="117">
        <f>D168+D180</f>
        <v>72605.79000000001</v>
      </c>
      <c r="E167" s="117">
        <f>E168+E180</f>
        <v>0</v>
      </c>
      <c r="F167" s="118">
        <f>F168+F180</f>
        <v>1193353.29</v>
      </c>
      <c r="G167" s="198">
        <f aca="true" t="shared" si="49" ref="G167:Q167">G168+G180</f>
        <v>299692.73</v>
      </c>
      <c r="H167" s="199">
        <f t="shared" si="49"/>
        <v>0</v>
      </c>
      <c r="I167" s="200">
        <f t="shared" si="49"/>
        <v>1493046.02</v>
      </c>
      <c r="J167" s="198">
        <f t="shared" si="49"/>
        <v>51315.7</v>
      </c>
      <c r="K167" s="117">
        <f t="shared" si="49"/>
        <v>0</v>
      </c>
      <c r="L167" s="200">
        <f t="shared" si="49"/>
        <v>1544361.72</v>
      </c>
      <c r="M167" s="116">
        <f t="shared" si="49"/>
        <v>0</v>
      </c>
      <c r="N167" s="117">
        <f t="shared" si="49"/>
        <v>0</v>
      </c>
      <c r="O167" s="118">
        <f t="shared" si="49"/>
        <v>1544361.72</v>
      </c>
      <c r="P167" s="116">
        <f t="shared" si="49"/>
        <v>0</v>
      </c>
      <c r="Q167" s="118">
        <f t="shared" si="49"/>
        <v>1544361.72</v>
      </c>
    </row>
    <row r="168" spans="1:17" ht="12.75">
      <c r="A168" s="51" t="s">
        <v>62</v>
      </c>
      <c r="B168" s="106"/>
      <c r="C168" s="128">
        <f>SUM(C171:C179)</f>
        <v>1113747.5</v>
      </c>
      <c r="D168" s="129">
        <f>SUM(D171:D179)</f>
        <v>57607.5</v>
      </c>
      <c r="E168" s="129">
        <f>SUM(E171:E179)</f>
        <v>0</v>
      </c>
      <c r="F168" s="130">
        <f>SUM(F171:F179)</f>
        <v>1171355</v>
      </c>
      <c r="G168" s="212">
        <f aca="true" t="shared" si="50" ref="G168:Q168">SUM(G171:G179)</f>
        <v>296899.5</v>
      </c>
      <c r="H168" s="213">
        <f t="shared" si="50"/>
        <v>0</v>
      </c>
      <c r="I168" s="214">
        <f t="shared" si="50"/>
        <v>1468254.5</v>
      </c>
      <c r="J168" s="212">
        <f t="shared" si="50"/>
        <v>51316.09</v>
      </c>
      <c r="K168" s="129">
        <f t="shared" si="50"/>
        <v>0</v>
      </c>
      <c r="L168" s="214">
        <f t="shared" si="50"/>
        <v>1519570.59</v>
      </c>
      <c r="M168" s="128">
        <f t="shared" si="50"/>
        <v>0</v>
      </c>
      <c r="N168" s="129">
        <f t="shared" si="50"/>
        <v>0</v>
      </c>
      <c r="O168" s="130">
        <f t="shared" si="50"/>
        <v>1519570.59</v>
      </c>
      <c r="P168" s="128">
        <f t="shared" si="50"/>
        <v>0</v>
      </c>
      <c r="Q168" s="130">
        <f t="shared" si="50"/>
        <v>1519570.59</v>
      </c>
    </row>
    <row r="169" spans="1:17" ht="12.75">
      <c r="A169" s="47" t="s">
        <v>33</v>
      </c>
      <c r="B169" s="102"/>
      <c r="C169" s="121"/>
      <c r="D169" s="119"/>
      <c r="E169" s="119"/>
      <c r="F169" s="118"/>
      <c r="G169" s="202"/>
      <c r="H169" s="203"/>
      <c r="I169" s="200"/>
      <c r="J169" s="202"/>
      <c r="K169" s="7"/>
      <c r="L169" s="200"/>
      <c r="M169" s="29"/>
      <c r="N169" s="7"/>
      <c r="O169" s="28"/>
      <c r="P169" s="85"/>
      <c r="Q169" s="193"/>
    </row>
    <row r="170" spans="1:17" ht="12.75">
      <c r="A170" s="49" t="s">
        <v>85</v>
      </c>
      <c r="B170" s="102"/>
      <c r="C170" s="121">
        <f>C171+C172</f>
        <v>674371</v>
      </c>
      <c r="D170" s="119">
        <f>D171+D172</f>
        <v>18672.71</v>
      </c>
      <c r="E170" s="119">
        <f>E171+E172</f>
        <v>-250</v>
      </c>
      <c r="F170" s="120">
        <f>F171+F172</f>
        <v>692793.71</v>
      </c>
      <c r="G170" s="202">
        <f aca="true" t="shared" si="51" ref="G170:Q170">G171+G172</f>
        <v>20235.75</v>
      </c>
      <c r="H170" s="203">
        <f t="shared" si="51"/>
        <v>0</v>
      </c>
      <c r="I170" s="201">
        <f t="shared" si="51"/>
        <v>713029.46</v>
      </c>
      <c r="J170" s="202">
        <f>J171+J172</f>
        <v>22397.61</v>
      </c>
      <c r="K170" s="119">
        <f t="shared" si="51"/>
        <v>0</v>
      </c>
      <c r="L170" s="201">
        <f t="shared" si="51"/>
        <v>735427.0700000001</v>
      </c>
      <c r="M170" s="121">
        <f t="shared" si="51"/>
        <v>0</v>
      </c>
      <c r="N170" s="119">
        <f t="shared" si="51"/>
        <v>0</v>
      </c>
      <c r="O170" s="120">
        <f t="shared" si="51"/>
        <v>735427.0700000001</v>
      </c>
      <c r="P170" s="121">
        <f t="shared" si="51"/>
        <v>0</v>
      </c>
      <c r="Q170" s="120">
        <f t="shared" si="51"/>
        <v>735427.0700000001</v>
      </c>
    </row>
    <row r="171" spans="1:17" ht="12.75">
      <c r="A171" s="49" t="s">
        <v>86</v>
      </c>
      <c r="B171" s="102"/>
      <c r="C171" s="121">
        <v>296942</v>
      </c>
      <c r="D171" s="119">
        <f>2195.61+7600+7.1+2400+6470</f>
        <v>18672.71</v>
      </c>
      <c r="E171" s="119">
        <f>-250</f>
        <v>-250</v>
      </c>
      <c r="F171" s="120">
        <f aca="true" t="shared" si="52" ref="F171:F179">C171+D171+E171</f>
        <v>315364.71</v>
      </c>
      <c r="G171" s="202">
        <f>-347.68+21765-2400+1218.43</f>
        <v>20235.75</v>
      </c>
      <c r="H171" s="221"/>
      <c r="I171" s="201">
        <f aca="true" t="shared" si="53" ref="I171:I179">F171+G171+H171</f>
        <v>335600.46</v>
      </c>
      <c r="J171" s="202">
        <f>1432.5+21765+632.61</f>
        <v>23830.11</v>
      </c>
      <c r="K171" s="7"/>
      <c r="L171" s="201">
        <f aca="true" t="shared" si="54" ref="L171:L179">I171+J171+K171</f>
        <v>359430.57</v>
      </c>
      <c r="M171" s="29"/>
      <c r="N171" s="7"/>
      <c r="O171" s="30">
        <f aca="true" t="shared" si="55" ref="O171:O179">L171+M171+N171</f>
        <v>359430.57</v>
      </c>
      <c r="P171" s="85"/>
      <c r="Q171" s="193">
        <f t="shared" si="45"/>
        <v>359430.57</v>
      </c>
    </row>
    <row r="172" spans="1:17" ht="12.75">
      <c r="A172" s="45" t="s">
        <v>87</v>
      </c>
      <c r="B172" s="102"/>
      <c r="C172" s="121">
        <v>377429</v>
      </c>
      <c r="D172" s="119"/>
      <c r="E172" s="119"/>
      <c r="F172" s="120">
        <f t="shared" si="52"/>
        <v>377429</v>
      </c>
      <c r="G172" s="202"/>
      <c r="H172" s="221"/>
      <c r="I172" s="201">
        <f t="shared" si="53"/>
        <v>377429</v>
      </c>
      <c r="J172" s="202">
        <f>-1432.5</f>
        <v>-1432.5</v>
      </c>
      <c r="K172" s="7"/>
      <c r="L172" s="201">
        <f t="shared" si="54"/>
        <v>375996.5</v>
      </c>
      <c r="M172" s="29"/>
      <c r="N172" s="7"/>
      <c r="O172" s="30">
        <f t="shared" si="55"/>
        <v>375996.5</v>
      </c>
      <c r="P172" s="85"/>
      <c r="Q172" s="193">
        <f t="shared" si="45"/>
        <v>375996.5</v>
      </c>
    </row>
    <row r="173" spans="1:17" ht="12.75">
      <c r="A173" s="49" t="s">
        <v>88</v>
      </c>
      <c r="B173" s="102"/>
      <c r="C173" s="121">
        <v>20876.5</v>
      </c>
      <c r="D173" s="119"/>
      <c r="E173" s="119"/>
      <c r="F173" s="120">
        <f t="shared" si="52"/>
        <v>20876.5</v>
      </c>
      <c r="G173" s="202"/>
      <c r="H173" s="203"/>
      <c r="I173" s="201">
        <f t="shared" si="53"/>
        <v>20876.5</v>
      </c>
      <c r="J173" s="202"/>
      <c r="K173" s="7"/>
      <c r="L173" s="201">
        <f t="shared" si="54"/>
        <v>20876.5</v>
      </c>
      <c r="M173" s="29"/>
      <c r="N173" s="7"/>
      <c r="O173" s="30">
        <f t="shared" si="55"/>
        <v>20876.5</v>
      </c>
      <c r="P173" s="85"/>
      <c r="Q173" s="193">
        <f t="shared" si="45"/>
        <v>20876.5</v>
      </c>
    </row>
    <row r="174" spans="1:17" ht="12.75">
      <c r="A174" s="45" t="s">
        <v>89</v>
      </c>
      <c r="B174" s="102"/>
      <c r="C174" s="121"/>
      <c r="D174" s="119"/>
      <c r="E174" s="119">
        <f>250</f>
        <v>250</v>
      </c>
      <c r="F174" s="120">
        <f t="shared" si="52"/>
        <v>250</v>
      </c>
      <c r="G174" s="202"/>
      <c r="H174" s="203"/>
      <c r="I174" s="201">
        <f t="shared" si="53"/>
        <v>250</v>
      </c>
      <c r="J174" s="202"/>
      <c r="K174" s="7"/>
      <c r="L174" s="201">
        <f t="shared" si="54"/>
        <v>250</v>
      </c>
      <c r="M174" s="29"/>
      <c r="N174" s="7"/>
      <c r="O174" s="30">
        <f t="shared" si="55"/>
        <v>250</v>
      </c>
      <c r="P174" s="85"/>
      <c r="Q174" s="193">
        <f t="shared" si="45"/>
        <v>250</v>
      </c>
    </row>
    <row r="175" spans="1:17" ht="12.75">
      <c r="A175" s="45" t="s">
        <v>76</v>
      </c>
      <c r="B175" s="102"/>
      <c r="C175" s="121"/>
      <c r="D175" s="119"/>
      <c r="E175" s="119"/>
      <c r="F175" s="120">
        <f t="shared" si="52"/>
        <v>0</v>
      </c>
      <c r="G175" s="202">
        <f>347.68</f>
        <v>347.68</v>
      </c>
      <c r="H175" s="203"/>
      <c r="I175" s="201">
        <f t="shared" si="53"/>
        <v>347.68</v>
      </c>
      <c r="J175" s="202"/>
      <c r="K175" s="7"/>
      <c r="L175" s="201">
        <f t="shared" si="54"/>
        <v>347.68</v>
      </c>
      <c r="M175" s="29"/>
      <c r="N175" s="7"/>
      <c r="O175" s="30">
        <f t="shared" si="55"/>
        <v>347.68</v>
      </c>
      <c r="P175" s="85"/>
      <c r="Q175" s="193">
        <f t="shared" si="45"/>
        <v>347.68</v>
      </c>
    </row>
    <row r="176" spans="1:17" ht="12.75">
      <c r="A176" s="67" t="s">
        <v>332</v>
      </c>
      <c r="B176" s="102">
        <v>91252</v>
      </c>
      <c r="C176" s="121"/>
      <c r="D176" s="119"/>
      <c r="E176" s="119"/>
      <c r="F176" s="120">
        <f t="shared" si="52"/>
        <v>0</v>
      </c>
      <c r="G176" s="202">
        <f>9200</f>
        <v>9200</v>
      </c>
      <c r="H176" s="203"/>
      <c r="I176" s="201">
        <f t="shared" si="53"/>
        <v>9200</v>
      </c>
      <c r="J176" s="202">
        <f>24230</f>
        <v>24230</v>
      </c>
      <c r="K176" s="7"/>
      <c r="L176" s="201">
        <f t="shared" si="54"/>
        <v>33430</v>
      </c>
      <c r="M176" s="29"/>
      <c r="N176" s="7"/>
      <c r="O176" s="30">
        <f t="shared" si="55"/>
        <v>33430</v>
      </c>
      <c r="P176" s="85"/>
      <c r="Q176" s="193">
        <f t="shared" si="45"/>
        <v>33430</v>
      </c>
    </row>
    <row r="177" spans="1:17" ht="12.75">
      <c r="A177" s="45" t="s">
        <v>161</v>
      </c>
      <c r="B177" s="102">
        <v>27355</v>
      </c>
      <c r="C177" s="121"/>
      <c r="D177" s="119"/>
      <c r="E177" s="119"/>
      <c r="F177" s="120">
        <f t="shared" si="52"/>
        <v>0</v>
      </c>
      <c r="G177" s="202">
        <f>268513.86</f>
        <v>268513.86</v>
      </c>
      <c r="H177" s="203"/>
      <c r="I177" s="201">
        <f t="shared" si="53"/>
        <v>268513.86</v>
      </c>
      <c r="J177" s="202"/>
      <c r="K177" s="7"/>
      <c r="L177" s="201">
        <f t="shared" si="54"/>
        <v>268513.86</v>
      </c>
      <c r="M177" s="29"/>
      <c r="N177" s="7"/>
      <c r="O177" s="30">
        <f t="shared" si="55"/>
        <v>268513.86</v>
      </c>
      <c r="P177" s="85"/>
      <c r="Q177" s="193">
        <f t="shared" si="45"/>
        <v>268513.86</v>
      </c>
    </row>
    <row r="178" spans="1:17" ht="12.75">
      <c r="A178" s="45" t="s">
        <v>64</v>
      </c>
      <c r="B178" s="102"/>
      <c r="C178" s="121">
        <v>418500</v>
      </c>
      <c r="D178" s="119">
        <f>1397.79+37537</f>
        <v>38934.79</v>
      </c>
      <c r="E178" s="132"/>
      <c r="F178" s="120">
        <f t="shared" si="52"/>
        <v>457434.79</v>
      </c>
      <c r="G178" s="202">
        <f>-1397.79</f>
        <v>-1397.79</v>
      </c>
      <c r="H178" s="203"/>
      <c r="I178" s="201">
        <f t="shared" si="53"/>
        <v>456037</v>
      </c>
      <c r="J178" s="202">
        <f>438.48+4250</f>
        <v>4688.48</v>
      </c>
      <c r="K178" s="7"/>
      <c r="L178" s="201">
        <f t="shared" si="54"/>
        <v>460725.48</v>
      </c>
      <c r="M178" s="29"/>
      <c r="N178" s="7"/>
      <c r="O178" s="30">
        <f t="shared" si="55"/>
        <v>460725.48</v>
      </c>
      <c r="P178" s="85"/>
      <c r="Q178" s="193">
        <f t="shared" si="45"/>
        <v>460725.48</v>
      </c>
    </row>
    <row r="179" spans="1:17" ht="12" customHeight="1" hidden="1">
      <c r="A179" s="45" t="s">
        <v>90</v>
      </c>
      <c r="B179" s="102"/>
      <c r="C179" s="121"/>
      <c r="D179" s="119"/>
      <c r="E179" s="119"/>
      <c r="F179" s="120">
        <f t="shared" si="52"/>
        <v>0</v>
      </c>
      <c r="G179" s="202"/>
      <c r="H179" s="203"/>
      <c r="I179" s="201">
        <f t="shared" si="53"/>
        <v>0</v>
      </c>
      <c r="J179" s="202"/>
      <c r="K179" s="7"/>
      <c r="L179" s="201">
        <f t="shared" si="54"/>
        <v>0</v>
      </c>
      <c r="M179" s="29"/>
      <c r="N179" s="7"/>
      <c r="O179" s="30">
        <f t="shared" si="55"/>
        <v>0</v>
      </c>
      <c r="P179" s="85"/>
      <c r="Q179" s="193">
        <f t="shared" si="45"/>
        <v>0</v>
      </c>
    </row>
    <row r="180" spans="1:17" ht="12.75">
      <c r="A180" s="52" t="s">
        <v>67</v>
      </c>
      <c r="B180" s="106"/>
      <c r="C180" s="133">
        <f>SUM(C182:C184)</f>
        <v>7000</v>
      </c>
      <c r="D180" s="134">
        <f>SUM(D182:D184)</f>
        <v>14998.29</v>
      </c>
      <c r="E180" s="134">
        <f>SUM(E182:E184)</f>
        <v>0</v>
      </c>
      <c r="F180" s="135">
        <f>SUM(F182:F184)</f>
        <v>21998.29</v>
      </c>
      <c r="G180" s="218">
        <f aca="true" t="shared" si="56" ref="G180:Q180">SUM(G182:G184)</f>
        <v>2793.23</v>
      </c>
      <c r="H180" s="219">
        <f t="shared" si="56"/>
        <v>0</v>
      </c>
      <c r="I180" s="220">
        <f t="shared" si="56"/>
        <v>24791.52</v>
      </c>
      <c r="J180" s="218">
        <f t="shared" si="56"/>
        <v>-0.39</v>
      </c>
      <c r="K180" s="134">
        <f t="shared" si="56"/>
        <v>0</v>
      </c>
      <c r="L180" s="220">
        <f t="shared" si="56"/>
        <v>24791.13</v>
      </c>
      <c r="M180" s="133">
        <f t="shared" si="56"/>
        <v>0</v>
      </c>
      <c r="N180" s="134">
        <f t="shared" si="56"/>
        <v>0</v>
      </c>
      <c r="O180" s="135">
        <f t="shared" si="56"/>
        <v>24791.13</v>
      </c>
      <c r="P180" s="133">
        <f t="shared" si="56"/>
        <v>0</v>
      </c>
      <c r="Q180" s="135">
        <f t="shared" si="56"/>
        <v>24791.13</v>
      </c>
    </row>
    <row r="181" spans="1:17" ht="12.75">
      <c r="A181" s="43" t="s">
        <v>33</v>
      </c>
      <c r="B181" s="102"/>
      <c r="C181" s="122"/>
      <c r="D181" s="123"/>
      <c r="E181" s="123"/>
      <c r="F181" s="124"/>
      <c r="G181" s="206"/>
      <c r="H181" s="207"/>
      <c r="I181" s="208"/>
      <c r="J181" s="206"/>
      <c r="K181" s="8"/>
      <c r="L181" s="208"/>
      <c r="M181" s="31"/>
      <c r="N181" s="8"/>
      <c r="O181" s="32"/>
      <c r="P181" s="85"/>
      <c r="Q181" s="193"/>
    </row>
    <row r="182" spans="1:17" ht="12.75">
      <c r="A182" s="44" t="s">
        <v>68</v>
      </c>
      <c r="B182" s="102"/>
      <c r="C182" s="121"/>
      <c r="D182" s="119">
        <f>1998.29+10000</f>
        <v>11998.29</v>
      </c>
      <c r="E182" s="119"/>
      <c r="F182" s="120">
        <f>C182+D182+E182</f>
        <v>11998.29</v>
      </c>
      <c r="G182" s="202">
        <f>1397.79+341.75+1053.69</f>
        <v>2793.23</v>
      </c>
      <c r="H182" s="203"/>
      <c r="I182" s="201">
        <f>F182+G182+H182</f>
        <v>14791.52</v>
      </c>
      <c r="J182" s="202">
        <f>-0.39</f>
        <v>-0.39</v>
      </c>
      <c r="K182" s="7"/>
      <c r="L182" s="201">
        <f>I182+J182+K182</f>
        <v>14791.130000000001</v>
      </c>
      <c r="M182" s="29"/>
      <c r="N182" s="7"/>
      <c r="O182" s="30">
        <f>L182+M182+N182</f>
        <v>14791.130000000001</v>
      </c>
      <c r="P182" s="85"/>
      <c r="Q182" s="193">
        <f t="shared" si="45"/>
        <v>14791.130000000001</v>
      </c>
    </row>
    <row r="183" spans="1:17" ht="12.75">
      <c r="A183" s="48" t="s">
        <v>105</v>
      </c>
      <c r="B183" s="105"/>
      <c r="C183" s="131">
        <v>7000</v>
      </c>
      <c r="D183" s="132">
        <f>3000</f>
        <v>3000</v>
      </c>
      <c r="E183" s="132"/>
      <c r="F183" s="169">
        <f>C183+D183+E183</f>
        <v>10000</v>
      </c>
      <c r="G183" s="215"/>
      <c r="H183" s="216"/>
      <c r="I183" s="217">
        <f>F183+G183+H183</f>
        <v>10000</v>
      </c>
      <c r="J183" s="215"/>
      <c r="K183" s="10"/>
      <c r="L183" s="217">
        <f>I183+J183+K183</f>
        <v>10000</v>
      </c>
      <c r="M183" s="33"/>
      <c r="N183" s="10"/>
      <c r="O183" s="34">
        <f>L183+M183+N183</f>
        <v>10000</v>
      </c>
      <c r="P183" s="90"/>
      <c r="Q183" s="194">
        <f t="shared" si="45"/>
        <v>10000</v>
      </c>
    </row>
    <row r="184" spans="1:17" ht="12.75" hidden="1">
      <c r="A184" s="48" t="s">
        <v>91</v>
      </c>
      <c r="B184" s="105"/>
      <c r="C184" s="131"/>
      <c r="D184" s="132"/>
      <c r="E184" s="132"/>
      <c r="F184" s="169">
        <f>C184+D184+E184</f>
        <v>0</v>
      </c>
      <c r="G184" s="215"/>
      <c r="H184" s="216"/>
      <c r="I184" s="217">
        <f>F184+G184+H184</f>
        <v>0</v>
      </c>
      <c r="J184" s="215"/>
      <c r="K184" s="10"/>
      <c r="L184" s="217">
        <f>I184+J184+K184</f>
        <v>0</v>
      </c>
      <c r="M184" s="33"/>
      <c r="N184" s="10"/>
      <c r="O184" s="34">
        <f>L184+M184+N184</f>
        <v>0</v>
      </c>
      <c r="P184" s="90"/>
      <c r="Q184" s="194">
        <f t="shared" si="45"/>
        <v>0</v>
      </c>
    </row>
    <row r="185" spans="1:17" ht="12.75">
      <c r="A185" s="46" t="s">
        <v>92</v>
      </c>
      <c r="B185" s="106"/>
      <c r="C185" s="122">
        <f>C186+C191</f>
        <v>33600.8</v>
      </c>
      <c r="D185" s="123">
        <f>D186+D191</f>
        <v>202840</v>
      </c>
      <c r="E185" s="123">
        <f>E186+E191</f>
        <v>0</v>
      </c>
      <c r="F185" s="124">
        <f>F186+F191</f>
        <v>236440.8</v>
      </c>
      <c r="G185" s="206">
        <f aca="true" t="shared" si="57" ref="G185:Q185">G186+G191</f>
        <v>1232.13</v>
      </c>
      <c r="H185" s="207">
        <f t="shared" si="57"/>
        <v>0</v>
      </c>
      <c r="I185" s="208">
        <f t="shared" si="57"/>
        <v>237672.93</v>
      </c>
      <c r="J185" s="206">
        <f t="shared" si="57"/>
        <v>-137</v>
      </c>
      <c r="K185" s="123">
        <f t="shared" si="57"/>
        <v>0</v>
      </c>
      <c r="L185" s="208">
        <f t="shared" si="57"/>
        <v>237535.93</v>
      </c>
      <c r="M185" s="122">
        <f t="shared" si="57"/>
        <v>0</v>
      </c>
      <c r="N185" s="123">
        <f t="shared" si="57"/>
        <v>0</v>
      </c>
      <c r="O185" s="124">
        <f t="shared" si="57"/>
        <v>37535.93</v>
      </c>
      <c r="P185" s="122">
        <f t="shared" si="57"/>
        <v>0</v>
      </c>
      <c r="Q185" s="124">
        <f t="shared" si="57"/>
        <v>37535.93</v>
      </c>
    </row>
    <row r="186" spans="1:17" ht="12.75">
      <c r="A186" s="51" t="s">
        <v>62</v>
      </c>
      <c r="B186" s="106"/>
      <c r="C186" s="128">
        <f>SUM(C188:C190)</f>
        <v>31600.8</v>
      </c>
      <c r="D186" s="129">
        <f>SUM(D188:D190)</f>
        <v>100</v>
      </c>
      <c r="E186" s="129">
        <f>SUM(E188:E190)</f>
        <v>0</v>
      </c>
      <c r="F186" s="130">
        <f>SUM(F188:F190)</f>
        <v>31700.8</v>
      </c>
      <c r="G186" s="212">
        <f aca="true" t="shared" si="58" ref="G186:Q186">SUM(G188:G190)</f>
        <v>3603.41</v>
      </c>
      <c r="H186" s="213">
        <f t="shared" si="58"/>
        <v>0</v>
      </c>
      <c r="I186" s="214">
        <f t="shared" si="58"/>
        <v>35304.21</v>
      </c>
      <c r="J186" s="212">
        <f t="shared" si="58"/>
        <v>-137</v>
      </c>
      <c r="K186" s="129">
        <f t="shared" si="58"/>
        <v>0</v>
      </c>
      <c r="L186" s="214">
        <f t="shared" si="58"/>
        <v>35167.21</v>
      </c>
      <c r="M186" s="128">
        <f t="shared" si="58"/>
        <v>0</v>
      </c>
      <c r="N186" s="129">
        <f t="shared" si="58"/>
        <v>0</v>
      </c>
      <c r="O186" s="130">
        <f t="shared" si="58"/>
        <v>35167.21</v>
      </c>
      <c r="P186" s="128">
        <f t="shared" si="58"/>
        <v>0</v>
      </c>
      <c r="Q186" s="130">
        <f t="shared" si="58"/>
        <v>35167.21</v>
      </c>
    </row>
    <row r="187" spans="1:17" ht="12.75">
      <c r="A187" s="47" t="s">
        <v>33</v>
      </c>
      <c r="B187" s="102"/>
      <c r="C187" s="121"/>
      <c r="D187" s="119"/>
      <c r="E187" s="119"/>
      <c r="F187" s="118"/>
      <c r="G187" s="202"/>
      <c r="H187" s="203"/>
      <c r="I187" s="200"/>
      <c r="J187" s="202"/>
      <c r="K187" s="7"/>
      <c r="L187" s="200"/>
      <c r="M187" s="29"/>
      <c r="N187" s="7"/>
      <c r="O187" s="28"/>
      <c r="P187" s="85"/>
      <c r="Q187" s="193"/>
    </row>
    <row r="188" spans="1:17" ht="12.75">
      <c r="A188" s="45" t="s">
        <v>64</v>
      </c>
      <c r="B188" s="102"/>
      <c r="C188" s="121">
        <v>7600.8</v>
      </c>
      <c r="D188" s="119">
        <f>100</f>
        <v>100</v>
      </c>
      <c r="E188" s="119"/>
      <c r="F188" s="120">
        <f>C188+D188+E188</f>
        <v>7700.8</v>
      </c>
      <c r="G188" s="202">
        <f>1232.13+1571.28+800</f>
        <v>3603.41</v>
      </c>
      <c r="H188" s="203"/>
      <c r="I188" s="201">
        <f>F188+G188+H188</f>
        <v>11304.21</v>
      </c>
      <c r="J188" s="202">
        <f>-137</f>
        <v>-137</v>
      </c>
      <c r="K188" s="7"/>
      <c r="L188" s="201">
        <f>I188+J188+K188</f>
        <v>11167.21</v>
      </c>
      <c r="M188" s="29"/>
      <c r="N188" s="7"/>
      <c r="O188" s="30">
        <f>L188+M188+N188</f>
        <v>11167.21</v>
      </c>
      <c r="P188" s="85"/>
      <c r="Q188" s="193">
        <f t="shared" si="45"/>
        <v>11167.21</v>
      </c>
    </row>
    <row r="189" spans="1:17" ht="12.75" hidden="1">
      <c r="A189" s="45" t="s">
        <v>91</v>
      </c>
      <c r="B189" s="102"/>
      <c r="C189" s="121"/>
      <c r="D189" s="119"/>
      <c r="E189" s="119"/>
      <c r="F189" s="120">
        <f>C189+D189+E189</f>
        <v>0</v>
      </c>
      <c r="G189" s="202"/>
      <c r="H189" s="203"/>
      <c r="I189" s="201"/>
      <c r="J189" s="202"/>
      <c r="K189" s="7"/>
      <c r="L189" s="201"/>
      <c r="M189" s="29"/>
      <c r="N189" s="7"/>
      <c r="O189" s="30">
        <f>L189+M189+N189</f>
        <v>0</v>
      </c>
      <c r="P189" s="85"/>
      <c r="Q189" s="193">
        <f t="shared" si="45"/>
        <v>0</v>
      </c>
    </row>
    <row r="190" spans="1:17" ht="12.75">
      <c r="A190" s="45" t="s">
        <v>93</v>
      </c>
      <c r="B190" s="102"/>
      <c r="C190" s="121">
        <v>24000</v>
      </c>
      <c r="D190" s="119"/>
      <c r="E190" s="119"/>
      <c r="F190" s="120">
        <f>C190+D190+E190</f>
        <v>24000</v>
      </c>
      <c r="G190" s="202"/>
      <c r="H190" s="203"/>
      <c r="I190" s="201">
        <f>F190+G190+H190</f>
        <v>24000</v>
      </c>
      <c r="J190" s="202"/>
      <c r="K190" s="7"/>
      <c r="L190" s="201">
        <f>I190+J190+K190</f>
        <v>24000</v>
      </c>
      <c r="M190" s="29"/>
      <c r="N190" s="7"/>
      <c r="O190" s="30">
        <f>L190+M190+N190</f>
        <v>24000</v>
      </c>
      <c r="P190" s="85"/>
      <c r="Q190" s="193">
        <f t="shared" si="45"/>
        <v>24000</v>
      </c>
    </row>
    <row r="191" spans="1:17" ht="12.75">
      <c r="A191" s="52" t="s">
        <v>67</v>
      </c>
      <c r="B191" s="106"/>
      <c r="C191" s="133">
        <f>C196+C193+C194+C195</f>
        <v>2000</v>
      </c>
      <c r="D191" s="134">
        <f>D196+D193+D194+D195</f>
        <v>202740</v>
      </c>
      <c r="E191" s="134">
        <f>E196+E193+E194+E195</f>
        <v>0</v>
      </c>
      <c r="F191" s="135">
        <f>F196+F194+F193+F195</f>
        <v>204740</v>
      </c>
      <c r="G191" s="218">
        <f aca="true" t="shared" si="59" ref="G191:Q191">G196+G194+G193+G195</f>
        <v>-2371.2799999999997</v>
      </c>
      <c r="H191" s="219">
        <f t="shared" si="59"/>
        <v>0</v>
      </c>
      <c r="I191" s="220">
        <f t="shared" si="59"/>
        <v>202368.72</v>
      </c>
      <c r="J191" s="218">
        <f t="shared" si="59"/>
        <v>0</v>
      </c>
      <c r="K191" s="134">
        <f t="shared" si="59"/>
        <v>0</v>
      </c>
      <c r="L191" s="220">
        <f t="shared" si="59"/>
        <v>202368.72</v>
      </c>
      <c r="M191" s="133">
        <f t="shared" si="59"/>
        <v>0</v>
      </c>
      <c r="N191" s="134">
        <f t="shared" si="59"/>
        <v>0</v>
      </c>
      <c r="O191" s="135">
        <f t="shared" si="59"/>
        <v>2368.7200000000003</v>
      </c>
      <c r="P191" s="133">
        <f t="shared" si="59"/>
        <v>0</v>
      </c>
      <c r="Q191" s="135">
        <f t="shared" si="59"/>
        <v>2368.7200000000003</v>
      </c>
    </row>
    <row r="192" spans="1:17" ht="12.75">
      <c r="A192" s="43" t="s">
        <v>33</v>
      </c>
      <c r="B192" s="102"/>
      <c r="C192" s="122"/>
      <c r="D192" s="123"/>
      <c r="E192" s="123"/>
      <c r="F192" s="124"/>
      <c r="G192" s="206"/>
      <c r="H192" s="207"/>
      <c r="I192" s="208"/>
      <c r="J192" s="206"/>
      <c r="K192" s="8"/>
      <c r="L192" s="208"/>
      <c r="M192" s="31"/>
      <c r="N192" s="8"/>
      <c r="O192" s="32"/>
      <c r="P192" s="85"/>
      <c r="Q192" s="193"/>
    </row>
    <row r="193" spans="1:17" ht="12.75" hidden="1">
      <c r="A193" s="45" t="s">
        <v>192</v>
      </c>
      <c r="B193" s="102">
        <v>98861</v>
      </c>
      <c r="C193" s="121"/>
      <c r="D193" s="119"/>
      <c r="E193" s="119"/>
      <c r="F193" s="120">
        <f>C193+D193+E193</f>
        <v>0</v>
      </c>
      <c r="G193" s="206"/>
      <c r="H193" s="207"/>
      <c r="I193" s="201"/>
      <c r="J193" s="206"/>
      <c r="K193" s="8"/>
      <c r="L193" s="201"/>
      <c r="M193" s="31"/>
      <c r="N193" s="8"/>
      <c r="O193" s="30">
        <f>L193+M193+N193</f>
        <v>0</v>
      </c>
      <c r="P193" s="85"/>
      <c r="Q193" s="193">
        <f t="shared" si="45"/>
        <v>0</v>
      </c>
    </row>
    <row r="194" spans="1:17" ht="12.75" hidden="1">
      <c r="A194" s="45" t="s">
        <v>274</v>
      </c>
      <c r="B194" s="102">
        <v>7938</v>
      </c>
      <c r="C194" s="121"/>
      <c r="D194" s="119"/>
      <c r="E194" s="119"/>
      <c r="F194" s="120">
        <f>C194+D194+E194</f>
        <v>0</v>
      </c>
      <c r="G194" s="206"/>
      <c r="H194" s="207"/>
      <c r="I194" s="201"/>
      <c r="J194" s="206"/>
      <c r="K194" s="8"/>
      <c r="L194" s="201"/>
      <c r="M194" s="31"/>
      <c r="N194" s="8"/>
      <c r="O194" s="30"/>
      <c r="P194" s="85"/>
      <c r="Q194" s="193"/>
    </row>
    <row r="195" spans="1:17" ht="12.75">
      <c r="A195" s="45" t="s">
        <v>324</v>
      </c>
      <c r="B195" s="102"/>
      <c r="C195" s="121"/>
      <c r="D195" s="119">
        <v>200000</v>
      </c>
      <c r="E195" s="119"/>
      <c r="F195" s="120">
        <f>C195+D195+E195</f>
        <v>200000</v>
      </c>
      <c r="G195" s="206"/>
      <c r="H195" s="207"/>
      <c r="I195" s="201">
        <f>F195+G195+H195</f>
        <v>200000</v>
      </c>
      <c r="J195" s="206"/>
      <c r="K195" s="8"/>
      <c r="L195" s="201">
        <f>I195+J195+K195</f>
        <v>200000</v>
      </c>
      <c r="M195" s="31"/>
      <c r="N195" s="8"/>
      <c r="O195" s="30"/>
      <c r="P195" s="85"/>
      <c r="Q195" s="193"/>
    </row>
    <row r="196" spans="1:17" ht="12.75">
      <c r="A196" s="56" t="s">
        <v>68</v>
      </c>
      <c r="B196" s="105"/>
      <c r="C196" s="131">
        <v>2000</v>
      </c>
      <c r="D196" s="132">
        <f>1740+1000</f>
        <v>2740</v>
      </c>
      <c r="E196" s="132"/>
      <c r="F196" s="169">
        <f>C196+D196+E196</f>
        <v>4740</v>
      </c>
      <c r="G196" s="215">
        <f>-1571.28-800</f>
        <v>-2371.2799999999997</v>
      </c>
      <c r="H196" s="216"/>
      <c r="I196" s="217">
        <f>F196+G196+H196</f>
        <v>2368.7200000000003</v>
      </c>
      <c r="J196" s="215"/>
      <c r="K196" s="10"/>
      <c r="L196" s="217">
        <f>I196+J196+K196</f>
        <v>2368.7200000000003</v>
      </c>
      <c r="M196" s="33"/>
      <c r="N196" s="10"/>
      <c r="O196" s="34">
        <f>L196+M196+N196</f>
        <v>2368.7200000000003</v>
      </c>
      <c r="P196" s="90"/>
      <c r="Q196" s="194">
        <f t="shared" si="45"/>
        <v>2368.7200000000003</v>
      </c>
    </row>
    <row r="197" spans="1:17" ht="12.75">
      <c r="A197" s="42" t="s">
        <v>200</v>
      </c>
      <c r="B197" s="106"/>
      <c r="C197" s="116">
        <f aca="true" t="shared" si="60" ref="C197:Q197">C198+C214</f>
        <v>3709.3</v>
      </c>
      <c r="D197" s="117">
        <f t="shared" si="60"/>
        <v>116839.69999999998</v>
      </c>
      <c r="E197" s="117">
        <f t="shared" si="60"/>
        <v>0</v>
      </c>
      <c r="F197" s="118">
        <f t="shared" si="60"/>
        <v>120548.99999999999</v>
      </c>
      <c r="G197" s="198">
        <f t="shared" si="60"/>
        <v>45990.91</v>
      </c>
      <c r="H197" s="199">
        <f t="shared" si="60"/>
        <v>0</v>
      </c>
      <c r="I197" s="200">
        <f t="shared" si="60"/>
        <v>166539.91</v>
      </c>
      <c r="J197" s="198">
        <f t="shared" si="60"/>
        <v>104459.58</v>
      </c>
      <c r="K197" s="117">
        <f t="shared" si="60"/>
        <v>0</v>
      </c>
      <c r="L197" s="200">
        <f t="shared" si="60"/>
        <v>270999.49</v>
      </c>
      <c r="M197" s="116">
        <f t="shared" si="60"/>
        <v>0</v>
      </c>
      <c r="N197" s="117">
        <f t="shared" si="60"/>
        <v>0</v>
      </c>
      <c r="O197" s="118">
        <f t="shared" si="60"/>
        <v>48217.1</v>
      </c>
      <c r="P197" s="116">
        <f t="shared" si="60"/>
        <v>0</v>
      </c>
      <c r="Q197" s="118">
        <f t="shared" si="60"/>
        <v>48217.1</v>
      </c>
    </row>
    <row r="198" spans="1:17" ht="12.75">
      <c r="A198" s="51" t="s">
        <v>62</v>
      </c>
      <c r="B198" s="106"/>
      <c r="C198" s="128">
        <f aca="true" t="shared" si="61" ref="C198:Q198">SUM(C200:C213)</f>
        <v>3709.3</v>
      </c>
      <c r="D198" s="129">
        <f t="shared" si="61"/>
        <v>20237.68</v>
      </c>
      <c r="E198" s="129">
        <f t="shared" si="61"/>
        <v>0</v>
      </c>
      <c r="F198" s="130">
        <f t="shared" si="61"/>
        <v>23946.979999999996</v>
      </c>
      <c r="G198" s="212">
        <f t="shared" si="61"/>
        <v>2924.0099999999998</v>
      </c>
      <c r="H198" s="213">
        <f t="shared" si="61"/>
        <v>0</v>
      </c>
      <c r="I198" s="214">
        <f t="shared" si="61"/>
        <v>26870.989999999998</v>
      </c>
      <c r="J198" s="212">
        <f t="shared" si="61"/>
        <v>7809.09</v>
      </c>
      <c r="K198" s="129">
        <f t="shared" si="61"/>
        <v>0</v>
      </c>
      <c r="L198" s="214">
        <f t="shared" si="61"/>
        <v>34680.08</v>
      </c>
      <c r="M198" s="128">
        <f t="shared" si="61"/>
        <v>0</v>
      </c>
      <c r="N198" s="129">
        <f t="shared" si="61"/>
        <v>0</v>
      </c>
      <c r="O198" s="130">
        <f t="shared" si="61"/>
        <v>5292.75</v>
      </c>
      <c r="P198" s="128">
        <f t="shared" si="61"/>
        <v>0</v>
      </c>
      <c r="Q198" s="130">
        <f t="shared" si="61"/>
        <v>5292.75</v>
      </c>
    </row>
    <row r="199" spans="1:17" ht="12.75">
      <c r="A199" s="43" t="s">
        <v>33</v>
      </c>
      <c r="B199" s="102"/>
      <c r="C199" s="122"/>
      <c r="D199" s="123"/>
      <c r="E199" s="123"/>
      <c r="F199" s="124"/>
      <c r="G199" s="206"/>
      <c r="H199" s="207"/>
      <c r="I199" s="208"/>
      <c r="J199" s="206"/>
      <c r="K199" s="8"/>
      <c r="L199" s="208"/>
      <c r="M199" s="31"/>
      <c r="N199" s="8"/>
      <c r="O199" s="32"/>
      <c r="P199" s="85"/>
      <c r="Q199" s="193"/>
    </row>
    <row r="200" spans="1:17" ht="12.75">
      <c r="A200" s="45" t="s">
        <v>64</v>
      </c>
      <c r="B200" s="102"/>
      <c r="C200" s="121">
        <v>1830.7</v>
      </c>
      <c r="D200" s="119"/>
      <c r="E200" s="119"/>
      <c r="F200" s="120">
        <f aca="true" t="shared" si="62" ref="F200:F213">C200+D200+E200</f>
        <v>1830.7</v>
      </c>
      <c r="G200" s="202"/>
      <c r="H200" s="203"/>
      <c r="I200" s="201">
        <f>F200+G200+H200</f>
        <v>1830.7</v>
      </c>
      <c r="J200" s="222"/>
      <c r="K200" s="7"/>
      <c r="L200" s="201">
        <f>I200+J200+K200</f>
        <v>1830.7</v>
      </c>
      <c r="M200" s="40"/>
      <c r="N200" s="7"/>
      <c r="O200" s="30">
        <f>L200+M200+N200</f>
        <v>1830.7</v>
      </c>
      <c r="P200" s="85"/>
      <c r="Q200" s="193">
        <f t="shared" si="45"/>
        <v>1830.7</v>
      </c>
    </row>
    <row r="201" spans="1:17" ht="12.75" hidden="1">
      <c r="A201" s="54" t="s">
        <v>217</v>
      </c>
      <c r="B201" s="102">
        <v>2035</v>
      </c>
      <c r="C201" s="121"/>
      <c r="D201" s="119"/>
      <c r="E201" s="119"/>
      <c r="F201" s="120">
        <f t="shared" si="62"/>
        <v>0</v>
      </c>
      <c r="G201" s="202"/>
      <c r="H201" s="203"/>
      <c r="I201" s="201">
        <f>F201+G201+H201</f>
        <v>0</v>
      </c>
      <c r="J201" s="202"/>
      <c r="K201" s="7"/>
      <c r="L201" s="201">
        <f>I201+J201+K201</f>
        <v>0</v>
      </c>
      <c r="M201" s="29"/>
      <c r="N201" s="7"/>
      <c r="O201" s="30">
        <f>L201+M201+N201</f>
        <v>0</v>
      </c>
      <c r="P201" s="85"/>
      <c r="Q201" s="193">
        <f t="shared" si="45"/>
        <v>0</v>
      </c>
    </row>
    <row r="202" spans="1:17" ht="12.75" hidden="1">
      <c r="A202" s="103" t="s">
        <v>292</v>
      </c>
      <c r="B202" s="102">
        <v>2021</v>
      </c>
      <c r="C202" s="121"/>
      <c r="D202" s="119"/>
      <c r="E202" s="119"/>
      <c r="F202" s="120">
        <f t="shared" si="62"/>
        <v>0</v>
      </c>
      <c r="G202" s="202"/>
      <c r="H202" s="203"/>
      <c r="I202" s="201">
        <f>F202+G202+H202</f>
        <v>0</v>
      </c>
      <c r="J202" s="202"/>
      <c r="K202" s="7"/>
      <c r="L202" s="201">
        <f>I202+J202+K202</f>
        <v>0</v>
      </c>
      <c r="M202" s="29"/>
      <c r="N202" s="7"/>
      <c r="O202" s="30">
        <f>L202+M202+N202</f>
        <v>0</v>
      </c>
      <c r="P202" s="85"/>
      <c r="Q202" s="193">
        <f t="shared" si="45"/>
        <v>0</v>
      </c>
    </row>
    <row r="203" spans="1:17" ht="12.75" hidden="1">
      <c r="A203" s="103" t="s">
        <v>293</v>
      </c>
      <c r="B203" s="102">
        <v>2022</v>
      </c>
      <c r="C203" s="121"/>
      <c r="D203" s="119"/>
      <c r="E203" s="119"/>
      <c r="F203" s="120">
        <f t="shared" si="62"/>
        <v>0</v>
      </c>
      <c r="G203" s="202"/>
      <c r="H203" s="203"/>
      <c r="I203" s="201">
        <f>F203+G203+H203</f>
        <v>0</v>
      </c>
      <c r="J203" s="202"/>
      <c r="K203" s="7"/>
      <c r="L203" s="201">
        <f>I203+J203+K203</f>
        <v>0</v>
      </c>
      <c r="M203" s="29"/>
      <c r="N203" s="7"/>
      <c r="O203" s="30">
        <f>L203+M203+N203</f>
        <v>0</v>
      </c>
      <c r="P203" s="85"/>
      <c r="Q203" s="193">
        <f t="shared" si="45"/>
        <v>0</v>
      </c>
    </row>
    <row r="204" spans="1:17" ht="12.75" hidden="1">
      <c r="A204" s="103" t="s">
        <v>294</v>
      </c>
      <c r="B204" s="102">
        <v>2023</v>
      </c>
      <c r="C204" s="121"/>
      <c r="D204" s="119"/>
      <c r="E204" s="119"/>
      <c r="F204" s="120">
        <f t="shared" si="62"/>
        <v>0</v>
      </c>
      <c r="G204" s="202"/>
      <c r="H204" s="203"/>
      <c r="I204" s="201"/>
      <c r="J204" s="202"/>
      <c r="K204" s="7"/>
      <c r="L204" s="201"/>
      <c r="M204" s="29"/>
      <c r="N204" s="7"/>
      <c r="O204" s="30"/>
      <c r="P204" s="85"/>
      <c r="Q204" s="193"/>
    </row>
    <row r="205" spans="1:17" ht="12.75">
      <c r="A205" s="103" t="s">
        <v>320</v>
      </c>
      <c r="B205" s="102">
        <v>2042</v>
      </c>
      <c r="C205" s="121"/>
      <c r="D205" s="119">
        <f>3462.05</f>
        <v>3462.05</v>
      </c>
      <c r="E205" s="119"/>
      <c r="F205" s="120">
        <f t="shared" si="62"/>
        <v>3462.05</v>
      </c>
      <c r="G205" s="202"/>
      <c r="H205" s="203"/>
      <c r="I205" s="201">
        <f>F205+G205+H205</f>
        <v>3462.05</v>
      </c>
      <c r="J205" s="202"/>
      <c r="K205" s="7"/>
      <c r="L205" s="201">
        <f>I205+J205+K205</f>
        <v>3462.05</v>
      </c>
      <c r="M205" s="29"/>
      <c r="N205" s="7"/>
      <c r="O205" s="30">
        <f>L205+M205+N205</f>
        <v>3462.05</v>
      </c>
      <c r="P205" s="85"/>
      <c r="Q205" s="193">
        <f t="shared" si="45"/>
        <v>3462.05</v>
      </c>
    </row>
    <row r="206" spans="1:17" ht="12.75">
      <c r="A206" s="103" t="s">
        <v>321</v>
      </c>
      <c r="B206" s="102">
        <v>2054</v>
      </c>
      <c r="C206" s="121"/>
      <c r="D206" s="119">
        <v>28.65</v>
      </c>
      <c r="E206" s="119"/>
      <c r="F206" s="120">
        <f t="shared" si="62"/>
        <v>28.65</v>
      </c>
      <c r="G206" s="202"/>
      <c r="H206" s="203"/>
      <c r="I206" s="201">
        <f aca="true" t="shared" si="63" ref="I206:I213">F206+G206+H206</f>
        <v>28.65</v>
      </c>
      <c r="J206" s="202"/>
      <c r="K206" s="7"/>
      <c r="L206" s="201">
        <f aca="true" t="shared" si="64" ref="L206:L213">I206+J206+K206</f>
        <v>28.65</v>
      </c>
      <c r="M206" s="29"/>
      <c r="N206" s="7"/>
      <c r="O206" s="30"/>
      <c r="P206" s="85"/>
      <c r="Q206" s="193"/>
    </row>
    <row r="207" spans="1:17" ht="12.75">
      <c r="A207" s="103" t="s">
        <v>328</v>
      </c>
      <c r="B207" s="102"/>
      <c r="C207" s="121"/>
      <c r="D207" s="119"/>
      <c r="E207" s="119"/>
      <c r="F207" s="120">
        <f t="shared" si="62"/>
        <v>0</v>
      </c>
      <c r="G207" s="202">
        <f>2066.37</f>
        <v>2066.37</v>
      </c>
      <c r="H207" s="203"/>
      <c r="I207" s="201">
        <f t="shared" si="63"/>
        <v>2066.37</v>
      </c>
      <c r="J207" s="202"/>
      <c r="K207" s="7"/>
      <c r="L207" s="201">
        <f t="shared" si="64"/>
        <v>2066.37</v>
      </c>
      <c r="M207" s="29"/>
      <c r="N207" s="7"/>
      <c r="O207" s="30"/>
      <c r="P207" s="85"/>
      <c r="Q207" s="193"/>
    </row>
    <row r="208" spans="1:17" ht="12.75">
      <c r="A208" s="103" t="s">
        <v>318</v>
      </c>
      <c r="B208" s="102">
        <v>2045</v>
      </c>
      <c r="C208" s="121"/>
      <c r="D208" s="119">
        <f>5144.59</f>
        <v>5144.59</v>
      </c>
      <c r="E208" s="119"/>
      <c r="F208" s="120">
        <f t="shared" si="62"/>
        <v>5144.59</v>
      </c>
      <c r="G208" s="202"/>
      <c r="H208" s="203"/>
      <c r="I208" s="201">
        <f t="shared" si="63"/>
        <v>5144.59</v>
      </c>
      <c r="J208" s="202"/>
      <c r="K208" s="7"/>
      <c r="L208" s="201">
        <f t="shared" si="64"/>
        <v>5144.59</v>
      </c>
      <c r="M208" s="29"/>
      <c r="N208" s="7"/>
      <c r="O208" s="30"/>
      <c r="P208" s="85"/>
      <c r="Q208" s="193"/>
    </row>
    <row r="209" spans="1:17" ht="12.75">
      <c r="A209" s="103" t="s">
        <v>325</v>
      </c>
      <c r="B209" s="102"/>
      <c r="C209" s="121"/>
      <c r="D209" s="119">
        <v>2252.06</v>
      </c>
      <c r="E209" s="119"/>
      <c r="F209" s="120">
        <f t="shared" si="62"/>
        <v>2252.06</v>
      </c>
      <c r="G209" s="202"/>
      <c r="H209" s="203"/>
      <c r="I209" s="201">
        <f t="shared" si="63"/>
        <v>2252.06</v>
      </c>
      <c r="J209" s="202"/>
      <c r="K209" s="7"/>
      <c r="L209" s="201">
        <f t="shared" si="64"/>
        <v>2252.06</v>
      </c>
      <c r="M209" s="29"/>
      <c r="N209" s="7"/>
      <c r="O209" s="30"/>
      <c r="P209" s="85"/>
      <c r="Q209" s="193"/>
    </row>
    <row r="210" spans="1:17" ht="12.75">
      <c r="A210" s="103" t="s">
        <v>340</v>
      </c>
      <c r="B210" s="102">
        <v>2057</v>
      </c>
      <c r="C210" s="121"/>
      <c r="D210" s="119">
        <v>931.4</v>
      </c>
      <c r="E210" s="119"/>
      <c r="F210" s="120">
        <f t="shared" si="62"/>
        <v>931.4</v>
      </c>
      <c r="G210" s="202"/>
      <c r="H210" s="203"/>
      <c r="I210" s="201">
        <f t="shared" si="63"/>
        <v>931.4</v>
      </c>
      <c r="J210" s="202"/>
      <c r="K210" s="7"/>
      <c r="L210" s="201">
        <f t="shared" si="64"/>
        <v>931.4</v>
      </c>
      <c r="M210" s="29"/>
      <c r="N210" s="7"/>
      <c r="O210" s="30"/>
      <c r="P210" s="85"/>
      <c r="Q210" s="193"/>
    </row>
    <row r="211" spans="1:17" ht="12.75">
      <c r="A211" s="103" t="s">
        <v>265</v>
      </c>
      <c r="B211" s="102">
        <v>2057</v>
      </c>
      <c r="C211" s="121"/>
      <c r="D211" s="119">
        <f>2135.38</f>
        <v>2135.38</v>
      </c>
      <c r="E211" s="119"/>
      <c r="F211" s="120">
        <f t="shared" si="62"/>
        <v>2135.38</v>
      </c>
      <c r="G211" s="202">
        <f>857.64</f>
        <v>857.64</v>
      </c>
      <c r="H211" s="203"/>
      <c r="I211" s="201">
        <f t="shared" si="63"/>
        <v>2993.02</v>
      </c>
      <c r="J211" s="202">
        <f>3399.51</f>
        <v>3399.51</v>
      </c>
      <c r="K211" s="7"/>
      <c r="L211" s="201">
        <f t="shared" si="64"/>
        <v>6392.530000000001</v>
      </c>
      <c r="M211" s="29"/>
      <c r="N211" s="7"/>
      <c r="O211" s="30"/>
      <c r="P211" s="85"/>
      <c r="Q211" s="193"/>
    </row>
    <row r="212" spans="1:17" ht="12.75">
      <c r="A212" s="103" t="s">
        <v>357</v>
      </c>
      <c r="B212" s="102"/>
      <c r="C212" s="121"/>
      <c r="D212" s="119"/>
      <c r="E212" s="119"/>
      <c r="F212" s="120"/>
      <c r="G212" s="202"/>
      <c r="H212" s="203"/>
      <c r="I212" s="201">
        <f t="shared" si="63"/>
        <v>0</v>
      </c>
      <c r="J212" s="202">
        <f>3759.58</f>
        <v>3759.58</v>
      </c>
      <c r="K212" s="7"/>
      <c r="L212" s="201">
        <f t="shared" si="64"/>
        <v>3759.58</v>
      </c>
      <c r="M212" s="29"/>
      <c r="N212" s="7"/>
      <c r="O212" s="30"/>
      <c r="P212" s="85"/>
      <c r="Q212" s="193"/>
    </row>
    <row r="213" spans="1:17" ht="12.75">
      <c r="A213" s="45" t="s">
        <v>91</v>
      </c>
      <c r="B213" s="102"/>
      <c r="C213" s="121">
        <v>1878.6</v>
      </c>
      <c r="D213" s="119">
        <f>250+850+180.5+2679.5+300+345+653.28+584.31+440.96</f>
        <v>6283.55</v>
      </c>
      <c r="E213" s="119"/>
      <c r="F213" s="120">
        <f t="shared" si="62"/>
        <v>8162.15</v>
      </c>
      <c r="G213" s="202"/>
      <c r="H213" s="203"/>
      <c r="I213" s="201">
        <f t="shared" si="63"/>
        <v>8162.15</v>
      </c>
      <c r="J213" s="202">
        <f>155+265+230</f>
        <v>650</v>
      </c>
      <c r="K213" s="7"/>
      <c r="L213" s="201">
        <f t="shared" si="64"/>
        <v>8812.15</v>
      </c>
      <c r="M213" s="29"/>
      <c r="N213" s="7"/>
      <c r="O213" s="30"/>
      <c r="P213" s="85"/>
      <c r="Q213" s="193"/>
    </row>
    <row r="214" spans="1:17" ht="12.75">
      <c r="A214" s="52" t="s">
        <v>67</v>
      </c>
      <c r="B214" s="106"/>
      <c r="C214" s="133">
        <f>SUM(C216:C220)</f>
        <v>0</v>
      </c>
      <c r="D214" s="134">
        <f>SUM(D216:D220)</f>
        <v>96602.01999999999</v>
      </c>
      <c r="E214" s="134">
        <f>SUM(E216:E220)</f>
        <v>0</v>
      </c>
      <c r="F214" s="135">
        <f>SUM(F216:F220)</f>
        <v>96602.01999999999</v>
      </c>
      <c r="G214" s="218">
        <f aca="true" t="shared" si="65" ref="G214:Q214">SUM(G216:G220)</f>
        <v>43066.9</v>
      </c>
      <c r="H214" s="219">
        <f t="shared" si="65"/>
        <v>0</v>
      </c>
      <c r="I214" s="220">
        <f t="shared" si="65"/>
        <v>139668.92</v>
      </c>
      <c r="J214" s="218">
        <f t="shared" si="65"/>
        <v>96650.49</v>
      </c>
      <c r="K214" s="134">
        <f t="shared" si="65"/>
        <v>0</v>
      </c>
      <c r="L214" s="220">
        <f t="shared" si="65"/>
        <v>236319.41</v>
      </c>
      <c r="M214" s="133">
        <f t="shared" si="65"/>
        <v>0</v>
      </c>
      <c r="N214" s="134">
        <f t="shared" si="65"/>
        <v>0</v>
      </c>
      <c r="O214" s="135">
        <f t="shared" si="65"/>
        <v>42924.35</v>
      </c>
      <c r="P214" s="133">
        <f t="shared" si="65"/>
        <v>0</v>
      </c>
      <c r="Q214" s="135">
        <f t="shared" si="65"/>
        <v>42924.35</v>
      </c>
    </row>
    <row r="215" spans="1:17" ht="12.75">
      <c r="A215" s="54" t="s">
        <v>33</v>
      </c>
      <c r="B215" s="102"/>
      <c r="C215" s="121"/>
      <c r="D215" s="119"/>
      <c r="E215" s="119"/>
      <c r="F215" s="120"/>
      <c r="G215" s="202"/>
      <c r="H215" s="203"/>
      <c r="I215" s="201"/>
      <c r="J215" s="202"/>
      <c r="K215" s="7"/>
      <c r="L215" s="201"/>
      <c r="M215" s="29"/>
      <c r="N215" s="7"/>
      <c r="O215" s="30"/>
      <c r="P215" s="85"/>
      <c r="Q215" s="193"/>
    </row>
    <row r="216" spans="1:17" ht="12.75">
      <c r="A216" s="103" t="s">
        <v>340</v>
      </c>
      <c r="B216" s="102">
        <v>2057</v>
      </c>
      <c r="C216" s="121"/>
      <c r="D216" s="119">
        <v>42924.35</v>
      </c>
      <c r="E216" s="119"/>
      <c r="F216" s="120">
        <f>C216+D216+E216</f>
        <v>42924.35</v>
      </c>
      <c r="G216" s="202"/>
      <c r="H216" s="203"/>
      <c r="I216" s="201">
        <f>F216+G216+H216</f>
        <v>42924.35</v>
      </c>
      <c r="J216" s="202"/>
      <c r="K216" s="7"/>
      <c r="L216" s="201">
        <f>I216+J216+K216</f>
        <v>42924.35</v>
      </c>
      <c r="M216" s="29"/>
      <c r="N216" s="7"/>
      <c r="O216" s="30">
        <f>L216+M216+N216</f>
        <v>42924.35</v>
      </c>
      <c r="P216" s="85"/>
      <c r="Q216" s="193">
        <f aca="true" t="shared" si="66" ref="Q216:Q264">O216+P216</f>
        <v>42924.35</v>
      </c>
    </row>
    <row r="217" spans="1:17" ht="12.75">
      <c r="A217" s="188" t="s">
        <v>265</v>
      </c>
      <c r="B217" s="105">
        <v>2057</v>
      </c>
      <c r="C217" s="131"/>
      <c r="D217" s="132">
        <f>53677.67</f>
        <v>53677.67</v>
      </c>
      <c r="E217" s="132"/>
      <c r="F217" s="169">
        <f>C217+D217+E217</f>
        <v>53677.67</v>
      </c>
      <c r="G217" s="215">
        <f>43066.9</f>
        <v>43066.9</v>
      </c>
      <c r="H217" s="216"/>
      <c r="I217" s="217">
        <f>F217+G217+H217</f>
        <v>96744.57</v>
      </c>
      <c r="J217" s="215">
        <f>96650.49</f>
        <v>96650.49</v>
      </c>
      <c r="K217" s="10"/>
      <c r="L217" s="217">
        <f>I217+J217+K217</f>
        <v>193395.06</v>
      </c>
      <c r="M217" s="33"/>
      <c r="N217" s="10"/>
      <c r="O217" s="34"/>
      <c r="P217" s="90"/>
      <c r="Q217" s="194"/>
    </row>
    <row r="218" spans="1:17" ht="12.75" hidden="1">
      <c r="A218" s="45" t="s">
        <v>80</v>
      </c>
      <c r="B218" s="102"/>
      <c r="C218" s="121"/>
      <c r="D218" s="119"/>
      <c r="E218" s="119"/>
      <c r="F218" s="120">
        <f>C218+D218+E218</f>
        <v>0</v>
      </c>
      <c r="G218" s="202"/>
      <c r="H218" s="203"/>
      <c r="I218" s="201">
        <f>F218+G218+H218</f>
        <v>0</v>
      </c>
      <c r="J218" s="202"/>
      <c r="K218" s="7"/>
      <c r="L218" s="201">
        <f>I218+J218+K218</f>
        <v>0</v>
      </c>
      <c r="M218" s="29"/>
      <c r="N218" s="7"/>
      <c r="O218" s="30">
        <f>L218+M218+N218</f>
        <v>0</v>
      </c>
      <c r="P218" s="85"/>
      <c r="Q218" s="193">
        <f t="shared" si="66"/>
        <v>0</v>
      </c>
    </row>
    <row r="219" spans="1:17" ht="12.75" hidden="1">
      <c r="A219" s="48" t="s">
        <v>68</v>
      </c>
      <c r="B219" s="105"/>
      <c r="C219" s="131"/>
      <c r="D219" s="132"/>
      <c r="E219" s="132"/>
      <c r="F219" s="169">
        <f>C219+D219+E219</f>
        <v>0</v>
      </c>
      <c r="G219" s="202"/>
      <c r="H219" s="203"/>
      <c r="I219" s="201">
        <f>F219+G219+H219</f>
        <v>0</v>
      </c>
      <c r="J219" s="202"/>
      <c r="K219" s="7"/>
      <c r="L219" s="201">
        <f>I219+J219+K219</f>
        <v>0</v>
      </c>
      <c r="M219" s="29"/>
      <c r="N219" s="7"/>
      <c r="O219" s="30">
        <f>L219+M219+N219</f>
        <v>0</v>
      </c>
      <c r="P219" s="85"/>
      <c r="Q219" s="193">
        <f t="shared" si="66"/>
        <v>0</v>
      </c>
    </row>
    <row r="220" spans="1:17" ht="12.75" hidden="1">
      <c r="A220" s="48" t="s">
        <v>91</v>
      </c>
      <c r="B220" s="105"/>
      <c r="C220" s="131"/>
      <c r="D220" s="132"/>
      <c r="E220" s="132"/>
      <c r="F220" s="169">
        <f>C220+D220+E220</f>
        <v>0</v>
      </c>
      <c r="G220" s="215"/>
      <c r="H220" s="216"/>
      <c r="I220" s="217">
        <f>F220+G220+H220</f>
        <v>0</v>
      </c>
      <c r="J220" s="215"/>
      <c r="K220" s="10"/>
      <c r="L220" s="217">
        <f>I220+J220+K220</f>
        <v>0</v>
      </c>
      <c r="M220" s="33"/>
      <c r="N220" s="10"/>
      <c r="O220" s="34">
        <f>L220+M220+N220</f>
        <v>0</v>
      </c>
      <c r="P220" s="90"/>
      <c r="Q220" s="194">
        <f t="shared" si="66"/>
        <v>0</v>
      </c>
    </row>
    <row r="221" spans="1:17" ht="12.75">
      <c r="A221" s="42" t="s">
        <v>96</v>
      </c>
      <c r="B221" s="106"/>
      <c r="C221" s="116">
        <f aca="true" t="shared" si="67" ref="C221:Q221">C222+C258</f>
        <v>353164.7</v>
      </c>
      <c r="D221" s="117">
        <f t="shared" si="67"/>
        <v>5181401.79</v>
      </c>
      <c r="E221" s="117">
        <f t="shared" si="67"/>
        <v>0</v>
      </c>
      <c r="F221" s="118">
        <f t="shared" si="67"/>
        <v>5534566.49</v>
      </c>
      <c r="G221" s="198">
        <f t="shared" si="67"/>
        <v>85101.55</v>
      </c>
      <c r="H221" s="199">
        <f t="shared" si="67"/>
        <v>0</v>
      </c>
      <c r="I221" s="200">
        <f t="shared" si="67"/>
        <v>5619668.040000001</v>
      </c>
      <c r="J221" s="198">
        <f t="shared" si="67"/>
        <v>124479.60999999999</v>
      </c>
      <c r="K221" s="117">
        <f t="shared" si="67"/>
        <v>0</v>
      </c>
      <c r="L221" s="200">
        <f t="shared" si="67"/>
        <v>5744147.650000001</v>
      </c>
      <c r="M221" s="116">
        <f t="shared" si="67"/>
        <v>0</v>
      </c>
      <c r="N221" s="117">
        <f t="shared" si="67"/>
        <v>0</v>
      </c>
      <c r="O221" s="118">
        <f t="shared" si="67"/>
        <v>5687979.130000001</v>
      </c>
      <c r="P221" s="116">
        <f t="shared" si="67"/>
        <v>0</v>
      </c>
      <c r="Q221" s="118">
        <f t="shared" si="67"/>
        <v>5687979.130000001</v>
      </c>
    </row>
    <row r="222" spans="1:17" ht="12.75">
      <c r="A222" s="51" t="s">
        <v>62</v>
      </c>
      <c r="B222" s="106"/>
      <c r="C222" s="128">
        <f aca="true" t="shared" si="68" ref="C222:Q222">SUM(C224:C257)</f>
        <v>353164.7</v>
      </c>
      <c r="D222" s="129">
        <f t="shared" si="68"/>
        <v>5181269.49</v>
      </c>
      <c r="E222" s="129">
        <f t="shared" si="68"/>
        <v>0</v>
      </c>
      <c r="F222" s="130">
        <f t="shared" si="68"/>
        <v>5534434.19</v>
      </c>
      <c r="G222" s="212">
        <f t="shared" si="68"/>
        <v>84501.95</v>
      </c>
      <c r="H222" s="213">
        <f t="shared" si="68"/>
        <v>0</v>
      </c>
      <c r="I222" s="214">
        <f t="shared" si="68"/>
        <v>5618936.140000001</v>
      </c>
      <c r="J222" s="212">
        <f t="shared" si="68"/>
        <v>120415.20999999999</v>
      </c>
      <c r="K222" s="129">
        <f t="shared" si="68"/>
        <v>0</v>
      </c>
      <c r="L222" s="214">
        <f t="shared" si="68"/>
        <v>5739351.3500000015</v>
      </c>
      <c r="M222" s="128">
        <f t="shared" si="68"/>
        <v>0</v>
      </c>
      <c r="N222" s="129">
        <f t="shared" si="68"/>
        <v>0</v>
      </c>
      <c r="O222" s="130">
        <f t="shared" si="68"/>
        <v>5683182.830000001</v>
      </c>
      <c r="P222" s="128">
        <f t="shared" si="68"/>
        <v>0</v>
      </c>
      <c r="Q222" s="130">
        <f t="shared" si="68"/>
        <v>5683182.830000001</v>
      </c>
    </row>
    <row r="223" spans="1:17" ht="12.75">
      <c r="A223" s="43" t="s">
        <v>33</v>
      </c>
      <c r="B223" s="102"/>
      <c r="C223" s="121"/>
      <c r="D223" s="119"/>
      <c r="E223" s="119"/>
      <c r="F223" s="120"/>
      <c r="G223" s="202"/>
      <c r="H223" s="203"/>
      <c r="I223" s="201"/>
      <c r="J223" s="202"/>
      <c r="K223" s="7"/>
      <c r="L223" s="201"/>
      <c r="M223" s="29"/>
      <c r="N223" s="7"/>
      <c r="O223" s="30"/>
      <c r="P223" s="85"/>
      <c r="Q223" s="193"/>
    </row>
    <row r="224" spans="1:17" ht="12.75">
      <c r="A224" s="49" t="s">
        <v>88</v>
      </c>
      <c r="B224" s="102"/>
      <c r="C224" s="121">
        <v>324459.7</v>
      </c>
      <c r="D224" s="119">
        <f>1304+13289+1026+600</f>
        <v>16219</v>
      </c>
      <c r="E224" s="119"/>
      <c r="F224" s="120">
        <f aca="true" t="shared" si="69" ref="F224:F257">C224+D224+E224</f>
        <v>340678.7</v>
      </c>
      <c r="G224" s="202">
        <f>300+13650.7+179</f>
        <v>14129.7</v>
      </c>
      <c r="H224" s="203"/>
      <c r="I224" s="201">
        <f>F224+G224+H224</f>
        <v>354808.4</v>
      </c>
      <c r="J224" s="202">
        <f>868.7+233.5+6200.38+26.9</f>
        <v>7329.48</v>
      </c>
      <c r="K224" s="7"/>
      <c r="L224" s="201">
        <f>I224+J224+K224</f>
        <v>362137.88</v>
      </c>
      <c r="M224" s="29"/>
      <c r="N224" s="7"/>
      <c r="O224" s="30">
        <f>L224+M224+N224</f>
        <v>362137.88</v>
      </c>
      <c r="P224" s="85"/>
      <c r="Q224" s="193">
        <f t="shared" si="66"/>
        <v>362137.88</v>
      </c>
    </row>
    <row r="225" spans="1:17" ht="12.75">
      <c r="A225" s="49" t="s">
        <v>290</v>
      </c>
      <c r="B225" s="102"/>
      <c r="C225" s="121"/>
      <c r="D225" s="119"/>
      <c r="E225" s="119"/>
      <c r="F225" s="120"/>
      <c r="G225" s="202"/>
      <c r="H225" s="203"/>
      <c r="I225" s="201"/>
      <c r="J225" s="202"/>
      <c r="K225" s="7"/>
      <c r="L225" s="201"/>
      <c r="M225" s="29"/>
      <c r="N225" s="7"/>
      <c r="O225" s="30"/>
      <c r="P225" s="85"/>
      <c r="Q225" s="193"/>
    </row>
    <row r="226" spans="1:20" ht="12.75">
      <c r="A226" s="49" t="s">
        <v>97</v>
      </c>
      <c r="B226" s="102">
        <v>33353</v>
      </c>
      <c r="C226" s="121"/>
      <c r="D226" s="136">
        <v>1585037.69</v>
      </c>
      <c r="E226" s="119"/>
      <c r="F226" s="120">
        <f t="shared" si="69"/>
        <v>1585037.69</v>
      </c>
      <c r="G226" s="202">
        <f>761.86+4235.71</f>
        <v>4997.57</v>
      </c>
      <c r="H226" s="203"/>
      <c r="I226" s="201">
        <f aca="true" t="shared" si="70" ref="I226:I257">F226+G226+H226</f>
        <v>1590035.26</v>
      </c>
      <c r="J226" s="222">
        <f>2950.01+8-39.15</f>
        <v>2918.86</v>
      </c>
      <c r="K226" s="7"/>
      <c r="L226" s="201">
        <f aca="true" t="shared" si="71" ref="L226:L257">I226+J226+K226</f>
        <v>1592954.12</v>
      </c>
      <c r="M226" s="29"/>
      <c r="N226" s="7"/>
      <c r="O226" s="30">
        <f aca="true" t="shared" si="72" ref="O226:O257">L226+M226+N226</f>
        <v>1592954.12</v>
      </c>
      <c r="P226" s="85"/>
      <c r="Q226" s="193">
        <f t="shared" si="66"/>
        <v>1592954.12</v>
      </c>
      <c r="T226" s="177"/>
    </row>
    <row r="227" spans="1:17" ht="12.75">
      <c r="A227" s="49" t="s">
        <v>99</v>
      </c>
      <c r="B227" s="102">
        <v>33353</v>
      </c>
      <c r="C227" s="121"/>
      <c r="D227" s="119">
        <v>3460930.97</v>
      </c>
      <c r="E227" s="119"/>
      <c r="F227" s="120">
        <f t="shared" si="69"/>
        <v>3460930.97</v>
      </c>
      <c r="G227" s="202">
        <f>13827.51+3259.36</f>
        <v>17086.87</v>
      </c>
      <c r="H227" s="203"/>
      <c r="I227" s="201">
        <f t="shared" si="70"/>
        <v>3478017.8400000003</v>
      </c>
      <c r="J227" s="202">
        <f>7728.93+1608.06-182.46</f>
        <v>9154.53</v>
      </c>
      <c r="K227" s="7"/>
      <c r="L227" s="201">
        <f t="shared" si="71"/>
        <v>3487172.37</v>
      </c>
      <c r="M227" s="29"/>
      <c r="N227" s="7"/>
      <c r="O227" s="30">
        <f t="shared" si="72"/>
        <v>3487172.37</v>
      </c>
      <c r="P227" s="85"/>
      <c r="Q227" s="193">
        <f t="shared" si="66"/>
        <v>3487172.37</v>
      </c>
    </row>
    <row r="228" spans="1:17" ht="12.75">
      <c r="A228" s="49" t="s">
        <v>98</v>
      </c>
      <c r="B228" s="102">
        <v>33155</v>
      </c>
      <c r="C228" s="121"/>
      <c r="D228" s="136">
        <f>61775.7</f>
        <v>61775.7</v>
      </c>
      <c r="E228" s="119"/>
      <c r="F228" s="120">
        <f t="shared" si="69"/>
        <v>61775.7</v>
      </c>
      <c r="G228" s="202">
        <f>60538.18</f>
        <v>60538.18</v>
      </c>
      <c r="H228" s="203"/>
      <c r="I228" s="201">
        <f t="shared" si="70"/>
        <v>122313.88</v>
      </c>
      <c r="J228" s="202">
        <f>62368.6+2482</f>
        <v>64850.6</v>
      </c>
      <c r="K228" s="7"/>
      <c r="L228" s="201">
        <f t="shared" si="71"/>
        <v>187164.48</v>
      </c>
      <c r="M228" s="29"/>
      <c r="N228" s="7"/>
      <c r="O228" s="30">
        <f t="shared" si="72"/>
        <v>187164.48</v>
      </c>
      <c r="P228" s="85"/>
      <c r="Q228" s="193">
        <f t="shared" si="66"/>
        <v>187164.48</v>
      </c>
    </row>
    <row r="229" spans="1:17" ht="12.75">
      <c r="A229" s="49" t="s">
        <v>100</v>
      </c>
      <c r="B229" s="102" t="s">
        <v>271</v>
      </c>
      <c r="C229" s="121"/>
      <c r="D229" s="119"/>
      <c r="E229" s="119"/>
      <c r="F229" s="120">
        <f t="shared" si="69"/>
        <v>0</v>
      </c>
      <c r="G229" s="202">
        <f>215.47</f>
        <v>215.47</v>
      </c>
      <c r="H229" s="203"/>
      <c r="I229" s="201">
        <f t="shared" si="70"/>
        <v>215.47</v>
      </c>
      <c r="J229" s="202">
        <f>79.94</f>
        <v>79.94</v>
      </c>
      <c r="K229" s="7"/>
      <c r="L229" s="201">
        <f t="shared" si="71"/>
        <v>295.40999999999997</v>
      </c>
      <c r="M229" s="29"/>
      <c r="N229" s="7"/>
      <c r="O229" s="30">
        <f t="shared" si="72"/>
        <v>295.40999999999997</v>
      </c>
      <c r="P229" s="85"/>
      <c r="Q229" s="193">
        <f t="shared" si="66"/>
        <v>295.40999999999997</v>
      </c>
    </row>
    <row r="230" spans="1:17" ht="12.75" hidden="1">
      <c r="A230" s="49" t="s">
        <v>101</v>
      </c>
      <c r="B230" s="102"/>
      <c r="C230" s="121"/>
      <c r="D230" s="119"/>
      <c r="E230" s="119"/>
      <c r="F230" s="120">
        <f t="shared" si="69"/>
        <v>0</v>
      </c>
      <c r="G230" s="202"/>
      <c r="H230" s="203"/>
      <c r="I230" s="201">
        <f t="shared" si="70"/>
        <v>0</v>
      </c>
      <c r="J230" s="202"/>
      <c r="K230" s="7"/>
      <c r="L230" s="201">
        <f t="shared" si="71"/>
        <v>0</v>
      </c>
      <c r="M230" s="29"/>
      <c r="N230" s="7"/>
      <c r="O230" s="30">
        <f t="shared" si="72"/>
        <v>0</v>
      </c>
      <c r="P230" s="85"/>
      <c r="Q230" s="193">
        <f t="shared" si="66"/>
        <v>0</v>
      </c>
    </row>
    <row r="231" spans="1:17" ht="12.75" hidden="1">
      <c r="A231" s="49" t="s">
        <v>184</v>
      </c>
      <c r="B231" s="102"/>
      <c r="C231" s="121"/>
      <c r="D231" s="119"/>
      <c r="E231" s="119"/>
      <c r="F231" s="120">
        <f t="shared" si="69"/>
        <v>0</v>
      </c>
      <c r="G231" s="202"/>
      <c r="H231" s="203"/>
      <c r="I231" s="201">
        <f t="shared" si="70"/>
        <v>0</v>
      </c>
      <c r="J231" s="202"/>
      <c r="K231" s="7"/>
      <c r="L231" s="201">
        <f t="shared" si="71"/>
        <v>0</v>
      </c>
      <c r="M231" s="29"/>
      <c r="N231" s="7"/>
      <c r="O231" s="30">
        <f t="shared" si="72"/>
        <v>0</v>
      </c>
      <c r="P231" s="85"/>
      <c r="Q231" s="193">
        <f t="shared" si="66"/>
        <v>0</v>
      </c>
    </row>
    <row r="232" spans="1:17" ht="12.75" hidden="1">
      <c r="A232" s="49" t="s">
        <v>102</v>
      </c>
      <c r="B232" s="102"/>
      <c r="C232" s="121"/>
      <c r="D232" s="119"/>
      <c r="E232" s="119"/>
      <c r="F232" s="120">
        <f t="shared" si="69"/>
        <v>0</v>
      </c>
      <c r="G232" s="202"/>
      <c r="H232" s="203"/>
      <c r="I232" s="201">
        <f t="shared" si="70"/>
        <v>0</v>
      </c>
      <c r="J232" s="202"/>
      <c r="K232" s="7"/>
      <c r="L232" s="201">
        <f t="shared" si="71"/>
        <v>0</v>
      </c>
      <c r="M232" s="29"/>
      <c r="N232" s="7"/>
      <c r="O232" s="30">
        <f t="shared" si="72"/>
        <v>0</v>
      </c>
      <c r="P232" s="85"/>
      <c r="Q232" s="193">
        <f t="shared" si="66"/>
        <v>0</v>
      </c>
    </row>
    <row r="233" spans="1:17" ht="12.75" hidden="1">
      <c r="A233" s="49" t="s">
        <v>159</v>
      </c>
      <c r="B233" s="102"/>
      <c r="C233" s="121"/>
      <c r="D233" s="119"/>
      <c r="E233" s="119"/>
      <c r="F233" s="120">
        <f t="shared" si="69"/>
        <v>0</v>
      </c>
      <c r="G233" s="202"/>
      <c r="H233" s="203"/>
      <c r="I233" s="201">
        <f t="shared" si="70"/>
        <v>0</v>
      </c>
      <c r="J233" s="202"/>
      <c r="K233" s="7"/>
      <c r="L233" s="201">
        <f t="shared" si="71"/>
        <v>0</v>
      </c>
      <c r="M233" s="29"/>
      <c r="N233" s="7"/>
      <c r="O233" s="30">
        <f t="shared" si="72"/>
        <v>0</v>
      </c>
      <c r="P233" s="85"/>
      <c r="Q233" s="193">
        <f t="shared" si="66"/>
        <v>0</v>
      </c>
    </row>
    <row r="234" spans="1:17" ht="12.75">
      <c r="A234" s="49" t="s">
        <v>266</v>
      </c>
      <c r="B234" s="102">
        <v>33215</v>
      </c>
      <c r="C234" s="121"/>
      <c r="D234" s="119">
        <f>8587.89</f>
        <v>8587.89</v>
      </c>
      <c r="E234" s="119"/>
      <c r="F234" s="120">
        <f t="shared" si="69"/>
        <v>8587.89</v>
      </c>
      <c r="G234" s="202"/>
      <c r="H234" s="203"/>
      <c r="I234" s="201">
        <f t="shared" si="70"/>
        <v>8587.89</v>
      </c>
      <c r="J234" s="202">
        <f>-743.66</f>
        <v>-743.66</v>
      </c>
      <c r="K234" s="7"/>
      <c r="L234" s="201">
        <f t="shared" si="71"/>
        <v>7844.23</v>
      </c>
      <c r="M234" s="29"/>
      <c r="N234" s="7"/>
      <c r="O234" s="30">
        <f t="shared" si="72"/>
        <v>7844.23</v>
      </c>
      <c r="P234" s="85"/>
      <c r="Q234" s="193">
        <f t="shared" si="66"/>
        <v>7844.23</v>
      </c>
    </row>
    <row r="235" spans="1:17" ht="12.75">
      <c r="A235" s="49" t="s">
        <v>267</v>
      </c>
      <c r="B235" s="102">
        <v>33457</v>
      </c>
      <c r="C235" s="121"/>
      <c r="D235" s="119">
        <f>7762.19</f>
        <v>7762.19</v>
      </c>
      <c r="E235" s="119"/>
      <c r="F235" s="120">
        <f t="shared" si="69"/>
        <v>7762.19</v>
      </c>
      <c r="G235" s="202"/>
      <c r="H235" s="203"/>
      <c r="I235" s="201">
        <f t="shared" si="70"/>
        <v>7762.19</v>
      </c>
      <c r="J235" s="202"/>
      <c r="K235" s="7"/>
      <c r="L235" s="201">
        <f t="shared" si="71"/>
        <v>7762.19</v>
      </c>
      <c r="M235" s="29"/>
      <c r="N235" s="7"/>
      <c r="O235" s="30">
        <f t="shared" si="72"/>
        <v>7762.19</v>
      </c>
      <c r="P235" s="85"/>
      <c r="Q235" s="193">
        <f t="shared" si="66"/>
        <v>7762.19</v>
      </c>
    </row>
    <row r="236" spans="1:17" ht="12.75" hidden="1">
      <c r="A236" s="67" t="s">
        <v>242</v>
      </c>
      <c r="B236" s="102">
        <v>33052</v>
      </c>
      <c r="C236" s="121"/>
      <c r="D236" s="119"/>
      <c r="E236" s="119"/>
      <c r="F236" s="120">
        <f t="shared" si="69"/>
        <v>0</v>
      </c>
      <c r="G236" s="202"/>
      <c r="H236" s="203"/>
      <c r="I236" s="201">
        <f t="shared" si="70"/>
        <v>0</v>
      </c>
      <c r="J236" s="202"/>
      <c r="K236" s="7"/>
      <c r="L236" s="201">
        <f t="shared" si="71"/>
        <v>0</v>
      </c>
      <c r="M236" s="29"/>
      <c r="N236" s="7"/>
      <c r="O236" s="30">
        <f t="shared" si="72"/>
        <v>0</v>
      </c>
      <c r="P236" s="85"/>
      <c r="Q236" s="193">
        <f t="shared" si="66"/>
        <v>0</v>
      </c>
    </row>
    <row r="237" spans="1:17" ht="12.75">
      <c r="A237" s="67" t="s">
        <v>342</v>
      </c>
      <c r="B237" s="102">
        <v>33073</v>
      </c>
      <c r="C237" s="121"/>
      <c r="D237" s="119"/>
      <c r="E237" s="119"/>
      <c r="F237" s="120"/>
      <c r="G237" s="202"/>
      <c r="H237" s="203"/>
      <c r="I237" s="201">
        <f t="shared" si="70"/>
        <v>0</v>
      </c>
      <c r="J237" s="202">
        <f>36489.09</f>
        <v>36489.09</v>
      </c>
      <c r="K237" s="7"/>
      <c r="L237" s="201">
        <f t="shared" si="71"/>
        <v>36489.09</v>
      </c>
      <c r="M237" s="29"/>
      <c r="N237" s="7"/>
      <c r="O237" s="30"/>
      <c r="P237" s="85"/>
      <c r="Q237" s="193"/>
    </row>
    <row r="238" spans="1:17" ht="12.75">
      <c r="A238" s="67" t="s">
        <v>291</v>
      </c>
      <c r="B238" s="102">
        <v>33069</v>
      </c>
      <c r="C238" s="121"/>
      <c r="D238" s="119">
        <f>8921.07</f>
        <v>8921.07</v>
      </c>
      <c r="E238" s="119"/>
      <c r="F238" s="120">
        <f t="shared" si="69"/>
        <v>8921.07</v>
      </c>
      <c r="G238" s="202"/>
      <c r="H238" s="203"/>
      <c r="I238" s="201">
        <f t="shared" si="70"/>
        <v>8921.07</v>
      </c>
      <c r="J238" s="202"/>
      <c r="K238" s="7"/>
      <c r="L238" s="201">
        <f t="shared" si="71"/>
        <v>8921.07</v>
      </c>
      <c r="M238" s="29"/>
      <c r="N238" s="7"/>
      <c r="O238" s="30"/>
      <c r="P238" s="85"/>
      <c r="Q238" s="193"/>
    </row>
    <row r="239" spans="1:17" ht="12.75" hidden="1">
      <c r="A239" s="67" t="s">
        <v>180</v>
      </c>
      <c r="B239" s="102"/>
      <c r="C239" s="121"/>
      <c r="D239" s="119"/>
      <c r="E239" s="119"/>
      <c r="F239" s="120">
        <f t="shared" si="69"/>
        <v>0</v>
      </c>
      <c r="G239" s="202"/>
      <c r="H239" s="203"/>
      <c r="I239" s="201">
        <f t="shared" si="70"/>
        <v>0</v>
      </c>
      <c r="J239" s="202"/>
      <c r="K239" s="7"/>
      <c r="L239" s="201">
        <f t="shared" si="71"/>
        <v>0</v>
      </c>
      <c r="M239" s="29"/>
      <c r="N239" s="7"/>
      <c r="O239" s="30">
        <f t="shared" si="72"/>
        <v>0</v>
      </c>
      <c r="P239" s="85"/>
      <c r="Q239" s="193">
        <f t="shared" si="66"/>
        <v>0</v>
      </c>
    </row>
    <row r="240" spans="1:17" ht="12.75">
      <c r="A240" s="49" t="s">
        <v>243</v>
      </c>
      <c r="B240" s="102">
        <v>33050</v>
      </c>
      <c r="C240" s="121"/>
      <c r="D240" s="119">
        <f>149.6</f>
        <v>149.6</v>
      </c>
      <c r="E240" s="119"/>
      <c r="F240" s="120">
        <f t="shared" si="69"/>
        <v>149.6</v>
      </c>
      <c r="G240" s="202"/>
      <c r="H240" s="203"/>
      <c r="I240" s="201">
        <f t="shared" si="70"/>
        <v>149.6</v>
      </c>
      <c r="J240" s="202"/>
      <c r="K240" s="7"/>
      <c r="L240" s="201">
        <f t="shared" si="71"/>
        <v>149.6</v>
      </c>
      <c r="M240" s="29"/>
      <c r="N240" s="7"/>
      <c r="O240" s="30">
        <f t="shared" si="72"/>
        <v>149.6</v>
      </c>
      <c r="P240" s="85"/>
      <c r="Q240" s="193">
        <f t="shared" si="66"/>
        <v>149.6</v>
      </c>
    </row>
    <row r="241" spans="1:17" ht="12.75">
      <c r="A241" s="49" t="s">
        <v>179</v>
      </c>
      <c r="B241" s="102">
        <v>33435</v>
      </c>
      <c r="C241" s="121"/>
      <c r="D241" s="119">
        <f>984</f>
        <v>984</v>
      </c>
      <c r="E241" s="119"/>
      <c r="F241" s="120">
        <f t="shared" si="69"/>
        <v>984</v>
      </c>
      <c r="G241" s="202"/>
      <c r="H241" s="203"/>
      <c r="I241" s="201">
        <f t="shared" si="70"/>
        <v>984</v>
      </c>
      <c r="J241" s="202"/>
      <c r="K241" s="7"/>
      <c r="L241" s="201">
        <f t="shared" si="71"/>
        <v>984</v>
      </c>
      <c r="M241" s="29"/>
      <c r="N241" s="7"/>
      <c r="O241" s="30">
        <f t="shared" si="72"/>
        <v>984</v>
      </c>
      <c r="P241" s="85"/>
      <c r="Q241" s="193">
        <f t="shared" si="66"/>
        <v>984</v>
      </c>
    </row>
    <row r="242" spans="1:17" ht="12.75">
      <c r="A242" s="49" t="s">
        <v>275</v>
      </c>
      <c r="B242" s="102">
        <v>33049</v>
      </c>
      <c r="C242" s="121"/>
      <c r="D242" s="119">
        <f>8844.48</f>
        <v>8844.48</v>
      </c>
      <c r="E242" s="119"/>
      <c r="F242" s="120">
        <f t="shared" si="69"/>
        <v>8844.48</v>
      </c>
      <c r="G242" s="202"/>
      <c r="H242" s="203"/>
      <c r="I242" s="201">
        <f t="shared" si="70"/>
        <v>8844.48</v>
      </c>
      <c r="J242" s="202"/>
      <c r="K242" s="7"/>
      <c r="L242" s="201">
        <f t="shared" si="71"/>
        <v>8844.48</v>
      </c>
      <c r="M242" s="29"/>
      <c r="N242" s="7"/>
      <c r="O242" s="30"/>
      <c r="P242" s="85"/>
      <c r="Q242" s="193"/>
    </row>
    <row r="243" spans="1:17" ht="12.75" hidden="1">
      <c r="A243" s="49" t="s">
        <v>244</v>
      </c>
      <c r="B243" s="102">
        <v>33044</v>
      </c>
      <c r="C243" s="121"/>
      <c r="D243" s="119"/>
      <c r="E243" s="119"/>
      <c r="F243" s="120">
        <f t="shared" si="69"/>
        <v>0</v>
      </c>
      <c r="G243" s="202"/>
      <c r="H243" s="203"/>
      <c r="I243" s="201">
        <f t="shared" si="70"/>
        <v>0</v>
      </c>
      <c r="J243" s="202"/>
      <c r="K243" s="7"/>
      <c r="L243" s="201">
        <f t="shared" si="71"/>
        <v>0</v>
      </c>
      <c r="M243" s="29"/>
      <c r="N243" s="7"/>
      <c r="O243" s="30">
        <f t="shared" si="72"/>
        <v>0</v>
      </c>
      <c r="P243" s="85"/>
      <c r="Q243" s="193">
        <f t="shared" si="66"/>
        <v>0</v>
      </c>
    </row>
    <row r="244" spans="1:17" ht="12.75">
      <c r="A244" s="49" t="s">
        <v>250</v>
      </c>
      <c r="B244" s="102">
        <v>33024</v>
      </c>
      <c r="C244" s="121"/>
      <c r="D244" s="119"/>
      <c r="E244" s="119"/>
      <c r="F244" s="120">
        <f t="shared" si="69"/>
        <v>0</v>
      </c>
      <c r="G244" s="202"/>
      <c r="H244" s="203"/>
      <c r="I244" s="201">
        <f t="shared" si="70"/>
        <v>0</v>
      </c>
      <c r="J244" s="202">
        <f>311.13</f>
        <v>311.13</v>
      </c>
      <c r="K244" s="7"/>
      <c r="L244" s="201">
        <f t="shared" si="71"/>
        <v>311.13</v>
      </c>
      <c r="M244" s="29"/>
      <c r="N244" s="7"/>
      <c r="O244" s="30"/>
      <c r="P244" s="85"/>
      <c r="Q244" s="193"/>
    </row>
    <row r="245" spans="1:17" ht="12.75" hidden="1">
      <c r="A245" s="67" t="s">
        <v>186</v>
      </c>
      <c r="B245" s="102">
        <v>33018</v>
      </c>
      <c r="C245" s="121"/>
      <c r="D245" s="119"/>
      <c r="E245" s="119"/>
      <c r="F245" s="120">
        <f t="shared" si="69"/>
        <v>0</v>
      </c>
      <c r="G245" s="202"/>
      <c r="H245" s="203"/>
      <c r="I245" s="201">
        <f t="shared" si="70"/>
        <v>0</v>
      </c>
      <c r="J245" s="202"/>
      <c r="K245" s="7"/>
      <c r="L245" s="201">
        <f t="shared" si="71"/>
        <v>0</v>
      </c>
      <c r="M245" s="29"/>
      <c r="N245" s="7"/>
      <c r="O245" s="30">
        <f t="shared" si="72"/>
        <v>0</v>
      </c>
      <c r="P245" s="85"/>
      <c r="Q245" s="193">
        <f t="shared" si="66"/>
        <v>0</v>
      </c>
    </row>
    <row r="246" spans="1:17" ht="12.75" hidden="1">
      <c r="A246" s="47" t="s">
        <v>187</v>
      </c>
      <c r="B246" s="102"/>
      <c r="C246" s="121"/>
      <c r="D246" s="119"/>
      <c r="E246" s="119"/>
      <c r="F246" s="120">
        <f t="shared" si="69"/>
        <v>0</v>
      </c>
      <c r="G246" s="202"/>
      <c r="H246" s="203"/>
      <c r="I246" s="201">
        <f t="shared" si="70"/>
        <v>0</v>
      </c>
      <c r="J246" s="202"/>
      <c r="K246" s="7"/>
      <c r="L246" s="201">
        <f t="shared" si="71"/>
        <v>0</v>
      </c>
      <c r="M246" s="29"/>
      <c r="N246" s="7"/>
      <c r="O246" s="30">
        <f t="shared" si="72"/>
        <v>0</v>
      </c>
      <c r="P246" s="85"/>
      <c r="Q246" s="193">
        <f t="shared" si="66"/>
        <v>0</v>
      </c>
    </row>
    <row r="247" spans="1:17" ht="12.75">
      <c r="A247" s="67" t="s">
        <v>218</v>
      </c>
      <c r="B247" s="102">
        <v>33160</v>
      </c>
      <c r="C247" s="121"/>
      <c r="D247" s="119">
        <f>256.1</f>
        <v>256.1</v>
      </c>
      <c r="E247" s="119"/>
      <c r="F247" s="120">
        <f t="shared" si="69"/>
        <v>256.1</v>
      </c>
      <c r="G247" s="202"/>
      <c r="H247" s="203"/>
      <c r="I247" s="201">
        <f t="shared" si="70"/>
        <v>256.1</v>
      </c>
      <c r="J247" s="202">
        <f>-120.38</f>
        <v>-120.38</v>
      </c>
      <c r="K247" s="7"/>
      <c r="L247" s="201">
        <f t="shared" si="71"/>
        <v>135.72000000000003</v>
      </c>
      <c r="M247" s="29"/>
      <c r="N247" s="7"/>
      <c r="O247" s="30">
        <f t="shared" si="72"/>
        <v>135.72000000000003</v>
      </c>
      <c r="P247" s="85"/>
      <c r="Q247" s="193">
        <f t="shared" si="66"/>
        <v>135.72000000000003</v>
      </c>
    </row>
    <row r="248" spans="1:17" ht="12.75" hidden="1">
      <c r="A248" s="49" t="s">
        <v>166</v>
      </c>
      <c r="B248" s="102"/>
      <c r="C248" s="121"/>
      <c r="D248" s="119"/>
      <c r="E248" s="119"/>
      <c r="F248" s="120">
        <f t="shared" si="69"/>
        <v>0</v>
      </c>
      <c r="G248" s="202"/>
      <c r="H248" s="203"/>
      <c r="I248" s="201">
        <f t="shared" si="70"/>
        <v>0</v>
      </c>
      <c r="J248" s="202"/>
      <c r="K248" s="7"/>
      <c r="L248" s="201">
        <f t="shared" si="71"/>
        <v>0</v>
      </c>
      <c r="M248" s="29"/>
      <c r="N248" s="7"/>
      <c r="O248" s="30">
        <f t="shared" si="72"/>
        <v>0</v>
      </c>
      <c r="P248" s="85"/>
      <c r="Q248" s="193">
        <f t="shared" si="66"/>
        <v>0</v>
      </c>
    </row>
    <row r="249" spans="1:17" ht="12.75" hidden="1">
      <c r="A249" s="67" t="s">
        <v>165</v>
      </c>
      <c r="B249" s="102"/>
      <c r="C249" s="121"/>
      <c r="D249" s="119"/>
      <c r="E249" s="119"/>
      <c r="F249" s="120">
        <f t="shared" si="69"/>
        <v>0</v>
      </c>
      <c r="G249" s="202"/>
      <c r="H249" s="203"/>
      <c r="I249" s="201">
        <f t="shared" si="70"/>
        <v>0</v>
      </c>
      <c r="J249" s="202"/>
      <c r="K249" s="7"/>
      <c r="L249" s="201">
        <f t="shared" si="71"/>
        <v>0</v>
      </c>
      <c r="M249" s="29"/>
      <c r="N249" s="7"/>
      <c r="O249" s="30">
        <f t="shared" si="72"/>
        <v>0</v>
      </c>
      <c r="P249" s="85"/>
      <c r="Q249" s="193">
        <f t="shared" si="66"/>
        <v>0</v>
      </c>
    </row>
    <row r="250" spans="1:17" ht="12.75" hidden="1">
      <c r="A250" s="49" t="s">
        <v>103</v>
      </c>
      <c r="B250" s="102">
        <v>33025</v>
      </c>
      <c r="C250" s="121"/>
      <c r="D250" s="119"/>
      <c r="E250" s="119"/>
      <c r="F250" s="120">
        <f t="shared" si="69"/>
        <v>0</v>
      </c>
      <c r="G250" s="202"/>
      <c r="H250" s="203"/>
      <c r="I250" s="201">
        <f t="shared" si="70"/>
        <v>0</v>
      </c>
      <c r="J250" s="202"/>
      <c r="K250" s="7"/>
      <c r="L250" s="201">
        <f t="shared" si="71"/>
        <v>0</v>
      </c>
      <c r="M250" s="29"/>
      <c r="N250" s="7"/>
      <c r="O250" s="30">
        <f t="shared" si="72"/>
        <v>0</v>
      </c>
      <c r="P250" s="85"/>
      <c r="Q250" s="193">
        <f t="shared" si="66"/>
        <v>0</v>
      </c>
    </row>
    <row r="251" spans="1:17" ht="12.75">
      <c r="A251" s="103" t="s">
        <v>328</v>
      </c>
      <c r="B251" s="102">
        <v>2054</v>
      </c>
      <c r="C251" s="121"/>
      <c r="D251" s="119"/>
      <c r="E251" s="119"/>
      <c r="F251" s="120"/>
      <c r="G251" s="202"/>
      <c r="H251" s="203"/>
      <c r="I251" s="201">
        <f t="shared" si="70"/>
        <v>0</v>
      </c>
      <c r="J251" s="202">
        <f>1602.75</f>
        <v>1602.75</v>
      </c>
      <c r="K251" s="7"/>
      <c r="L251" s="201">
        <f t="shared" si="71"/>
        <v>1602.75</v>
      </c>
      <c r="M251" s="29"/>
      <c r="N251" s="7"/>
      <c r="O251" s="30"/>
      <c r="P251" s="85"/>
      <c r="Q251" s="193"/>
    </row>
    <row r="252" spans="1:17" ht="12.75">
      <c r="A252" s="49" t="s">
        <v>197</v>
      </c>
      <c r="B252" s="102">
        <v>33038</v>
      </c>
      <c r="C252" s="121"/>
      <c r="D252" s="119"/>
      <c r="E252" s="119"/>
      <c r="F252" s="120">
        <f t="shared" si="69"/>
        <v>0</v>
      </c>
      <c r="G252" s="202">
        <f>1171.4</f>
        <v>1171.4</v>
      </c>
      <c r="H252" s="203"/>
      <c r="I252" s="201">
        <f t="shared" si="70"/>
        <v>1171.4</v>
      </c>
      <c r="J252" s="202"/>
      <c r="K252" s="7"/>
      <c r="L252" s="201">
        <f t="shared" si="71"/>
        <v>1171.4</v>
      </c>
      <c r="M252" s="29"/>
      <c r="N252" s="7"/>
      <c r="O252" s="30">
        <f t="shared" si="72"/>
        <v>1171.4</v>
      </c>
      <c r="P252" s="85"/>
      <c r="Q252" s="193">
        <f t="shared" si="66"/>
        <v>1171.4</v>
      </c>
    </row>
    <row r="253" spans="1:17" ht="12.75">
      <c r="A253" s="49" t="s">
        <v>329</v>
      </c>
      <c r="B253" s="102">
        <v>33063</v>
      </c>
      <c r="C253" s="121"/>
      <c r="D253" s="119"/>
      <c r="E253" s="119"/>
      <c r="F253" s="120">
        <f t="shared" si="69"/>
        <v>0</v>
      </c>
      <c r="G253" s="202">
        <f>189.46+322.77</f>
        <v>512.23</v>
      </c>
      <c r="H253" s="203"/>
      <c r="I253" s="201">
        <f t="shared" si="70"/>
        <v>512.23</v>
      </c>
      <c r="J253" s="202">
        <f>633.34+1046.04+908.07+1139.29+971.95+1211.93</f>
        <v>5910.620000000001</v>
      </c>
      <c r="K253" s="7"/>
      <c r="L253" s="201">
        <f t="shared" si="71"/>
        <v>6422.85</v>
      </c>
      <c r="M253" s="29"/>
      <c r="N253" s="7"/>
      <c r="O253" s="30">
        <f t="shared" si="72"/>
        <v>6422.85</v>
      </c>
      <c r="P253" s="85"/>
      <c r="Q253" s="193">
        <f t="shared" si="66"/>
        <v>6422.85</v>
      </c>
    </row>
    <row r="254" spans="1:17" ht="12.75">
      <c r="A254" s="49" t="s">
        <v>314</v>
      </c>
      <c r="B254" s="102"/>
      <c r="C254" s="121"/>
      <c r="D254" s="119">
        <f>17565.21</f>
        <v>17565.21</v>
      </c>
      <c r="E254" s="119"/>
      <c r="F254" s="120">
        <f t="shared" si="69"/>
        <v>17565.21</v>
      </c>
      <c r="G254" s="202"/>
      <c r="H254" s="203"/>
      <c r="I254" s="201">
        <f t="shared" si="70"/>
        <v>17565.21</v>
      </c>
      <c r="J254" s="202"/>
      <c r="K254" s="7"/>
      <c r="L254" s="201">
        <f t="shared" si="71"/>
        <v>17565.21</v>
      </c>
      <c r="M254" s="29"/>
      <c r="N254" s="7"/>
      <c r="O254" s="30">
        <f t="shared" si="72"/>
        <v>17565.21</v>
      </c>
      <c r="P254" s="85"/>
      <c r="Q254" s="193">
        <f t="shared" si="66"/>
        <v>17565.21</v>
      </c>
    </row>
    <row r="255" spans="1:17" ht="12.75" hidden="1">
      <c r="A255" s="49" t="s">
        <v>104</v>
      </c>
      <c r="B255" s="102"/>
      <c r="C255" s="121"/>
      <c r="D255" s="119"/>
      <c r="E255" s="119"/>
      <c r="F255" s="120">
        <f t="shared" si="69"/>
        <v>0</v>
      </c>
      <c r="G255" s="202"/>
      <c r="H255" s="203"/>
      <c r="I255" s="201">
        <f t="shared" si="70"/>
        <v>0</v>
      </c>
      <c r="J255" s="202"/>
      <c r="K255" s="7"/>
      <c r="L255" s="201">
        <f t="shared" si="71"/>
        <v>0</v>
      </c>
      <c r="M255" s="29"/>
      <c r="N255" s="7"/>
      <c r="O255" s="30">
        <f t="shared" si="72"/>
        <v>0</v>
      </c>
      <c r="P255" s="85"/>
      <c r="Q255" s="193">
        <f t="shared" si="66"/>
        <v>0</v>
      </c>
    </row>
    <row r="256" spans="1:17" ht="12.75">
      <c r="A256" s="49" t="s">
        <v>90</v>
      </c>
      <c r="B256" s="102"/>
      <c r="C256" s="121"/>
      <c r="D256" s="119">
        <f>402</f>
        <v>402</v>
      </c>
      <c r="E256" s="119"/>
      <c r="F256" s="120">
        <f t="shared" si="69"/>
        <v>402</v>
      </c>
      <c r="G256" s="202"/>
      <c r="H256" s="203"/>
      <c r="I256" s="201">
        <f t="shared" si="70"/>
        <v>402</v>
      </c>
      <c r="J256" s="202"/>
      <c r="K256" s="7"/>
      <c r="L256" s="201">
        <f t="shared" si="71"/>
        <v>402</v>
      </c>
      <c r="M256" s="40"/>
      <c r="N256" s="7"/>
      <c r="O256" s="30">
        <f t="shared" si="72"/>
        <v>402</v>
      </c>
      <c r="P256" s="85"/>
      <c r="Q256" s="193">
        <f t="shared" si="66"/>
        <v>402</v>
      </c>
    </row>
    <row r="257" spans="1:17" ht="12.75">
      <c r="A257" s="49" t="s">
        <v>64</v>
      </c>
      <c r="B257" s="102"/>
      <c r="C257" s="121">
        <v>28705</v>
      </c>
      <c r="D257" s="119">
        <f>439+856.59-1000-13091+7400+9000+179+50</f>
        <v>3833.59</v>
      </c>
      <c r="E257" s="119"/>
      <c r="F257" s="120">
        <f t="shared" si="69"/>
        <v>32538.59</v>
      </c>
      <c r="G257" s="202">
        <f>4.43-13974.9-179</f>
        <v>-14149.47</v>
      </c>
      <c r="H257" s="203"/>
      <c r="I257" s="201">
        <f t="shared" si="70"/>
        <v>18389.120000000003</v>
      </c>
      <c r="J257" s="202">
        <f>-1613.1-6200.38+445.73</f>
        <v>-7367.75</v>
      </c>
      <c r="K257" s="7"/>
      <c r="L257" s="201">
        <f t="shared" si="71"/>
        <v>11021.370000000003</v>
      </c>
      <c r="M257" s="40"/>
      <c r="N257" s="7"/>
      <c r="O257" s="30">
        <f t="shared" si="72"/>
        <v>11021.370000000003</v>
      </c>
      <c r="P257" s="85"/>
      <c r="Q257" s="193">
        <f t="shared" si="66"/>
        <v>11021.370000000003</v>
      </c>
    </row>
    <row r="258" spans="1:17" ht="12.75">
      <c r="A258" s="52" t="s">
        <v>67</v>
      </c>
      <c r="B258" s="106"/>
      <c r="C258" s="133">
        <f>SUM(C260:C264)</f>
        <v>0</v>
      </c>
      <c r="D258" s="134">
        <f>SUM(D260:D264)</f>
        <v>132.3</v>
      </c>
      <c r="E258" s="134"/>
      <c r="F258" s="135">
        <f>SUM(F260:F264)</f>
        <v>132.3</v>
      </c>
      <c r="G258" s="218">
        <f aca="true" t="shared" si="73" ref="G258:Q258">SUM(G260:G264)</f>
        <v>599.6</v>
      </c>
      <c r="H258" s="219">
        <f t="shared" si="73"/>
        <v>0</v>
      </c>
      <c r="I258" s="220">
        <f t="shared" si="73"/>
        <v>731.9000000000001</v>
      </c>
      <c r="J258" s="218">
        <f t="shared" si="73"/>
        <v>4064.4</v>
      </c>
      <c r="K258" s="134">
        <f t="shared" si="73"/>
        <v>0</v>
      </c>
      <c r="L258" s="220">
        <f t="shared" si="73"/>
        <v>4796.3</v>
      </c>
      <c r="M258" s="133">
        <f t="shared" si="73"/>
        <v>0</v>
      </c>
      <c r="N258" s="134">
        <f t="shared" si="73"/>
        <v>0</v>
      </c>
      <c r="O258" s="135">
        <f t="shared" si="73"/>
        <v>4796.3</v>
      </c>
      <c r="P258" s="133">
        <f t="shared" si="73"/>
        <v>0</v>
      </c>
      <c r="Q258" s="135">
        <f t="shared" si="73"/>
        <v>4796.3</v>
      </c>
    </row>
    <row r="259" spans="1:17" ht="12.75">
      <c r="A259" s="47" t="s">
        <v>33</v>
      </c>
      <c r="B259" s="102"/>
      <c r="C259" s="121"/>
      <c r="D259" s="119"/>
      <c r="E259" s="119"/>
      <c r="F259" s="120"/>
      <c r="G259" s="202"/>
      <c r="H259" s="203"/>
      <c r="I259" s="200"/>
      <c r="J259" s="202"/>
      <c r="K259" s="7"/>
      <c r="L259" s="200"/>
      <c r="M259" s="29"/>
      <c r="N259" s="7"/>
      <c r="O259" s="28"/>
      <c r="P259" s="85"/>
      <c r="Q259" s="193"/>
    </row>
    <row r="260" spans="1:17" ht="12.75">
      <c r="A260" s="49" t="s">
        <v>105</v>
      </c>
      <c r="B260" s="102"/>
      <c r="C260" s="121"/>
      <c r="D260" s="119">
        <f>132.3</f>
        <v>132.3</v>
      </c>
      <c r="E260" s="119"/>
      <c r="F260" s="120">
        <f>C260+D260+E260</f>
        <v>132.3</v>
      </c>
      <c r="G260" s="202">
        <f>450.6</f>
        <v>450.6</v>
      </c>
      <c r="H260" s="203"/>
      <c r="I260" s="201">
        <f>F260+G260+H260</f>
        <v>582.9000000000001</v>
      </c>
      <c r="J260" s="202">
        <f>744.4</f>
        <v>744.4</v>
      </c>
      <c r="K260" s="7"/>
      <c r="L260" s="201">
        <f>I260+J260+K260</f>
        <v>1327.3000000000002</v>
      </c>
      <c r="M260" s="33"/>
      <c r="N260" s="10"/>
      <c r="O260" s="34">
        <f>L260+M260+N260</f>
        <v>1327.3000000000002</v>
      </c>
      <c r="P260" s="90"/>
      <c r="Q260" s="194">
        <f t="shared" si="66"/>
        <v>1327.3000000000002</v>
      </c>
    </row>
    <row r="261" spans="1:17" ht="12.75" hidden="1">
      <c r="A261" s="49" t="s">
        <v>80</v>
      </c>
      <c r="B261" s="102"/>
      <c r="C261" s="121"/>
      <c r="D261" s="119"/>
      <c r="E261" s="119"/>
      <c r="F261" s="120">
        <f>C261+D261+E261</f>
        <v>0</v>
      </c>
      <c r="G261" s="202"/>
      <c r="H261" s="203"/>
      <c r="I261" s="201">
        <f>F261+G261+H261</f>
        <v>0</v>
      </c>
      <c r="J261" s="202"/>
      <c r="K261" s="7"/>
      <c r="L261" s="201">
        <f>I261+J261+K261</f>
        <v>0</v>
      </c>
      <c r="M261" s="29"/>
      <c r="N261" s="7"/>
      <c r="O261" s="30">
        <f>L261+M261+N261</f>
        <v>0</v>
      </c>
      <c r="P261" s="85"/>
      <c r="Q261" s="193">
        <f t="shared" si="66"/>
        <v>0</v>
      </c>
    </row>
    <row r="262" spans="1:17" ht="12.75">
      <c r="A262" s="49" t="s">
        <v>314</v>
      </c>
      <c r="B262" s="102"/>
      <c r="C262" s="121"/>
      <c r="D262" s="119"/>
      <c r="E262" s="119"/>
      <c r="F262" s="120">
        <f>C262+D262+E262</f>
        <v>0</v>
      </c>
      <c r="G262" s="202">
        <f>149</f>
        <v>149</v>
      </c>
      <c r="H262" s="203"/>
      <c r="I262" s="201">
        <f>F262+G262+H262</f>
        <v>149</v>
      </c>
      <c r="J262" s="202"/>
      <c r="K262" s="7"/>
      <c r="L262" s="201">
        <f>I262+J262+K262</f>
        <v>149</v>
      </c>
      <c r="M262" s="29"/>
      <c r="N262" s="7"/>
      <c r="O262" s="30">
        <f>L262+M262+N262</f>
        <v>149</v>
      </c>
      <c r="P262" s="85"/>
      <c r="Q262" s="193">
        <f t="shared" si="66"/>
        <v>149</v>
      </c>
    </row>
    <row r="263" spans="1:17" ht="12.75" hidden="1">
      <c r="A263" s="49" t="s">
        <v>68</v>
      </c>
      <c r="B263" s="102"/>
      <c r="C263" s="121"/>
      <c r="D263" s="119"/>
      <c r="E263" s="119"/>
      <c r="F263" s="120">
        <f>C263+D263+E263</f>
        <v>0</v>
      </c>
      <c r="G263" s="202"/>
      <c r="H263" s="203"/>
      <c r="I263" s="201">
        <f>F263+G263+H263</f>
        <v>0</v>
      </c>
      <c r="J263" s="202"/>
      <c r="K263" s="9"/>
      <c r="L263" s="201">
        <f>I263+J263+K263</f>
        <v>0</v>
      </c>
      <c r="M263" s="29"/>
      <c r="N263" s="7"/>
      <c r="O263" s="30">
        <f>L263+M263+N263</f>
        <v>0</v>
      </c>
      <c r="P263" s="85"/>
      <c r="Q263" s="193">
        <f t="shared" si="66"/>
        <v>0</v>
      </c>
    </row>
    <row r="264" spans="1:17" ht="12.75">
      <c r="A264" s="56" t="s">
        <v>90</v>
      </c>
      <c r="B264" s="105"/>
      <c r="C264" s="131"/>
      <c r="D264" s="132"/>
      <c r="E264" s="132"/>
      <c r="F264" s="169">
        <f>C264+D264+E264</f>
        <v>0</v>
      </c>
      <c r="G264" s="215"/>
      <c r="H264" s="216"/>
      <c r="I264" s="217">
        <f>F264+G264+H264</f>
        <v>0</v>
      </c>
      <c r="J264" s="215">
        <f>3320</f>
        <v>3320</v>
      </c>
      <c r="K264" s="79"/>
      <c r="L264" s="217">
        <f>I264+J264+K264</f>
        <v>3320</v>
      </c>
      <c r="M264" s="33"/>
      <c r="N264" s="10"/>
      <c r="O264" s="34">
        <f>L264+M264+N264</f>
        <v>3320</v>
      </c>
      <c r="P264" s="90"/>
      <c r="Q264" s="194">
        <f t="shared" si="66"/>
        <v>3320</v>
      </c>
    </row>
    <row r="265" spans="1:17" ht="12.75">
      <c r="A265" s="42" t="s">
        <v>106</v>
      </c>
      <c r="B265" s="106"/>
      <c r="C265" s="116">
        <f>C266+C281</f>
        <v>383327.2</v>
      </c>
      <c r="D265" s="117">
        <f>D266+D281</f>
        <v>92423.39</v>
      </c>
      <c r="E265" s="117">
        <f>E266+E281</f>
        <v>0</v>
      </c>
      <c r="F265" s="118">
        <f>F266+F281</f>
        <v>475750.59</v>
      </c>
      <c r="G265" s="198">
        <f aca="true" t="shared" si="74" ref="G265:Q265">G266+G281</f>
        <v>1779.87</v>
      </c>
      <c r="H265" s="199">
        <f t="shared" si="74"/>
        <v>0</v>
      </c>
      <c r="I265" s="200">
        <f t="shared" si="74"/>
        <v>477530.46</v>
      </c>
      <c r="J265" s="198">
        <f t="shared" si="74"/>
        <v>22712</v>
      </c>
      <c r="K265" s="117">
        <f t="shared" si="74"/>
        <v>0</v>
      </c>
      <c r="L265" s="200">
        <f t="shared" si="74"/>
        <v>500242.45999999996</v>
      </c>
      <c r="M265" s="116">
        <f t="shared" si="74"/>
        <v>0</v>
      </c>
      <c r="N265" s="117">
        <f t="shared" si="74"/>
        <v>0</v>
      </c>
      <c r="O265" s="118">
        <f t="shared" si="74"/>
        <v>380806.57</v>
      </c>
      <c r="P265" s="116">
        <f t="shared" si="74"/>
        <v>0</v>
      </c>
      <c r="Q265" s="118">
        <f t="shared" si="74"/>
        <v>380806.57</v>
      </c>
    </row>
    <row r="266" spans="1:17" ht="12.75">
      <c r="A266" s="51" t="s">
        <v>62</v>
      </c>
      <c r="B266" s="106"/>
      <c r="C266" s="128">
        <f>SUM(C268:C280)</f>
        <v>383327.2</v>
      </c>
      <c r="D266" s="129">
        <f>SUM(D268:D280)</f>
        <v>46423.39</v>
      </c>
      <c r="E266" s="129">
        <f>SUM(E268:E280)</f>
        <v>0</v>
      </c>
      <c r="F266" s="130">
        <f>SUM(F268:F280)</f>
        <v>429750.59</v>
      </c>
      <c r="G266" s="212">
        <f aca="true" t="shared" si="75" ref="G266:Q266">SUM(G268:G280)</f>
        <v>1779.87</v>
      </c>
      <c r="H266" s="213">
        <f t="shared" si="75"/>
        <v>0</v>
      </c>
      <c r="I266" s="214">
        <f t="shared" si="75"/>
        <v>431530.46</v>
      </c>
      <c r="J266" s="212">
        <f t="shared" si="75"/>
        <v>22712</v>
      </c>
      <c r="K266" s="129">
        <f t="shared" si="75"/>
        <v>0</v>
      </c>
      <c r="L266" s="214">
        <f t="shared" si="75"/>
        <v>454242.45999999996</v>
      </c>
      <c r="M266" s="128">
        <f t="shared" si="75"/>
        <v>0</v>
      </c>
      <c r="N266" s="129">
        <f t="shared" si="75"/>
        <v>0</v>
      </c>
      <c r="O266" s="130">
        <f t="shared" si="75"/>
        <v>380806.57</v>
      </c>
      <c r="P266" s="128">
        <f t="shared" si="75"/>
        <v>0</v>
      </c>
      <c r="Q266" s="130">
        <f t="shared" si="75"/>
        <v>380806.57</v>
      </c>
    </row>
    <row r="267" spans="1:17" ht="12.75">
      <c r="A267" s="47" t="s">
        <v>33</v>
      </c>
      <c r="B267" s="102"/>
      <c r="C267" s="121"/>
      <c r="D267" s="119"/>
      <c r="E267" s="119"/>
      <c r="F267" s="118"/>
      <c r="G267" s="202"/>
      <c r="H267" s="203"/>
      <c r="I267" s="200"/>
      <c r="J267" s="202"/>
      <c r="K267" s="7"/>
      <c r="L267" s="200"/>
      <c r="M267" s="29"/>
      <c r="N267" s="7"/>
      <c r="O267" s="28"/>
      <c r="P267" s="85"/>
      <c r="Q267" s="193"/>
    </row>
    <row r="268" spans="1:17" ht="12.75">
      <c r="A268" s="44" t="s">
        <v>88</v>
      </c>
      <c r="B268" s="102"/>
      <c r="C268" s="121">
        <v>223604</v>
      </c>
      <c r="D268" s="119"/>
      <c r="E268" s="119"/>
      <c r="F268" s="120">
        <f aca="true" t="shared" si="76" ref="F268:F280">C268+D268+E268</f>
        <v>223604</v>
      </c>
      <c r="G268" s="202">
        <f>250</f>
        <v>250</v>
      </c>
      <c r="H268" s="203"/>
      <c r="I268" s="201">
        <f aca="true" t="shared" si="77" ref="I268:I280">F268+G268+H268</f>
        <v>223854</v>
      </c>
      <c r="J268" s="202"/>
      <c r="K268" s="7"/>
      <c r="L268" s="201">
        <f aca="true" t="shared" si="78" ref="L268:L280">I268+J268+K268</f>
        <v>223854</v>
      </c>
      <c r="M268" s="29"/>
      <c r="N268" s="7"/>
      <c r="O268" s="30">
        <f aca="true" t="shared" si="79" ref="O268:O280">L268+M268+N268</f>
        <v>223854</v>
      </c>
      <c r="P268" s="85"/>
      <c r="Q268" s="193">
        <f>O268+P268</f>
        <v>223854</v>
      </c>
    </row>
    <row r="269" spans="1:17" ht="12.75">
      <c r="A269" s="103" t="s">
        <v>258</v>
      </c>
      <c r="B269" s="102"/>
      <c r="C269" s="121">
        <v>8417.5</v>
      </c>
      <c r="D269" s="119">
        <f>2848+10000</f>
        <v>12848</v>
      </c>
      <c r="E269" s="119"/>
      <c r="F269" s="120">
        <f t="shared" si="76"/>
        <v>21265.5</v>
      </c>
      <c r="G269" s="202">
        <f>-250</f>
        <v>-250</v>
      </c>
      <c r="H269" s="203"/>
      <c r="I269" s="201">
        <f t="shared" si="77"/>
        <v>21015.5</v>
      </c>
      <c r="J269" s="202"/>
      <c r="K269" s="7"/>
      <c r="L269" s="201">
        <f t="shared" si="78"/>
        <v>21015.5</v>
      </c>
      <c r="M269" s="29"/>
      <c r="N269" s="7"/>
      <c r="O269" s="30"/>
      <c r="P269" s="85"/>
      <c r="Q269" s="193"/>
    </row>
    <row r="270" spans="1:17" ht="12.75">
      <c r="A270" s="49" t="s">
        <v>75</v>
      </c>
      <c r="B270" s="102"/>
      <c r="C270" s="121">
        <v>100000</v>
      </c>
      <c r="D270" s="119">
        <f>500+30000</f>
        <v>30500</v>
      </c>
      <c r="E270" s="119"/>
      <c r="F270" s="120">
        <f t="shared" si="76"/>
        <v>130500</v>
      </c>
      <c r="G270" s="202"/>
      <c r="H270" s="203">
        <f>203.2+350</f>
        <v>553.2</v>
      </c>
      <c r="I270" s="201">
        <f t="shared" si="77"/>
        <v>131053.2</v>
      </c>
      <c r="J270" s="202"/>
      <c r="K270" s="7"/>
      <c r="L270" s="201">
        <f t="shared" si="78"/>
        <v>131053.2</v>
      </c>
      <c r="M270" s="29"/>
      <c r="N270" s="7"/>
      <c r="O270" s="30">
        <f t="shared" si="79"/>
        <v>131053.2</v>
      </c>
      <c r="P270" s="85"/>
      <c r="Q270" s="193">
        <f>O270+P270</f>
        <v>131053.2</v>
      </c>
    </row>
    <row r="271" spans="1:17" ht="12.75">
      <c r="A271" s="49" t="s">
        <v>208</v>
      </c>
      <c r="B271" s="102"/>
      <c r="C271" s="121">
        <v>30000</v>
      </c>
      <c r="D271" s="119"/>
      <c r="E271" s="119"/>
      <c r="F271" s="120">
        <f t="shared" si="76"/>
        <v>30000</v>
      </c>
      <c r="G271" s="202"/>
      <c r="H271" s="203"/>
      <c r="I271" s="201">
        <f t="shared" si="77"/>
        <v>30000</v>
      </c>
      <c r="J271" s="202"/>
      <c r="K271" s="7"/>
      <c r="L271" s="201">
        <f t="shared" si="78"/>
        <v>30000</v>
      </c>
      <c r="M271" s="29"/>
      <c r="N271" s="7"/>
      <c r="O271" s="30"/>
      <c r="P271" s="85"/>
      <c r="Q271" s="193"/>
    </row>
    <row r="272" spans="1:17" ht="12.75">
      <c r="A272" s="49" t="s">
        <v>64</v>
      </c>
      <c r="B272" s="102"/>
      <c r="C272" s="137">
        <v>21305.7</v>
      </c>
      <c r="D272" s="119">
        <f>2495+217</f>
        <v>2712</v>
      </c>
      <c r="E272" s="119"/>
      <c r="F272" s="120">
        <f t="shared" si="76"/>
        <v>24017.7</v>
      </c>
      <c r="G272" s="202"/>
      <c r="H272" s="203">
        <f>-203.2-350</f>
        <v>-553.2</v>
      </c>
      <c r="I272" s="201">
        <f t="shared" si="77"/>
        <v>23464.5</v>
      </c>
      <c r="J272" s="202"/>
      <c r="K272" s="7"/>
      <c r="L272" s="201">
        <f t="shared" si="78"/>
        <v>23464.5</v>
      </c>
      <c r="M272" s="29"/>
      <c r="N272" s="7"/>
      <c r="O272" s="30">
        <f t="shared" si="79"/>
        <v>23464.5</v>
      </c>
      <c r="P272" s="85"/>
      <c r="Q272" s="193">
        <f aca="true" t="shared" si="80" ref="Q272:Q280">O272+P272</f>
        <v>23464.5</v>
      </c>
    </row>
    <row r="273" spans="1:17" ht="12.75" hidden="1">
      <c r="A273" s="49" t="s">
        <v>91</v>
      </c>
      <c r="B273" s="102"/>
      <c r="C273" s="137"/>
      <c r="D273" s="119"/>
      <c r="E273" s="119"/>
      <c r="F273" s="120">
        <f t="shared" si="76"/>
        <v>0</v>
      </c>
      <c r="G273" s="202"/>
      <c r="H273" s="203"/>
      <c r="I273" s="201">
        <f t="shared" si="77"/>
        <v>0</v>
      </c>
      <c r="J273" s="202"/>
      <c r="K273" s="7"/>
      <c r="L273" s="201">
        <f t="shared" si="78"/>
        <v>0</v>
      </c>
      <c r="M273" s="29"/>
      <c r="N273" s="7"/>
      <c r="O273" s="30">
        <f t="shared" si="79"/>
        <v>0</v>
      </c>
      <c r="P273" s="85"/>
      <c r="Q273" s="193">
        <f t="shared" si="80"/>
        <v>0</v>
      </c>
    </row>
    <row r="274" spans="1:17" ht="12.75">
      <c r="A274" s="49" t="s">
        <v>352</v>
      </c>
      <c r="B274" s="102">
        <v>35020</v>
      </c>
      <c r="C274" s="137"/>
      <c r="D274" s="119"/>
      <c r="E274" s="119"/>
      <c r="F274" s="120"/>
      <c r="G274" s="202"/>
      <c r="H274" s="203"/>
      <c r="I274" s="201">
        <f t="shared" si="77"/>
        <v>0</v>
      </c>
      <c r="J274" s="202">
        <f>16871.35</f>
        <v>16871.35</v>
      </c>
      <c r="K274" s="7"/>
      <c r="L274" s="201">
        <f t="shared" si="78"/>
        <v>16871.35</v>
      </c>
      <c r="M274" s="29"/>
      <c r="N274" s="7"/>
      <c r="O274" s="30"/>
      <c r="P274" s="85"/>
      <c r="Q274" s="193"/>
    </row>
    <row r="275" spans="1:17" ht="12.75">
      <c r="A275" s="49" t="s">
        <v>330</v>
      </c>
      <c r="B275" s="102">
        <v>13013</v>
      </c>
      <c r="C275" s="137"/>
      <c r="D275" s="119"/>
      <c r="E275" s="119"/>
      <c r="F275" s="120">
        <f t="shared" si="76"/>
        <v>0</v>
      </c>
      <c r="G275" s="202">
        <f>1310.51</f>
        <v>1310.51</v>
      </c>
      <c r="H275" s="203"/>
      <c r="I275" s="201">
        <f t="shared" si="77"/>
        <v>1310.51</v>
      </c>
      <c r="J275" s="202"/>
      <c r="K275" s="7"/>
      <c r="L275" s="201">
        <f t="shared" si="78"/>
        <v>1310.51</v>
      </c>
      <c r="M275" s="29"/>
      <c r="N275" s="7"/>
      <c r="O275" s="30">
        <f t="shared" si="79"/>
        <v>1310.51</v>
      </c>
      <c r="P275" s="85"/>
      <c r="Q275" s="193">
        <f t="shared" si="80"/>
        <v>1310.51</v>
      </c>
    </row>
    <row r="276" spans="1:17" ht="12.75">
      <c r="A276" s="49" t="s">
        <v>343</v>
      </c>
      <c r="B276" s="102">
        <v>15018</v>
      </c>
      <c r="C276" s="137"/>
      <c r="D276" s="119"/>
      <c r="E276" s="119"/>
      <c r="F276" s="120"/>
      <c r="G276" s="202"/>
      <c r="H276" s="203"/>
      <c r="I276" s="201">
        <f t="shared" si="77"/>
        <v>0</v>
      </c>
      <c r="J276" s="202">
        <v>5508.04</v>
      </c>
      <c r="K276" s="7"/>
      <c r="L276" s="201">
        <f t="shared" si="78"/>
        <v>5508.04</v>
      </c>
      <c r="M276" s="29"/>
      <c r="N276" s="7"/>
      <c r="O276" s="30"/>
      <c r="P276" s="85"/>
      <c r="Q276" s="193"/>
    </row>
    <row r="277" spans="1:17" ht="12.75">
      <c r="A277" s="56" t="s">
        <v>107</v>
      </c>
      <c r="B277" s="105">
        <v>98335</v>
      </c>
      <c r="C277" s="131"/>
      <c r="D277" s="132">
        <f>176.59</f>
        <v>176.59</v>
      </c>
      <c r="E277" s="132"/>
      <c r="F277" s="169">
        <f t="shared" si="76"/>
        <v>176.59</v>
      </c>
      <c r="G277" s="215">
        <f>180.29</f>
        <v>180.29</v>
      </c>
      <c r="H277" s="216"/>
      <c r="I277" s="217">
        <f t="shared" si="77"/>
        <v>356.88</v>
      </c>
      <c r="J277" s="215">
        <f>181.11</f>
        <v>181.11</v>
      </c>
      <c r="K277" s="10"/>
      <c r="L277" s="217">
        <f t="shared" si="78"/>
        <v>537.99</v>
      </c>
      <c r="M277" s="41"/>
      <c r="N277" s="7"/>
      <c r="O277" s="30">
        <f t="shared" si="79"/>
        <v>537.99</v>
      </c>
      <c r="P277" s="85"/>
      <c r="Q277" s="193">
        <f t="shared" si="80"/>
        <v>537.99</v>
      </c>
    </row>
    <row r="278" spans="1:17" ht="12.75">
      <c r="A278" s="49" t="s">
        <v>108</v>
      </c>
      <c r="B278" s="102"/>
      <c r="C278" s="121"/>
      <c r="D278" s="119"/>
      <c r="E278" s="119"/>
      <c r="F278" s="120">
        <f t="shared" si="76"/>
        <v>0</v>
      </c>
      <c r="G278" s="202">
        <f>100</f>
        <v>100</v>
      </c>
      <c r="H278" s="203"/>
      <c r="I278" s="201">
        <f t="shared" si="77"/>
        <v>100</v>
      </c>
      <c r="J278" s="202"/>
      <c r="K278" s="7"/>
      <c r="L278" s="201">
        <f t="shared" si="78"/>
        <v>100</v>
      </c>
      <c r="M278" s="29"/>
      <c r="N278" s="7"/>
      <c r="O278" s="30">
        <f t="shared" si="79"/>
        <v>100</v>
      </c>
      <c r="P278" s="85"/>
      <c r="Q278" s="193">
        <f t="shared" si="80"/>
        <v>100</v>
      </c>
    </row>
    <row r="279" spans="1:17" ht="12.75">
      <c r="A279" s="49" t="s">
        <v>337</v>
      </c>
      <c r="B279" s="102"/>
      <c r="C279" s="121"/>
      <c r="D279" s="119"/>
      <c r="E279" s="119"/>
      <c r="F279" s="120">
        <f t="shared" si="76"/>
        <v>0</v>
      </c>
      <c r="G279" s="202">
        <f>41</f>
        <v>41</v>
      </c>
      <c r="H279" s="203"/>
      <c r="I279" s="201">
        <f t="shared" si="77"/>
        <v>41</v>
      </c>
      <c r="J279" s="202"/>
      <c r="K279" s="7"/>
      <c r="L279" s="201">
        <f t="shared" si="78"/>
        <v>41</v>
      </c>
      <c r="M279" s="29"/>
      <c r="N279" s="7"/>
      <c r="O279" s="30"/>
      <c r="P279" s="85"/>
      <c r="Q279" s="193"/>
    </row>
    <row r="280" spans="1:17" ht="12.75">
      <c r="A280" s="49" t="s">
        <v>109</v>
      </c>
      <c r="B280" s="102">
        <v>98297</v>
      </c>
      <c r="C280" s="121"/>
      <c r="D280" s="119">
        <f>186.8</f>
        <v>186.8</v>
      </c>
      <c r="E280" s="119"/>
      <c r="F280" s="120">
        <f t="shared" si="76"/>
        <v>186.8</v>
      </c>
      <c r="G280" s="202">
        <f>148.07</f>
        <v>148.07</v>
      </c>
      <c r="H280" s="203"/>
      <c r="I280" s="201">
        <f t="shared" si="77"/>
        <v>334.87</v>
      </c>
      <c r="J280" s="202">
        <f>151.5</f>
        <v>151.5</v>
      </c>
      <c r="K280" s="7"/>
      <c r="L280" s="201">
        <f t="shared" si="78"/>
        <v>486.37</v>
      </c>
      <c r="M280" s="29"/>
      <c r="N280" s="7"/>
      <c r="O280" s="30">
        <f t="shared" si="79"/>
        <v>486.37</v>
      </c>
      <c r="P280" s="85"/>
      <c r="Q280" s="193">
        <f t="shared" si="80"/>
        <v>486.37</v>
      </c>
    </row>
    <row r="281" spans="1:17" ht="12.75">
      <c r="A281" s="51" t="s">
        <v>67</v>
      </c>
      <c r="B281" s="106"/>
      <c r="C281" s="128">
        <f>SUM(C283:C287)</f>
        <v>0</v>
      </c>
      <c r="D281" s="129">
        <f>SUM(D283:D287)</f>
        <v>46000</v>
      </c>
      <c r="E281" s="129">
        <f>SUM(E283:E287)</f>
        <v>0</v>
      </c>
      <c r="F281" s="130">
        <f>SUM(F283:F287)</f>
        <v>46000</v>
      </c>
      <c r="G281" s="212">
        <f aca="true" t="shared" si="81" ref="G281:Q281">SUM(G283:G287)</f>
        <v>0</v>
      </c>
      <c r="H281" s="213">
        <f t="shared" si="81"/>
        <v>0</v>
      </c>
      <c r="I281" s="214">
        <f t="shared" si="81"/>
        <v>46000</v>
      </c>
      <c r="J281" s="212">
        <f t="shared" si="81"/>
        <v>0</v>
      </c>
      <c r="K281" s="129">
        <f t="shared" si="81"/>
        <v>0</v>
      </c>
      <c r="L281" s="214">
        <f t="shared" si="81"/>
        <v>46000</v>
      </c>
      <c r="M281" s="128">
        <f t="shared" si="81"/>
        <v>0</v>
      </c>
      <c r="N281" s="129">
        <f t="shared" si="81"/>
        <v>0</v>
      </c>
      <c r="O281" s="130">
        <f t="shared" si="81"/>
        <v>0</v>
      </c>
      <c r="P281" s="128">
        <f t="shared" si="81"/>
        <v>0</v>
      </c>
      <c r="Q281" s="130">
        <f t="shared" si="81"/>
        <v>0</v>
      </c>
    </row>
    <row r="282" spans="1:17" ht="12.75">
      <c r="A282" s="47" t="s">
        <v>33</v>
      </c>
      <c r="B282" s="102"/>
      <c r="C282" s="121"/>
      <c r="D282" s="119"/>
      <c r="E282" s="119"/>
      <c r="F282" s="120"/>
      <c r="G282" s="202"/>
      <c r="H282" s="203"/>
      <c r="I282" s="201"/>
      <c r="J282" s="202"/>
      <c r="K282" s="7"/>
      <c r="L282" s="201"/>
      <c r="M282" s="29"/>
      <c r="N282" s="7"/>
      <c r="O282" s="30"/>
      <c r="P282" s="85"/>
      <c r="Q282" s="193"/>
    </row>
    <row r="283" spans="1:17" ht="12.75">
      <c r="A283" s="49" t="s">
        <v>68</v>
      </c>
      <c r="B283" s="102"/>
      <c r="C283" s="121"/>
      <c r="D283" s="119"/>
      <c r="E283" s="119"/>
      <c r="F283" s="120">
        <f>C283+D283+E283</f>
        <v>0</v>
      </c>
      <c r="G283" s="202"/>
      <c r="H283" s="203"/>
      <c r="I283" s="201"/>
      <c r="J283" s="202"/>
      <c r="K283" s="7"/>
      <c r="L283" s="201"/>
      <c r="M283" s="29"/>
      <c r="N283" s="7"/>
      <c r="O283" s="30"/>
      <c r="P283" s="85"/>
      <c r="Q283" s="193"/>
    </row>
    <row r="284" spans="1:17" ht="12.75">
      <c r="A284" s="56" t="s">
        <v>316</v>
      </c>
      <c r="B284" s="105"/>
      <c r="C284" s="131"/>
      <c r="D284" s="132">
        <f>46000</f>
        <v>46000</v>
      </c>
      <c r="E284" s="132"/>
      <c r="F284" s="169">
        <f>C284+D284+E284</f>
        <v>46000</v>
      </c>
      <c r="G284" s="215"/>
      <c r="H284" s="216"/>
      <c r="I284" s="217">
        <f>F284+G284+H284</f>
        <v>46000</v>
      </c>
      <c r="J284" s="215"/>
      <c r="K284" s="10"/>
      <c r="L284" s="217">
        <f>I284+J284+K284</f>
        <v>46000</v>
      </c>
      <c r="M284" s="33"/>
      <c r="N284" s="10"/>
      <c r="O284" s="34"/>
      <c r="P284" s="90"/>
      <c r="Q284" s="194"/>
    </row>
    <row r="285" spans="1:17" ht="12.75" hidden="1">
      <c r="A285" s="49" t="s">
        <v>80</v>
      </c>
      <c r="B285" s="102"/>
      <c r="C285" s="121"/>
      <c r="D285" s="119"/>
      <c r="E285" s="119"/>
      <c r="F285" s="120">
        <f>C285+D285+E285</f>
        <v>0</v>
      </c>
      <c r="G285" s="202"/>
      <c r="H285" s="203"/>
      <c r="I285" s="201">
        <f>F285+G285+H285</f>
        <v>0</v>
      </c>
      <c r="J285" s="202"/>
      <c r="K285" s="7"/>
      <c r="L285" s="201">
        <f>I285+J285+K285</f>
        <v>0</v>
      </c>
      <c r="M285" s="29"/>
      <c r="N285" s="7"/>
      <c r="O285" s="30">
        <f>L285+M285+N285</f>
        <v>0</v>
      </c>
      <c r="P285" s="85"/>
      <c r="Q285" s="193">
        <f>O285+P285</f>
        <v>0</v>
      </c>
    </row>
    <row r="286" spans="1:17" ht="12.75" hidden="1">
      <c r="A286" s="56" t="s">
        <v>269</v>
      </c>
      <c r="B286" s="105"/>
      <c r="C286" s="131"/>
      <c r="D286" s="132"/>
      <c r="E286" s="132"/>
      <c r="F286" s="169">
        <f>C286+D286+E286</f>
        <v>0</v>
      </c>
      <c r="G286" s="215"/>
      <c r="H286" s="216"/>
      <c r="I286" s="217">
        <f>F286+G286+H286</f>
        <v>0</v>
      </c>
      <c r="J286" s="215"/>
      <c r="K286" s="10"/>
      <c r="L286" s="217">
        <f>I286+J286+K286</f>
        <v>0</v>
      </c>
      <c r="M286" s="33"/>
      <c r="N286" s="10"/>
      <c r="O286" s="34">
        <f>L286+M286+N286</f>
        <v>0</v>
      </c>
      <c r="P286" s="90"/>
      <c r="Q286" s="194">
        <f>O286+P286</f>
        <v>0</v>
      </c>
    </row>
    <row r="287" spans="1:17" ht="12.75" hidden="1">
      <c r="A287" s="48" t="s">
        <v>91</v>
      </c>
      <c r="B287" s="105"/>
      <c r="C287" s="131"/>
      <c r="D287" s="132"/>
      <c r="E287" s="132"/>
      <c r="F287" s="169">
        <f>C287+D287+E287</f>
        <v>0</v>
      </c>
      <c r="G287" s="215"/>
      <c r="H287" s="216"/>
      <c r="I287" s="217">
        <f>F287+G287+H287</f>
        <v>0</v>
      </c>
      <c r="J287" s="215"/>
      <c r="K287" s="10"/>
      <c r="L287" s="217">
        <f>I287+J287+K287</f>
        <v>0</v>
      </c>
      <c r="M287" s="33"/>
      <c r="N287" s="10"/>
      <c r="O287" s="34">
        <f>L287+M287+N287</f>
        <v>0</v>
      </c>
      <c r="P287" s="90"/>
      <c r="Q287" s="194">
        <f>O287+P287</f>
        <v>0</v>
      </c>
    </row>
    <row r="288" spans="1:17" ht="12.75">
      <c r="A288" s="57" t="s">
        <v>110</v>
      </c>
      <c r="B288" s="107"/>
      <c r="C288" s="122">
        <f aca="true" t="shared" si="82" ref="C288:Q288">C289+C303</f>
        <v>159458.4</v>
      </c>
      <c r="D288" s="123">
        <f t="shared" si="82"/>
        <v>12297.6</v>
      </c>
      <c r="E288" s="123">
        <f t="shared" si="82"/>
        <v>0</v>
      </c>
      <c r="F288" s="124">
        <f t="shared" si="82"/>
        <v>171756</v>
      </c>
      <c r="G288" s="206">
        <f t="shared" si="82"/>
        <v>2329.1</v>
      </c>
      <c r="H288" s="207">
        <f t="shared" si="82"/>
        <v>0</v>
      </c>
      <c r="I288" s="208">
        <f t="shared" si="82"/>
        <v>174085.1</v>
      </c>
      <c r="J288" s="206">
        <f t="shared" si="82"/>
        <v>9225</v>
      </c>
      <c r="K288" s="123">
        <f t="shared" si="82"/>
        <v>0</v>
      </c>
      <c r="L288" s="208">
        <f t="shared" si="82"/>
        <v>183310.1</v>
      </c>
      <c r="M288" s="122">
        <f t="shared" si="82"/>
        <v>0</v>
      </c>
      <c r="N288" s="123">
        <f t="shared" si="82"/>
        <v>0</v>
      </c>
      <c r="O288" s="124">
        <f t="shared" si="82"/>
        <v>182397.1</v>
      </c>
      <c r="P288" s="122">
        <f t="shared" si="82"/>
        <v>0</v>
      </c>
      <c r="Q288" s="124">
        <f t="shared" si="82"/>
        <v>182397.1</v>
      </c>
    </row>
    <row r="289" spans="1:17" ht="12.75">
      <c r="A289" s="51" t="s">
        <v>62</v>
      </c>
      <c r="B289" s="106"/>
      <c r="C289" s="128">
        <f aca="true" t="shared" si="83" ref="C289:Q289">SUM(C291:C302)</f>
        <v>159458.4</v>
      </c>
      <c r="D289" s="129">
        <f t="shared" si="83"/>
        <v>12297.6</v>
      </c>
      <c r="E289" s="129">
        <f t="shared" si="83"/>
        <v>0</v>
      </c>
      <c r="F289" s="130">
        <f t="shared" si="83"/>
        <v>171756</v>
      </c>
      <c r="G289" s="212">
        <f t="shared" si="83"/>
        <v>2329.1</v>
      </c>
      <c r="H289" s="213">
        <f t="shared" si="83"/>
        <v>0</v>
      </c>
      <c r="I289" s="214">
        <f t="shared" si="83"/>
        <v>174085.1</v>
      </c>
      <c r="J289" s="212">
        <f t="shared" si="83"/>
        <v>9225</v>
      </c>
      <c r="K289" s="129">
        <f t="shared" si="83"/>
        <v>0</v>
      </c>
      <c r="L289" s="214">
        <f t="shared" si="83"/>
        <v>183310.1</v>
      </c>
      <c r="M289" s="128">
        <f t="shared" si="83"/>
        <v>0</v>
      </c>
      <c r="N289" s="129">
        <f t="shared" si="83"/>
        <v>0</v>
      </c>
      <c r="O289" s="130">
        <f t="shared" si="83"/>
        <v>182397.1</v>
      </c>
      <c r="P289" s="128">
        <f t="shared" si="83"/>
        <v>0</v>
      </c>
      <c r="Q289" s="130">
        <f t="shared" si="83"/>
        <v>182397.1</v>
      </c>
    </row>
    <row r="290" spans="1:17" ht="12.75">
      <c r="A290" s="47" t="s">
        <v>33</v>
      </c>
      <c r="B290" s="102"/>
      <c r="C290" s="121"/>
      <c r="D290" s="119"/>
      <c r="E290" s="119"/>
      <c r="F290" s="120"/>
      <c r="G290" s="202"/>
      <c r="H290" s="203"/>
      <c r="I290" s="201"/>
      <c r="J290" s="202"/>
      <c r="K290" s="7"/>
      <c r="L290" s="201"/>
      <c r="M290" s="29"/>
      <c r="N290" s="7"/>
      <c r="O290" s="30"/>
      <c r="P290" s="85"/>
      <c r="Q290" s="193"/>
    </row>
    <row r="291" spans="1:17" ht="12.75">
      <c r="A291" s="49" t="s">
        <v>88</v>
      </c>
      <c r="B291" s="102"/>
      <c r="C291" s="121">
        <v>137599.9</v>
      </c>
      <c r="D291" s="119">
        <f>12811+100+206-1082.4+300</f>
        <v>12334.6</v>
      </c>
      <c r="E291" s="119"/>
      <c r="F291" s="120">
        <f aca="true" t="shared" si="84" ref="F291:F302">C291+D291+E291</f>
        <v>149934.5</v>
      </c>
      <c r="G291" s="202">
        <f>35+228.1+35+1400</f>
        <v>1698.1</v>
      </c>
      <c r="H291" s="203"/>
      <c r="I291" s="201">
        <f>F291+G291+H291</f>
        <v>151632.6</v>
      </c>
      <c r="J291" s="202">
        <f>4600+222+120+15+1400</f>
        <v>6357</v>
      </c>
      <c r="K291" s="7"/>
      <c r="L291" s="201">
        <f>I291+J291+K291</f>
        <v>157989.6</v>
      </c>
      <c r="M291" s="29"/>
      <c r="N291" s="7"/>
      <c r="O291" s="30">
        <f>L291+M291+N291</f>
        <v>157989.6</v>
      </c>
      <c r="P291" s="85"/>
      <c r="Q291" s="193">
        <f aca="true" t="shared" si="85" ref="Q291:Q302">O291+P291</f>
        <v>157989.6</v>
      </c>
    </row>
    <row r="292" spans="1:17" ht="12.75">
      <c r="A292" s="49" t="s">
        <v>64</v>
      </c>
      <c r="B292" s="102"/>
      <c r="C292" s="121">
        <v>18564.5</v>
      </c>
      <c r="D292" s="119">
        <f>-4714+185-100+178-300</f>
        <v>-4751</v>
      </c>
      <c r="E292" s="119">
        <v>-900</v>
      </c>
      <c r="F292" s="120">
        <f t="shared" si="84"/>
        <v>12913.5</v>
      </c>
      <c r="G292" s="202">
        <f>-117+77</f>
        <v>-40</v>
      </c>
      <c r="H292" s="203"/>
      <c r="I292" s="201">
        <f aca="true" t="shared" si="86" ref="I292:I302">F292+G292+H292</f>
        <v>12873.5</v>
      </c>
      <c r="J292" s="202">
        <f>147+1346-37</f>
        <v>1456</v>
      </c>
      <c r="K292" s="7"/>
      <c r="L292" s="201">
        <f aca="true" t="shared" si="87" ref="L292:L302">I292+J292+K292</f>
        <v>14329.5</v>
      </c>
      <c r="M292" s="29"/>
      <c r="N292" s="7"/>
      <c r="O292" s="30">
        <f aca="true" t="shared" si="88" ref="O292:O302">L292+M292+N292</f>
        <v>14329.5</v>
      </c>
      <c r="P292" s="85"/>
      <c r="Q292" s="193">
        <f t="shared" si="85"/>
        <v>14329.5</v>
      </c>
    </row>
    <row r="293" spans="1:17" ht="12.75">
      <c r="A293" s="49" t="s">
        <v>153</v>
      </c>
      <c r="B293" s="102"/>
      <c r="C293" s="121">
        <v>3294</v>
      </c>
      <c r="D293" s="119"/>
      <c r="E293" s="119"/>
      <c r="F293" s="120">
        <f t="shared" si="84"/>
        <v>3294</v>
      </c>
      <c r="G293" s="202">
        <f>-77</f>
        <v>-77</v>
      </c>
      <c r="H293" s="203"/>
      <c r="I293" s="201">
        <f t="shared" si="86"/>
        <v>3217</v>
      </c>
      <c r="J293" s="202">
        <f>22</f>
        <v>22</v>
      </c>
      <c r="K293" s="7"/>
      <c r="L293" s="201">
        <f t="shared" si="87"/>
        <v>3239</v>
      </c>
      <c r="M293" s="29"/>
      <c r="N293" s="7"/>
      <c r="O293" s="30">
        <f t="shared" si="88"/>
        <v>3239</v>
      </c>
      <c r="P293" s="85"/>
      <c r="Q293" s="193">
        <f t="shared" si="85"/>
        <v>3239</v>
      </c>
    </row>
    <row r="294" spans="1:17" ht="12.75">
      <c r="A294" s="49" t="s">
        <v>76</v>
      </c>
      <c r="B294" s="102"/>
      <c r="C294" s="121"/>
      <c r="D294" s="119">
        <f>4714</f>
        <v>4714</v>
      </c>
      <c r="E294" s="119">
        <v>900</v>
      </c>
      <c r="F294" s="120">
        <f t="shared" si="84"/>
        <v>5614</v>
      </c>
      <c r="G294" s="202">
        <f>117</f>
        <v>117</v>
      </c>
      <c r="H294" s="203"/>
      <c r="I294" s="201">
        <f t="shared" si="86"/>
        <v>5731</v>
      </c>
      <c r="J294" s="202">
        <f>286</f>
        <v>286</v>
      </c>
      <c r="K294" s="7"/>
      <c r="L294" s="201">
        <f t="shared" si="87"/>
        <v>6017</v>
      </c>
      <c r="M294" s="33"/>
      <c r="N294" s="10"/>
      <c r="O294" s="34">
        <f t="shared" si="88"/>
        <v>6017</v>
      </c>
      <c r="P294" s="90"/>
      <c r="Q294" s="194">
        <f t="shared" si="85"/>
        <v>6017</v>
      </c>
    </row>
    <row r="295" spans="1:17" ht="12.75">
      <c r="A295" s="49" t="s">
        <v>111</v>
      </c>
      <c r="B295" s="102">
        <v>34070</v>
      </c>
      <c r="C295" s="121"/>
      <c r="D295" s="119"/>
      <c r="E295" s="119"/>
      <c r="F295" s="120">
        <f t="shared" si="84"/>
        <v>0</v>
      </c>
      <c r="G295" s="202">
        <f>205</f>
        <v>205</v>
      </c>
      <c r="H295" s="203"/>
      <c r="I295" s="201">
        <f t="shared" si="86"/>
        <v>205</v>
      </c>
      <c r="J295" s="202">
        <f>347</f>
        <v>347</v>
      </c>
      <c r="K295" s="7"/>
      <c r="L295" s="201">
        <f t="shared" si="87"/>
        <v>552</v>
      </c>
      <c r="M295" s="29"/>
      <c r="N295" s="7"/>
      <c r="O295" s="30">
        <f t="shared" si="88"/>
        <v>552</v>
      </c>
      <c r="P295" s="85"/>
      <c r="Q295" s="193">
        <f t="shared" si="85"/>
        <v>552</v>
      </c>
    </row>
    <row r="296" spans="1:17" ht="12.75">
      <c r="A296" s="49" t="s">
        <v>353</v>
      </c>
      <c r="B296" s="102">
        <v>34012</v>
      </c>
      <c r="C296" s="121"/>
      <c r="D296" s="119"/>
      <c r="E296" s="119"/>
      <c r="F296" s="120"/>
      <c r="G296" s="202"/>
      <c r="H296" s="203"/>
      <c r="I296" s="201">
        <f t="shared" si="86"/>
        <v>0</v>
      </c>
      <c r="J296" s="202">
        <f>126</f>
        <v>126</v>
      </c>
      <c r="K296" s="7"/>
      <c r="L296" s="201">
        <f t="shared" si="87"/>
        <v>126</v>
      </c>
      <c r="M296" s="29"/>
      <c r="N296" s="7"/>
      <c r="O296" s="30"/>
      <c r="P296" s="85"/>
      <c r="Q296" s="193"/>
    </row>
    <row r="297" spans="1:17" ht="12.75">
      <c r="A297" s="49" t="s">
        <v>347</v>
      </c>
      <c r="B297" s="102">
        <v>34013</v>
      </c>
      <c r="C297" s="121"/>
      <c r="D297" s="119"/>
      <c r="E297" s="119"/>
      <c r="F297" s="120"/>
      <c r="G297" s="202"/>
      <c r="H297" s="203"/>
      <c r="I297" s="201">
        <f t="shared" si="86"/>
        <v>0</v>
      </c>
      <c r="J297" s="202">
        <f>77+28+69</f>
        <v>174</v>
      </c>
      <c r="K297" s="7"/>
      <c r="L297" s="201">
        <f t="shared" si="87"/>
        <v>174</v>
      </c>
      <c r="M297" s="29"/>
      <c r="N297" s="7"/>
      <c r="O297" s="30"/>
      <c r="P297" s="85"/>
      <c r="Q297" s="193"/>
    </row>
    <row r="298" spans="1:17" ht="12.75">
      <c r="A298" s="49" t="s">
        <v>346</v>
      </c>
      <c r="B298" s="102">
        <v>34017</v>
      </c>
      <c r="C298" s="121"/>
      <c r="D298" s="119"/>
      <c r="E298" s="119"/>
      <c r="F298" s="120"/>
      <c r="G298" s="202"/>
      <c r="H298" s="203"/>
      <c r="I298" s="201">
        <f t="shared" si="86"/>
        <v>0</v>
      </c>
      <c r="J298" s="202">
        <f>80+75+120</f>
        <v>275</v>
      </c>
      <c r="K298" s="7"/>
      <c r="L298" s="201">
        <f t="shared" si="87"/>
        <v>275</v>
      </c>
      <c r="M298" s="29"/>
      <c r="N298" s="7"/>
      <c r="O298" s="30"/>
      <c r="P298" s="85"/>
      <c r="Q298" s="193"/>
    </row>
    <row r="299" spans="1:17" ht="12.75">
      <c r="A299" s="49" t="s">
        <v>348</v>
      </c>
      <c r="B299" s="102">
        <v>34021</v>
      </c>
      <c r="C299" s="121"/>
      <c r="D299" s="119"/>
      <c r="E299" s="119"/>
      <c r="F299" s="120"/>
      <c r="G299" s="202"/>
      <c r="H299" s="203"/>
      <c r="I299" s="201">
        <f t="shared" si="86"/>
        <v>0</v>
      </c>
      <c r="J299" s="202">
        <f>130</f>
        <v>130</v>
      </c>
      <c r="K299" s="7"/>
      <c r="L299" s="201">
        <f t="shared" si="87"/>
        <v>130</v>
      </c>
      <c r="M299" s="29"/>
      <c r="N299" s="7"/>
      <c r="O299" s="30"/>
      <c r="P299" s="85"/>
      <c r="Q299" s="193"/>
    </row>
    <row r="300" spans="1:17" ht="12.75">
      <c r="A300" s="49" t="s">
        <v>112</v>
      </c>
      <c r="B300" s="102">
        <v>34053</v>
      </c>
      <c r="C300" s="121"/>
      <c r="D300" s="119"/>
      <c r="E300" s="132"/>
      <c r="F300" s="120">
        <f t="shared" si="84"/>
        <v>0</v>
      </c>
      <c r="G300" s="202">
        <f>270</f>
        <v>270</v>
      </c>
      <c r="H300" s="203"/>
      <c r="I300" s="201">
        <f t="shared" si="86"/>
        <v>270</v>
      </c>
      <c r="J300" s="202"/>
      <c r="K300" s="7"/>
      <c r="L300" s="201">
        <f>I300+J300+K300</f>
        <v>270</v>
      </c>
      <c r="M300" s="29"/>
      <c r="N300" s="7"/>
      <c r="O300" s="30">
        <f t="shared" si="88"/>
        <v>270</v>
      </c>
      <c r="P300" s="85"/>
      <c r="Q300" s="193">
        <f t="shared" si="85"/>
        <v>270</v>
      </c>
    </row>
    <row r="301" spans="1:17" ht="12.75">
      <c r="A301" s="56" t="s">
        <v>333</v>
      </c>
      <c r="B301" s="105">
        <v>34019</v>
      </c>
      <c r="C301" s="131"/>
      <c r="D301" s="132"/>
      <c r="E301" s="132"/>
      <c r="F301" s="169">
        <f t="shared" si="84"/>
        <v>0</v>
      </c>
      <c r="G301" s="215">
        <f>156</f>
        <v>156</v>
      </c>
      <c r="H301" s="216"/>
      <c r="I301" s="217">
        <f t="shared" si="86"/>
        <v>156</v>
      </c>
      <c r="J301" s="215">
        <f>52</f>
        <v>52</v>
      </c>
      <c r="K301" s="10"/>
      <c r="L301" s="217">
        <f>I301+J301+K301</f>
        <v>208</v>
      </c>
      <c r="M301" s="29"/>
      <c r="N301" s="7"/>
      <c r="O301" s="30"/>
      <c r="P301" s="85"/>
      <c r="Q301" s="193"/>
    </row>
    <row r="302" spans="1:17" ht="12.75" hidden="1">
      <c r="A302" s="49" t="s">
        <v>91</v>
      </c>
      <c r="B302" s="102"/>
      <c r="C302" s="121"/>
      <c r="D302" s="119"/>
      <c r="E302" s="119"/>
      <c r="F302" s="120">
        <f t="shared" si="84"/>
        <v>0</v>
      </c>
      <c r="G302" s="202"/>
      <c r="H302" s="203"/>
      <c r="I302" s="201">
        <f t="shared" si="86"/>
        <v>0</v>
      </c>
      <c r="J302" s="202"/>
      <c r="K302" s="7"/>
      <c r="L302" s="201">
        <f t="shared" si="87"/>
        <v>0</v>
      </c>
      <c r="M302" s="29"/>
      <c r="N302" s="7"/>
      <c r="O302" s="30">
        <f t="shared" si="88"/>
        <v>0</v>
      </c>
      <c r="P302" s="85"/>
      <c r="Q302" s="193">
        <f t="shared" si="85"/>
        <v>0</v>
      </c>
    </row>
    <row r="303" spans="1:17" ht="12.75" hidden="1">
      <c r="A303" s="51" t="s">
        <v>67</v>
      </c>
      <c r="B303" s="106"/>
      <c r="C303" s="128">
        <f>SUM(C305:C308)</f>
        <v>0</v>
      </c>
      <c r="D303" s="129">
        <f>SUM(D305:D308)</f>
        <v>0</v>
      </c>
      <c r="E303" s="129"/>
      <c r="F303" s="130">
        <f>SUM(F305:F308)</f>
        <v>0</v>
      </c>
      <c r="G303" s="212"/>
      <c r="H303" s="213"/>
      <c r="I303" s="214">
        <f>SUM(I305:I308)</f>
        <v>0</v>
      </c>
      <c r="J303" s="212"/>
      <c r="K303" s="11"/>
      <c r="L303" s="214">
        <f>SUM(L305:L308)</f>
        <v>0</v>
      </c>
      <c r="M303" s="35"/>
      <c r="N303" s="11"/>
      <c r="O303" s="36">
        <f>SUM(O305:O308)</f>
        <v>0</v>
      </c>
      <c r="P303" s="87"/>
      <c r="Q303" s="36">
        <f>SUM(Q305:Q308)</f>
        <v>0</v>
      </c>
    </row>
    <row r="304" spans="1:17" ht="12.75" hidden="1">
      <c r="A304" s="47" t="s">
        <v>33</v>
      </c>
      <c r="B304" s="102"/>
      <c r="C304" s="121"/>
      <c r="D304" s="119"/>
      <c r="E304" s="119"/>
      <c r="F304" s="120"/>
      <c r="G304" s="202"/>
      <c r="H304" s="203"/>
      <c r="I304" s="201"/>
      <c r="J304" s="202"/>
      <c r="K304" s="7"/>
      <c r="L304" s="201"/>
      <c r="M304" s="29"/>
      <c r="N304" s="7"/>
      <c r="O304" s="30"/>
      <c r="P304" s="85"/>
      <c r="Q304" s="193"/>
    </row>
    <row r="305" spans="1:17" ht="12.75" hidden="1">
      <c r="A305" s="49" t="s">
        <v>112</v>
      </c>
      <c r="B305" s="102">
        <v>34544</v>
      </c>
      <c r="C305" s="121"/>
      <c r="D305" s="119"/>
      <c r="E305" s="119"/>
      <c r="F305" s="120">
        <f>C305+D305+E305</f>
        <v>0</v>
      </c>
      <c r="G305" s="202"/>
      <c r="H305" s="203"/>
      <c r="I305" s="201"/>
      <c r="J305" s="202"/>
      <c r="K305" s="7"/>
      <c r="L305" s="201">
        <f>I305+J305+K305</f>
        <v>0</v>
      </c>
      <c r="M305" s="29"/>
      <c r="N305" s="7"/>
      <c r="O305" s="30">
        <f>L305+M305+N305</f>
        <v>0</v>
      </c>
      <c r="P305" s="85"/>
      <c r="Q305" s="193">
        <f>O305+P305</f>
        <v>0</v>
      </c>
    </row>
    <row r="306" spans="1:17" ht="12.75" hidden="1">
      <c r="A306" s="81" t="s">
        <v>80</v>
      </c>
      <c r="B306" s="102"/>
      <c r="C306" s="121"/>
      <c r="D306" s="119"/>
      <c r="E306" s="119"/>
      <c r="F306" s="120">
        <f>C306+D306+E306</f>
        <v>0</v>
      </c>
      <c r="G306" s="202"/>
      <c r="H306" s="203"/>
      <c r="I306" s="201">
        <f>F306+G306+H306</f>
        <v>0</v>
      </c>
      <c r="J306" s="202"/>
      <c r="K306" s="7"/>
      <c r="L306" s="201">
        <f>I306+J306+K306</f>
        <v>0</v>
      </c>
      <c r="M306" s="29"/>
      <c r="N306" s="7"/>
      <c r="O306" s="30">
        <f>L306+M306+N306</f>
        <v>0</v>
      </c>
      <c r="P306" s="85"/>
      <c r="Q306" s="193">
        <f>O306+P306</f>
        <v>0</v>
      </c>
    </row>
    <row r="307" spans="1:17" ht="12.75" hidden="1">
      <c r="A307" s="81" t="s">
        <v>68</v>
      </c>
      <c r="B307" s="102"/>
      <c r="C307" s="121"/>
      <c r="D307" s="119"/>
      <c r="E307" s="119"/>
      <c r="F307" s="120">
        <f>C307+D307+E307</f>
        <v>0</v>
      </c>
      <c r="G307" s="202"/>
      <c r="H307" s="203"/>
      <c r="I307" s="201"/>
      <c r="J307" s="202"/>
      <c r="K307" s="7"/>
      <c r="L307" s="201">
        <f>I307+J307+K307</f>
        <v>0</v>
      </c>
      <c r="M307" s="29"/>
      <c r="N307" s="7"/>
      <c r="O307" s="30">
        <f>L307+M307+N307</f>
        <v>0</v>
      </c>
      <c r="P307" s="85"/>
      <c r="Q307" s="193">
        <f>O307+P307</f>
        <v>0</v>
      </c>
    </row>
    <row r="308" spans="1:17" ht="13.5" hidden="1" thickBot="1">
      <c r="A308" s="176" t="s">
        <v>91</v>
      </c>
      <c r="B308" s="172"/>
      <c r="C308" s="173"/>
      <c r="D308" s="174"/>
      <c r="E308" s="174"/>
      <c r="F308" s="175">
        <f>C308+D308+E308</f>
        <v>0</v>
      </c>
      <c r="G308" s="215"/>
      <c r="H308" s="216"/>
      <c r="I308" s="217">
        <f>F308+G308+H308</f>
        <v>0</v>
      </c>
      <c r="J308" s="215"/>
      <c r="K308" s="10"/>
      <c r="L308" s="217">
        <f>I308+J308+K308</f>
        <v>0</v>
      </c>
      <c r="M308" s="82"/>
      <c r="N308" s="10"/>
      <c r="O308" s="34">
        <f>L308+M308+N308</f>
        <v>0</v>
      </c>
      <c r="P308" s="90"/>
      <c r="Q308" s="194">
        <f>O308+P308</f>
        <v>0</v>
      </c>
    </row>
    <row r="309" spans="1:17" ht="12.75">
      <c r="A309" s="57" t="s">
        <v>198</v>
      </c>
      <c r="B309" s="107"/>
      <c r="C309" s="116">
        <f>C310+C334</f>
        <v>389067</v>
      </c>
      <c r="D309" s="117">
        <f>D310+D334</f>
        <v>1009118.1599999999</v>
      </c>
      <c r="E309" s="117">
        <f>E310+E334</f>
        <v>0</v>
      </c>
      <c r="F309" s="118">
        <f>F310+F334</f>
        <v>1398185.1600000001</v>
      </c>
      <c r="G309" s="198">
        <f aca="true" t="shared" si="89" ref="G309:Q309">G310+G334</f>
        <v>549710.7000000001</v>
      </c>
      <c r="H309" s="199">
        <f t="shared" si="89"/>
        <v>0</v>
      </c>
      <c r="I309" s="200">
        <f t="shared" si="89"/>
        <v>1947895.86</v>
      </c>
      <c r="J309" s="198">
        <f t="shared" si="89"/>
        <v>189285.57</v>
      </c>
      <c r="K309" s="117">
        <f t="shared" si="89"/>
        <v>0</v>
      </c>
      <c r="L309" s="200">
        <f t="shared" si="89"/>
        <v>2137181.43</v>
      </c>
      <c r="M309" s="116">
        <f t="shared" si="89"/>
        <v>0</v>
      </c>
      <c r="N309" s="117">
        <f t="shared" si="89"/>
        <v>0</v>
      </c>
      <c r="O309" s="118">
        <f t="shared" si="89"/>
        <v>0</v>
      </c>
      <c r="P309" s="116">
        <f t="shared" si="89"/>
        <v>0</v>
      </c>
      <c r="Q309" s="118">
        <f t="shared" si="89"/>
        <v>0</v>
      </c>
    </row>
    <row r="310" spans="1:17" ht="12.75">
      <c r="A310" s="51" t="s">
        <v>62</v>
      </c>
      <c r="B310" s="106"/>
      <c r="C310" s="128">
        <f>SUM(C312:C322)</f>
        <v>58906</v>
      </c>
      <c r="D310" s="129">
        <f>SUM(D312:D322)</f>
        <v>80514.7</v>
      </c>
      <c r="E310" s="129">
        <f>SUM(E312:E322)</f>
        <v>0</v>
      </c>
      <c r="F310" s="130">
        <f>SUM(F312:F322)</f>
        <v>139420.7</v>
      </c>
      <c r="G310" s="212">
        <f aca="true" t="shared" si="90" ref="G310:Q310">SUM(G312:G322)</f>
        <v>-22959</v>
      </c>
      <c r="H310" s="213">
        <f t="shared" si="90"/>
        <v>0</v>
      </c>
      <c r="I310" s="214">
        <f t="shared" si="90"/>
        <v>116461.7</v>
      </c>
      <c r="J310" s="212">
        <f t="shared" si="90"/>
        <v>-650</v>
      </c>
      <c r="K310" s="129">
        <f t="shared" si="90"/>
        <v>0</v>
      </c>
      <c r="L310" s="214">
        <f t="shared" si="90"/>
        <v>115811.7</v>
      </c>
      <c r="M310" s="128">
        <f t="shared" si="90"/>
        <v>0</v>
      </c>
      <c r="N310" s="129">
        <f t="shared" si="90"/>
        <v>0</v>
      </c>
      <c r="O310" s="130">
        <f t="shared" si="90"/>
        <v>0</v>
      </c>
      <c r="P310" s="128">
        <f t="shared" si="90"/>
        <v>0</v>
      </c>
      <c r="Q310" s="130">
        <f t="shared" si="90"/>
        <v>0</v>
      </c>
    </row>
    <row r="311" spans="1:17" ht="12.75">
      <c r="A311" s="47" t="s">
        <v>33</v>
      </c>
      <c r="B311" s="102"/>
      <c r="C311" s="128"/>
      <c r="D311" s="159"/>
      <c r="E311" s="159"/>
      <c r="F311" s="130"/>
      <c r="G311" s="202"/>
      <c r="H311" s="203"/>
      <c r="I311" s="201"/>
      <c r="J311" s="202"/>
      <c r="K311" s="7"/>
      <c r="L311" s="201"/>
      <c r="M311" s="40"/>
      <c r="N311" s="7"/>
      <c r="O311" s="30"/>
      <c r="P311" s="85"/>
      <c r="Q311" s="193"/>
    </row>
    <row r="312" spans="1:17" ht="12.75">
      <c r="A312" s="49" t="s">
        <v>64</v>
      </c>
      <c r="B312" s="102"/>
      <c r="C312" s="121">
        <v>1582</v>
      </c>
      <c r="D312" s="136"/>
      <c r="E312" s="136"/>
      <c r="F312" s="120">
        <f aca="true" t="shared" si="91" ref="F312:F333">C312+D312+E312</f>
        <v>1582</v>
      </c>
      <c r="G312" s="202"/>
      <c r="H312" s="203"/>
      <c r="I312" s="201">
        <f>F312+G312+H312</f>
        <v>1582</v>
      </c>
      <c r="J312" s="202"/>
      <c r="K312" s="7"/>
      <c r="L312" s="201">
        <f aca="true" t="shared" si="92" ref="L312:L332">I312+J312+K312</f>
        <v>1582</v>
      </c>
      <c r="M312" s="40"/>
      <c r="N312" s="7"/>
      <c r="O312" s="30"/>
      <c r="P312" s="85"/>
      <c r="Q312" s="193"/>
    </row>
    <row r="313" spans="1:17" ht="12.75">
      <c r="A313" s="49" t="s">
        <v>209</v>
      </c>
      <c r="B313" s="102"/>
      <c r="C313" s="121"/>
      <c r="D313" s="136">
        <f>2721.15</f>
        <v>2721.15</v>
      </c>
      <c r="E313" s="136"/>
      <c r="F313" s="120">
        <f t="shared" si="91"/>
        <v>2721.15</v>
      </c>
      <c r="G313" s="202"/>
      <c r="H313" s="203"/>
      <c r="I313" s="201">
        <f aca="true" t="shared" si="93" ref="I313:I332">F313+G313+H313</f>
        <v>2721.15</v>
      </c>
      <c r="J313" s="202"/>
      <c r="K313" s="7"/>
      <c r="L313" s="201">
        <f t="shared" si="92"/>
        <v>2721.15</v>
      </c>
      <c r="M313" s="40"/>
      <c r="N313" s="7"/>
      <c r="O313" s="30"/>
      <c r="P313" s="85"/>
      <c r="Q313" s="193"/>
    </row>
    <row r="314" spans="1:17" ht="12.75">
      <c r="A314" s="49" t="s">
        <v>210</v>
      </c>
      <c r="B314" s="102"/>
      <c r="C314" s="121">
        <v>3090</v>
      </c>
      <c r="D314" s="136">
        <f>1114.3</f>
        <v>1114.3</v>
      </c>
      <c r="E314" s="136"/>
      <c r="F314" s="120">
        <f t="shared" si="91"/>
        <v>4204.3</v>
      </c>
      <c r="G314" s="202"/>
      <c r="H314" s="203"/>
      <c r="I314" s="201">
        <f t="shared" si="93"/>
        <v>4204.3</v>
      </c>
      <c r="J314" s="202"/>
      <c r="K314" s="7"/>
      <c r="L314" s="201">
        <f t="shared" si="92"/>
        <v>4204.3</v>
      </c>
      <c r="M314" s="40"/>
      <c r="N314" s="7"/>
      <c r="O314" s="30"/>
      <c r="P314" s="85"/>
      <c r="Q314" s="193"/>
    </row>
    <row r="315" spans="1:17" ht="12.75">
      <c r="A315" s="103" t="s">
        <v>94</v>
      </c>
      <c r="B315" s="102"/>
      <c r="C315" s="121">
        <v>600</v>
      </c>
      <c r="D315" s="136"/>
      <c r="E315" s="136"/>
      <c r="F315" s="120">
        <f t="shared" si="91"/>
        <v>600</v>
      </c>
      <c r="G315" s="202"/>
      <c r="H315" s="203"/>
      <c r="I315" s="201">
        <f t="shared" si="93"/>
        <v>600</v>
      </c>
      <c r="J315" s="202"/>
      <c r="K315" s="7"/>
      <c r="L315" s="201">
        <f t="shared" si="92"/>
        <v>600</v>
      </c>
      <c r="M315" s="40"/>
      <c r="N315" s="7"/>
      <c r="O315" s="30"/>
      <c r="P315" s="85"/>
      <c r="Q315" s="193"/>
    </row>
    <row r="316" spans="1:17" ht="12.75">
      <c r="A316" s="45" t="s">
        <v>221</v>
      </c>
      <c r="B316" s="102"/>
      <c r="C316" s="121">
        <v>6400</v>
      </c>
      <c r="D316" s="136"/>
      <c r="E316" s="136"/>
      <c r="F316" s="120">
        <f t="shared" si="91"/>
        <v>6400</v>
      </c>
      <c r="G316" s="202"/>
      <c r="H316" s="203"/>
      <c r="I316" s="201">
        <f t="shared" si="93"/>
        <v>6400</v>
      </c>
      <c r="J316" s="202"/>
      <c r="K316" s="7"/>
      <c r="L316" s="201">
        <f t="shared" si="92"/>
        <v>6400</v>
      </c>
      <c r="M316" s="40"/>
      <c r="N316" s="7"/>
      <c r="O316" s="30"/>
      <c r="P316" s="85"/>
      <c r="Q316" s="193"/>
    </row>
    <row r="317" spans="1:17" ht="12.75">
      <c r="A317" s="49" t="s">
        <v>222</v>
      </c>
      <c r="B317" s="102"/>
      <c r="C317" s="121">
        <v>3500</v>
      </c>
      <c r="D317" s="136"/>
      <c r="E317" s="136"/>
      <c r="F317" s="120">
        <f t="shared" si="91"/>
        <v>3500</v>
      </c>
      <c r="G317" s="202"/>
      <c r="H317" s="203"/>
      <c r="I317" s="201">
        <f t="shared" si="93"/>
        <v>3500</v>
      </c>
      <c r="J317" s="202"/>
      <c r="K317" s="7"/>
      <c r="L317" s="201">
        <f t="shared" si="92"/>
        <v>3500</v>
      </c>
      <c r="M317" s="40"/>
      <c r="N317" s="7"/>
      <c r="O317" s="30"/>
      <c r="P317" s="85"/>
      <c r="Q317" s="193"/>
    </row>
    <row r="318" spans="1:17" ht="12.75" hidden="1">
      <c r="A318" s="49" t="s">
        <v>296</v>
      </c>
      <c r="B318" s="102"/>
      <c r="C318" s="121"/>
      <c r="D318" s="136"/>
      <c r="E318" s="136"/>
      <c r="F318" s="120">
        <f t="shared" si="91"/>
        <v>0</v>
      </c>
      <c r="G318" s="202"/>
      <c r="H318" s="203"/>
      <c r="I318" s="201">
        <f t="shared" si="93"/>
        <v>0</v>
      </c>
      <c r="J318" s="202"/>
      <c r="K318" s="7"/>
      <c r="L318" s="201">
        <f t="shared" si="92"/>
        <v>0</v>
      </c>
      <c r="M318" s="40"/>
      <c r="N318" s="7"/>
      <c r="O318" s="30"/>
      <c r="P318" s="85"/>
      <c r="Q318" s="193"/>
    </row>
    <row r="319" spans="1:17" ht="12.75">
      <c r="A319" s="49" t="s">
        <v>300</v>
      </c>
      <c r="B319" s="102"/>
      <c r="C319" s="121"/>
      <c r="D319" s="136">
        <f>482.7</f>
        <v>482.7</v>
      </c>
      <c r="E319" s="136"/>
      <c r="F319" s="120">
        <f t="shared" si="91"/>
        <v>482.7</v>
      </c>
      <c r="G319" s="202"/>
      <c r="H319" s="203"/>
      <c r="I319" s="201">
        <f t="shared" si="93"/>
        <v>482.7</v>
      </c>
      <c r="J319" s="202"/>
      <c r="K319" s="7"/>
      <c r="L319" s="201">
        <f t="shared" si="92"/>
        <v>482.7</v>
      </c>
      <c r="M319" s="40"/>
      <c r="N319" s="7"/>
      <c r="O319" s="30"/>
      <c r="P319" s="85"/>
      <c r="Q319" s="193"/>
    </row>
    <row r="320" spans="1:17" ht="12.75">
      <c r="A320" s="45" t="s">
        <v>246</v>
      </c>
      <c r="B320" s="180">
        <v>212163</v>
      </c>
      <c r="C320" s="121"/>
      <c r="D320" s="136">
        <f>2165.82</f>
        <v>2165.82</v>
      </c>
      <c r="E320" s="136"/>
      <c r="F320" s="120">
        <f t="shared" si="91"/>
        <v>2165.82</v>
      </c>
      <c r="G320" s="202"/>
      <c r="H320" s="203"/>
      <c r="I320" s="201">
        <f t="shared" si="93"/>
        <v>2165.82</v>
      </c>
      <c r="J320" s="202"/>
      <c r="K320" s="7"/>
      <c r="L320" s="201">
        <f t="shared" si="92"/>
        <v>2165.82</v>
      </c>
      <c r="M320" s="40"/>
      <c r="N320" s="7"/>
      <c r="O320" s="30"/>
      <c r="P320" s="85"/>
      <c r="Q320" s="193"/>
    </row>
    <row r="321" spans="1:17" ht="12.75">
      <c r="A321" s="49" t="s">
        <v>202</v>
      </c>
      <c r="B321" s="180">
        <v>212162</v>
      </c>
      <c r="C321" s="121"/>
      <c r="D321" s="136">
        <f>658.97</f>
        <v>658.97</v>
      </c>
      <c r="E321" s="136"/>
      <c r="F321" s="120">
        <f t="shared" si="91"/>
        <v>658.97</v>
      </c>
      <c r="G321" s="202"/>
      <c r="H321" s="203"/>
      <c r="I321" s="201">
        <f t="shared" si="93"/>
        <v>658.97</v>
      </c>
      <c r="J321" s="202"/>
      <c r="K321" s="7"/>
      <c r="L321" s="201">
        <f t="shared" si="92"/>
        <v>658.97</v>
      </c>
      <c r="M321" s="40"/>
      <c r="N321" s="7"/>
      <c r="O321" s="30"/>
      <c r="P321" s="85"/>
      <c r="Q321" s="193"/>
    </row>
    <row r="322" spans="1:17" ht="12.75">
      <c r="A322" s="45" t="s">
        <v>91</v>
      </c>
      <c r="B322" s="102"/>
      <c r="C322" s="137">
        <f aca="true" t="shared" si="94" ref="C322:Q322">SUM(C323:C333)</f>
        <v>43734</v>
      </c>
      <c r="D322" s="136">
        <f t="shared" si="94"/>
        <v>73371.76</v>
      </c>
      <c r="E322" s="136">
        <f t="shared" si="94"/>
        <v>0</v>
      </c>
      <c r="F322" s="189">
        <f t="shared" si="94"/>
        <v>117105.76</v>
      </c>
      <c r="G322" s="222">
        <f t="shared" si="94"/>
        <v>-22959</v>
      </c>
      <c r="H322" s="223">
        <f t="shared" si="94"/>
        <v>0</v>
      </c>
      <c r="I322" s="224">
        <f t="shared" si="94"/>
        <v>94146.76</v>
      </c>
      <c r="J322" s="222">
        <f t="shared" si="94"/>
        <v>-650</v>
      </c>
      <c r="K322" s="136">
        <f t="shared" si="94"/>
        <v>0</v>
      </c>
      <c r="L322" s="224">
        <f t="shared" si="94"/>
        <v>93496.76</v>
      </c>
      <c r="M322" s="137">
        <f t="shared" si="94"/>
        <v>0</v>
      </c>
      <c r="N322" s="136">
        <f t="shared" si="94"/>
        <v>0</v>
      </c>
      <c r="O322" s="189">
        <f t="shared" si="94"/>
        <v>0</v>
      </c>
      <c r="P322" s="137">
        <f t="shared" si="94"/>
        <v>0</v>
      </c>
      <c r="Q322" s="189">
        <f t="shared" si="94"/>
        <v>0</v>
      </c>
    </row>
    <row r="323" spans="1:17" ht="12.75">
      <c r="A323" s="45" t="s">
        <v>278</v>
      </c>
      <c r="B323" s="102"/>
      <c r="C323" s="137">
        <v>35450</v>
      </c>
      <c r="D323" s="136">
        <f>12447.5+4465.69</f>
        <v>16913.19</v>
      </c>
      <c r="E323" s="119"/>
      <c r="F323" s="120">
        <f t="shared" si="91"/>
        <v>52363.19</v>
      </c>
      <c r="G323" s="202">
        <f>1972</f>
        <v>1972</v>
      </c>
      <c r="H323" s="203"/>
      <c r="I323" s="201">
        <f t="shared" si="93"/>
        <v>54335.19</v>
      </c>
      <c r="J323" s="202"/>
      <c r="K323" s="7"/>
      <c r="L323" s="201">
        <f t="shared" si="92"/>
        <v>54335.19</v>
      </c>
      <c r="M323" s="40"/>
      <c r="N323" s="7"/>
      <c r="O323" s="30"/>
      <c r="P323" s="85"/>
      <c r="Q323" s="193"/>
    </row>
    <row r="324" spans="1:17" ht="12.75">
      <c r="A324" s="45" t="s">
        <v>220</v>
      </c>
      <c r="B324" s="102"/>
      <c r="C324" s="137"/>
      <c r="D324" s="136">
        <f>10502.38+7976.61</f>
        <v>18478.989999999998</v>
      </c>
      <c r="E324" s="119"/>
      <c r="F324" s="120">
        <f t="shared" si="91"/>
        <v>18478.989999999998</v>
      </c>
      <c r="G324" s="202"/>
      <c r="H324" s="203"/>
      <c r="I324" s="201">
        <f t="shared" si="93"/>
        <v>18478.989999999998</v>
      </c>
      <c r="J324" s="202"/>
      <c r="K324" s="7"/>
      <c r="L324" s="201">
        <f t="shared" si="92"/>
        <v>18478.989999999998</v>
      </c>
      <c r="M324" s="40"/>
      <c r="N324" s="7"/>
      <c r="O324" s="30"/>
      <c r="P324" s="85"/>
      <c r="Q324" s="193"/>
    </row>
    <row r="325" spans="1:17" ht="12.75" hidden="1">
      <c r="A325" s="45" t="s">
        <v>263</v>
      </c>
      <c r="B325" s="102"/>
      <c r="C325" s="137"/>
      <c r="D325" s="160"/>
      <c r="E325" s="119"/>
      <c r="F325" s="120">
        <f t="shared" si="91"/>
        <v>0</v>
      </c>
      <c r="G325" s="202"/>
      <c r="H325" s="203"/>
      <c r="I325" s="201">
        <f t="shared" si="93"/>
        <v>0</v>
      </c>
      <c r="J325" s="202"/>
      <c r="K325" s="7"/>
      <c r="L325" s="201">
        <f t="shared" si="92"/>
        <v>0</v>
      </c>
      <c r="M325" s="40"/>
      <c r="N325" s="7"/>
      <c r="O325" s="30"/>
      <c r="P325" s="85"/>
      <c r="Q325" s="193"/>
    </row>
    <row r="326" spans="1:17" ht="12.75" hidden="1">
      <c r="A326" s="45" t="s">
        <v>257</v>
      </c>
      <c r="B326" s="102"/>
      <c r="C326" s="137"/>
      <c r="D326" s="136"/>
      <c r="E326" s="119"/>
      <c r="F326" s="120">
        <f t="shared" si="91"/>
        <v>0</v>
      </c>
      <c r="G326" s="202"/>
      <c r="H326" s="203"/>
      <c r="I326" s="201">
        <f t="shared" si="93"/>
        <v>0</v>
      </c>
      <c r="J326" s="202"/>
      <c r="K326" s="7"/>
      <c r="L326" s="201">
        <f t="shared" si="92"/>
        <v>0</v>
      </c>
      <c r="M326" s="40"/>
      <c r="N326" s="7"/>
      <c r="O326" s="30"/>
      <c r="P326" s="85"/>
      <c r="Q326" s="193"/>
    </row>
    <row r="327" spans="1:17" ht="12.75">
      <c r="A327" s="45" t="s">
        <v>297</v>
      </c>
      <c r="B327" s="102"/>
      <c r="C327" s="137"/>
      <c r="D327" s="136">
        <f>40745.16</f>
        <v>40745.16</v>
      </c>
      <c r="E327" s="119"/>
      <c r="F327" s="120">
        <f t="shared" si="91"/>
        <v>40745.16</v>
      </c>
      <c r="G327" s="202">
        <f>-30000</f>
        <v>-30000</v>
      </c>
      <c r="H327" s="203"/>
      <c r="I327" s="201">
        <f t="shared" si="93"/>
        <v>10745.160000000003</v>
      </c>
      <c r="J327" s="202"/>
      <c r="K327" s="7"/>
      <c r="L327" s="201">
        <f t="shared" si="92"/>
        <v>10745.160000000003</v>
      </c>
      <c r="M327" s="40"/>
      <c r="N327" s="7"/>
      <c r="O327" s="30"/>
      <c r="P327" s="85"/>
      <c r="Q327" s="193"/>
    </row>
    <row r="328" spans="1:17" ht="12.75">
      <c r="A328" s="45" t="s">
        <v>219</v>
      </c>
      <c r="B328" s="102"/>
      <c r="C328" s="137"/>
      <c r="D328" s="136">
        <f>340.4+6.33</f>
        <v>346.72999999999996</v>
      </c>
      <c r="E328" s="119"/>
      <c r="F328" s="120">
        <f t="shared" si="91"/>
        <v>346.72999999999996</v>
      </c>
      <c r="G328" s="202"/>
      <c r="H328" s="203"/>
      <c r="I328" s="201">
        <f t="shared" si="93"/>
        <v>346.72999999999996</v>
      </c>
      <c r="J328" s="202"/>
      <c r="K328" s="7"/>
      <c r="L328" s="201">
        <f t="shared" si="92"/>
        <v>346.72999999999996</v>
      </c>
      <c r="M328" s="40"/>
      <c r="N328" s="7"/>
      <c r="O328" s="30"/>
      <c r="P328" s="85"/>
      <c r="Q328" s="193"/>
    </row>
    <row r="329" spans="1:17" ht="12.75">
      <c r="A329" s="45" t="s">
        <v>223</v>
      </c>
      <c r="B329" s="102"/>
      <c r="C329" s="137"/>
      <c r="D329" s="136">
        <f>2617.13</f>
        <v>2617.13</v>
      </c>
      <c r="E329" s="119"/>
      <c r="F329" s="120">
        <f t="shared" si="91"/>
        <v>2617.13</v>
      </c>
      <c r="G329" s="202"/>
      <c r="H329" s="203"/>
      <c r="I329" s="201">
        <f t="shared" si="93"/>
        <v>2617.13</v>
      </c>
      <c r="J329" s="202"/>
      <c r="K329" s="7"/>
      <c r="L329" s="201">
        <f t="shared" si="92"/>
        <v>2617.13</v>
      </c>
      <c r="M329" s="40"/>
      <c r="N329" s="7"/>
      <c r="O329" s="30"/>
      <c r="P329" s="85"/>
      <c r="Q329" s="193"/>
    </row>
    <row r="330" spans="1:17" ht="12.75" hidden="1">
      <c r="A330" s="45" t="s">
        <v>228</v>
      </c>
      <c r="B330" s="102"/>
      <c r="C330" s="137"/>
      <c r="D330" s="136"/>
      <c r="E330" s="119"/>
      <c r="F330" s="120">
        <f t="shared" si="91"/>
        <v>0</v>
      </c>
      <c r="G330" s="202"/>
      <c r="H330" s="203"/>
      <c r="I330" s="201">
        <f t="shared" si="93"/>
        <v>0</v>
      </c>
      <c r="J330" s="202"/>
      <c r="K330" s="7"/>
      <c r="L330" s="201">
        <f t="shared" si="92"/>
        <v>0</v>
      </c>
      <c r="M330" s="40"/>
      <c r="N330" s="7"/>
      <c r="O330" s="30"/>
      <c r="P330" s="85"/>
      <c r="Q330" s="193"/>
    </row>
    <row r="331" spans="1:17" ht="12.75">
      <c r="A331" s="45" t="s">
        <v>226</v>
      </c>
      <c r="B331" s="102"/>
      <c r="C331" s="137">
        <v>6163</v>
      </c>
      <c r="D331" s="136">
        <f>-5794+214.56</f>
        <v>-5579.44</v>
      </c>
      <c r="E331" s="119"/>
      <c r="F331" s="120">
        <f t="shared" si="91"/>
        <v>583.5600000000004</v>
      </c>
      <c r="G331" s="202">
        <f>5069</f>
        <v>5069</v>
      </c>
      <c r="H331" s="203"/>
      <c r="I331" s="201">
        <f t="shared" si="93"/>
        <v>5652.56</v>
      </c>
      <c r="J331" s="202"/>
      <c r="K331" s="7"/>
      <c r="L331" s="201">
        <f t="shared" si="92"/>
        <v>5652.56</v>
      </c>
      <c r="M331" s="40"/>
      <c r="N331" s="7"/>
      <c r="O331" s="30"/>
      <c r="P331" s="85"/>
      <c r="Q331" s="193"/>
    </row>
    <row r="332" spans="1:17" ht="12.75">
      <c r="A332" s="45" t="s">
        <v>264</v>
      </c>
      <c r="B332" s="102"/>
      <c r="C332" s="137">
        <v>2121</v>
      </c>
      <c r="D332" s="136">
        <f>-250+1595-850-300-345</f>
        <v>-150</v>
      </c>
      <c r="E332" s="119"/>
      <c r="F332" s="120">
        <f t="shared" si="91"/>
        <v>1971</v>
      </c>
      <c r="G332" s="202"/>
      <c r="H332" s="203"/>
      <c r="I332" s="201">
        <f t="shared" si="93"/>
        <v>1971</v>
      </c>
      <c r="J332" s="202">
        <f>-155-265-230</f>
        <v>-650</v>
      </c>
      <c r="K332" s="7"/>
      <c r="L332" s="201">
        <f t="shared" si="92"/>
        <v>1321</v>
      </c>
      <c r="M332" s="40"/>
      <c r="N332" s="7"/>
      <c r="O332" s="30"/>
      <c r="P332" s="85"/>
      <c r="Q332" s="193"/>
    </row>
    <row r="333" spans="1:17" ht="12.75" hidden="1">
      <c r="A333" s="45" t="s">
        <v>322</v>
      </c>
      <c r="B333" s="102"/>
      <c r="C333" s="137"/>
      <c r="D333" s="160"/>
      <c r="E333" s="119"/>
      <c r="F333" s="120">
        <f t="shared" si="91"/>
        <v>0</v>
      </c>
      <c r="G333" s="202"/>
      <c r="H333" s="203"/>
      <c r="I333" s="201"/>
      <c r="J333" s="202"/>
      <c r="K333" s="7"/>
      <c r="L333" s="201"/>
      <c r="M333" s="40"/>
      <c r="N333" s="7"/>
      <c r="O333" s="30"/>
      <c r="P333" s="85"/>
      <c r="Q333" s="193"/>
    </row>
    <row r="334" spans="1:17" ht="12.75">
      <c r="A334" s="51" t="s">
        <v>67</v>
      </c>
      <c r="B334" s="106"/>
      <c r="C334" s="128">
        <f>SUM(C336:C351)</f>
        <v>330161</v>
      </c>
      <c r="D334" s="129">
        <f>SUM(D336:D351)</f>
        <v>928603.46</v>
      </c>
      <c r="E334" s="129">
        <f>SUM(E336:E351)</f>
        <v>0</v>
      </c>
      <c r="F334" s="130">
        <f>SUM(F336:F351)</f>
        <v>1258764.4600000002</v>
      </c>
      <c r="G334" s="212">
        <f aca="true" t="shared" si="95" ref="G334:Q334">SUM(G336:G351)</f>
        <v>572669.7000000001</v>
      </c>
      <c r="H334" s="213">
        <f t="shared" si="95"/>
        <v>0</v>
      </c>
      <c r="I334" s="214">
        <f t="shared" si="95"/>
        <v>1831434.1600000001</v>
      </c>
      <c r="J334" s="212">
        <f t="shared" si="95"/>
        <v>189935.57</v>
      </c>
      <c r="K334" s="129">
        <f t="shared" si="95"/>
        <v>0</v>
      </c>
      <c r="L334" s="214">
        <f t="shared" si="95"/>
        <v>2021369.7300000002</v>
      </c>
      <c r="M334" s="128">
        <f t="shared" si="95"/>
        <v>0</v>
      </c>
      <c r="N334" s="129">
        <f t="shared" si="95"/>
        <v>0</v>
      </c>
      <c r="O334" s="130">
        <f t="shared" si="95"/>
        <v>0</v>
      </c>
      <c r="P334" s="128">
        <f t="shared" si="95"/>
        <v>0</v>
      </c>
      <c r="Q334" s="130">
        <f t="shared" si="95"/>
        <v>0</v>
      </c>
    </row>
    <row r="335" spans="1:17" ht="12.75">
      <c r="A335" s="49" t="s">
        <v>33</v>
      </c>
      <c r="B335" s="102"/>
      <c r="C335" s="121"/>
      <c r="D335" s="119"/>
      <c r="E335" s="119"/>
      <c r="F335" s="120"/>
      <c r="G335" s="202"/>
      <c r="H335" s="203"/>
      <c r="I335" s="201"/>
      <c r="J335" s="202"/>
      <c r="K335" s="7"/>
      <c r="L335" s="201"/>
      <c r="M335" s="40"/>
      <c r="N335" s="7"/>
      <c r="O335" s="30"/>
      <c r="P335" s="85"/>
      <c r="Q335" s="193"/>
    </row>
    <row r="336" spans="1:17" ht="12.75" hidden="1">
      <c r="A336" s="49" t="s">
        <v>211</v>
      </c>
      <c r="B336" s="102"/>
      <c r="C336" s="121"/>
      <c r="D336" s="119"/>
      <c r="E336" s="119"/>
      <c r="F336" s="120">
        <f aca="true" t="shared" si="96" ref="F336:F363">C336+D336+E336</f>
        <v>0</v>
      </c>
      <c r="G336" s="202"/>
      <c r="H336" s="203"/>
      <c r="I336" s="201"/>
      <c r="J336" s="202"/>
      <c r="K336" s="7"/>
      <c r="L336" s="201"/>
      <c r="M336" s="40"/>
      <c r="N336" s="7"/>
      <c r="O336" s="30"/>
      <c r="P336" s="85"/>
      <c r="Q336" s="193"/>
    </row>
    <row r="337" spans="1:17" ht="12.75">
      <c r="A337" s="49" t="s">
        <v>210</v>
      </c>
      <c r="B337" s="102"/>
      <c r="C337" s="121">
        <v>5136</v>
      </c>
      <c r="D337" s="119">
        <f>992.88</f>
        <v>992.88</v>
      </c>
      <c r="E337" s="119"/>
      <c r="F337" s="120">
        <f t="shared" si="96"/>
        <v>6128.88</v>
      </c>
      <c r="G337" s="202"/>
      <c r="H337" s="203"/>
      <c r="I337" s="201">
        <f aca="true" t="shared" si="97" ref="I337:I350">F337+G337+H337</f>
        <v>6128.88</v>
      </c>
      <c r="J337" s="202">
        <f>1136.24</f>
        <v>1136.24</v>
      </c>
      <c r="K337" s="7"/>
      <c r="L337" s="201">
        <f aca="true" t="shared" si="98" ref="L337:L350">I337+J337+K337</f>
        <v>7265.12</v>
      </c>
      <c r="M337" s="40"/>
      <c r="N337" s="7"/>
      <c r="O337" s="30"/>
      <c r="P337" s="85"/>
      <c r="Q337" s="193"/>
    </row>
    <row r="338" spans="1:17" ht="12.75">
      <c r="A338" s="49" t="s">
        <v>201</v>
      </c>
      <c r="B338" s="102"/>
      <c r="C338" s="121">
        <v>13580</v>
      </c>
      <c r="D338" s="119">
        <f>600</f>
        <v>600</v>
      </c>
      <c r="E338" s="119"/>
      <c r="F338" s="120">
        <f t="shared" si="96"/>
        <v>14180</v>
      </c>
      <c r="G338" s="202"/>
      <c r="H338" s="203"/>
      <c r="I338" s="201">
        <f t="shared" si="97"/>
        <v>14180</v>
      </c>
      <c r="J338" s="202">
        <f>12546.42+13000</f>
        <v>25546.42</v>
      </c>
      <c r="K338" s="7"/>
      <c r="L338" s="201">
        <f t="shared" si="98"/>
        <v>39726.42</v>
      </c>
      <c r="M338" s="40"/>
      <c r="N338" s="7"/>
      <c r="O338" s="30"/>
      <c r="P338" s="85"/>
      <c r="Q338" s="193"/>
    </row>
    <row r="339" spans="1:17" ht="12.75" hidden="1">
      <c r="A339" s="49" t="s">
        <v>296</v>
      </c>
      <c r="B339" s="102">
        <v>3000</v>
      </c>
      <c r="C339" s="121"/>
      <c r="D339" s="136"/>
      <c r="E339" s="136"/>
      <c r="F339" s="120">
        <f t="shared" si="96"/>
        <v>0</v>
      </c>
      <c r="G339" s="202"/>
      <c r="H339" s="203"/>
      <c r="I339" s="201">
        <f t="shared" si="97"/>
        <v>0</v>
      </c>
      <c r="J339" s="202"/>
      <c r="K339" s="7"/>
      <c r="L339" s="201">
        <f t="shared" si="98"/>
        <v>0</v>
      </c>
      <c r="M339" s="40"/>
      <c r="N339" s="7"/>
      <c r="O339" s="30"/>
      <c r="P339" s="85"/>
      <c r="Q339" s="193"/>
    </row>
    <row r="340" spans="1:17" ht="12.75">
      <c r="A340" s="49" t="s">
        <v>276</v>
      </c>
      <c r="B340" s="102"/>
      <c r="C340" s="121"/>
      <c r="D340" s="136">
        <f>600+500</f>
        <v>1100</v>
      </c>
      <c r="E340" s="136"/>
      <c r="F340" s="120">
        <f t="shared" si="96"/>
        <v>1100</v>
      </c>
      <c r="G340" s="202"/>
      <c r="H340" s="203"/>
      <c r="I340" s="201">
        <f t="shared" si="97"/>
        <v>1100</v>
      </c>
      <c r="J340" s="202"/>
      <c r="K340" s="7"/>
      <c r="L340" s="201">
        <f t="shared" si="98"/>
        <v>1100</v>
      </c>
      <c r="M340" s="40"/>
      <c r="N340" s="7"/>
      <c r="O340" s="30"/>
      <c r="P340" s="85"/>
      <c r="Q340" s="193"/>
    </row>
    <row r="341" spans="1:17" ht="12.75">
      <c r="A341" s="178" t="s">
        <v>300</v>
      </c>
      <c r="B341" s="102"/>
      <c r="C341" s="121">
        <v>50000</v>
      </c>
      <c r="D341" s="160">
        <f>120936.33-46000</f>
        <v>74936.33</v>
      </c>
      <c r="E341" s="160"/>
      <c r="F341" s="120">
        <f t="shared" si="96"/>
        <v>124936.33</v>
      </c>
      <c r="G341" s="202">
        <f>100000</f>
        <v>100000</v>
      </c>
      <c r="H341" s="203"/>
      <c r="I341" s="201">
        <f t="shared" si="97"/>
        <v>224936.33000000002</v>
      </c>
      <c r="J341" s="202"/>
      <c r="K341" s="7"/>
      <c r="L341" s="201">
        <f t="shared" si="98"/>
        <v>224936.33000000002</v>
      </c>
      <c r="M341" s="40"/>
      <c r="N341" s="7"/>
      <c r="O341" s="30"/>
      <c r="P341" s="85"/>
      <c r="Q341" s="193"/>
    </row>
    <row r="342" spans="1:17" ht="12.75" hidden="1">
      <c r="A342" s="49" t="s">
        <v>280</v>
      </c>
      <c r="B342" s="180">
        <v>212161</v>
      </c>
      <c r="C342" s="121"/>
      <c r="D342" s="136"/>
      <c r="E342" s="136"/>
      <c r="F342" s="120">
        <f t="shared" si="96"/>
        <v>0</v>
      </c>
      <c r="G342" s="202"/>
      <c r="H342" s="203"/>
      <c r="I342" s="201">
        <f t="shared" si="97"/>
        <v>0</v>
      </c>
      <c r="J342" s="202"/>
      <c r="K342" s="7"/>
      <c r="L342" s="201">
        <f t="shared" si="98"/>
        <v>0</v>
      </c>
      <c r="M342" s="40"/>
      <c r="N342" s="7"/>
      <c r="O342" s="30"/>
      <c r="P342" s="85"/>
      <c r="Q342" s="193"/>
    </row>
    <row r="343" spans="1:17" ht="12.75">
      <c r="A343" s="45" t="s">
        <v>279</v>
      </c>
      <c r="B343" s="180">
        <v>212163</v>
      </c>
      <c r="C343" s="121">
        <v>59070</v>
      </c>
      <c r="D343" s="136">
        <f>33451.08+8000</f>
        <v>41451.08</v>
      </c>
      <c r="E343" s="136"/>
      <c r="F343" s="120">
        <f t="shared" si="96"/>
        <v>100521.08</v>
      </c>
      <c r="G343" s="202"/>
      <c r="H343" s="203"/>
      <c r="I343" s="201">
        <f t="shared" si="97"/>
        <v>100521.08</v>
      </c>
      <c r="J343" s="202"/>
      <c r="K343" s="7"/>
      <c r="L343" s="201">
        <f t="shared" si="98"/>
        <v>100521.08</v>
      </c>
      <c r="M343" s="40"/>
      <c r="N343" s="7"/>
      <c r="O343" s="30"/>
      <c r="P343" s="85"/>
      <c r="Q343" s="193"/>
    </row>
    <row r="344" spans="1:17" ht="12.75">
      <c r="A344" s="49" t="s">
        <v>311</v>
      </c>
      <c r="B344" s="180">
        <v>97573</v>
      </c>
      <c r="C344" s="121"/>
      <c r="D344" s="136">
        <v>1698.56</v>
      </c>
      <c r="E344" s="136"/>
      <c r="F344" s="120">
        <f t="shared" si="96"/>
        <v>1698.56</v>
      </c>
      <c r="G344" s="202">
        <f>57957.64</f>
        <v>57957.64</v>
      </c>
      <c r="H344" s="203"/>
      <c r="I344" s="201">
        <f t="shared" si="97"/>
        <v>59656.2</v>
      </c>
      <c r="J344" s="202"/>
      <c r="K344" s="7"/>
      <c r="L344" s="201">
        <f t="shared" si="98"/>
        <v>59656.2</v>
      </c>
      <c r="M344" s="40"/>
      <c r="N344" s="7"/>
      <c r="O344" s="30"/>
      <c r="P344" s="85"/>
      <c r="Q344" s="193"/>
    </row>
    <row r="345" spans="1:17" ht="12.75">
      <c r="A345" s="49" t="s">
        <v>202</v>
      </c>
      <c r="B345" s="180">
        <v>212162</v>
      </c>
      <c r="C345" s="121">
        <v>30000</v>
      </c>
      <c r="D345" s="136">
        <f>71857.18+590.5</f>
        <v>72447.68</v>
      </c>
      <c r="E345" s="136"/>
      <c r="F345" s="120">
        <f t="shared" si="96"/>
        <v>102447.68</v>
      </c>
      <c r="G345" s="202"/>
      <c r="H345" s="203"/>
      <c r="I345" s="201">
        <f t="shared" si="97"/>
        <v>102447.68</v>
      </c>
      <c r="J345" s="202"/>
      <c r="K345" s="7"/>
      <c r="L345" s="201">
        <f t="shared" si="98"/>
        <v>102447.68</v>
      </c>
      <c r="M345" s="40"/>
      <c r="N345" s="7"/>
      <c r="O345" s="30"/>
      <c r="P345" s="85"/>
      <c r="Q345" s="193"/>
    </row>
    <row r="346" spans="1:17" ht="12.75">
      <c r="A346" s="49" t="s">
        <v>344</v>
      </c>
      <c r="B346" s="180">
        <v>22777</v>
      </c>
      <c r="C346" s="121"/>
      <c r="D346" s="136"/>
      <c r="E346" s="136"/>
      <c r="F346" s="120"/>
      <c r="G346" s="202"/>
      <c r="H346" s="203"/>
      <c r="I346" s="201">
        <f t="shared" si="97"/>
        <v>0</v>
      </c>
      <c r="J346" s="202">
        <f>232.99+850.58+48389.17</f>
        <v>49472.74</v>
      </c>
      <c r="K346" s="7"/>
      <c r="L346" s="201">
        <f t="shared" si="98"/>
        <v>49472.74</v>
      </c>
      <c r="M346" s="40"/>
      <c r="N346" s="7"/>
      <c r="O346" s="30"/>
      <c r="P346" s="85"/>
      <c r="Q346" s="193"/>
    </row>
    <row r="347" spans="1:17" ht="12.75">
      <c r="A347" s="67" t="s">
        <v>332</v>
      </c>
      <c r="B347" s="180"/>
      <c r="C347" s="121"/>
      <c r="D347" s="136"/>
      <c r="E347" s="136"/>
      <c r="F347" s="120">
        <f t="shared" si="96"/>
        <v>0</v>
      </c>
      <c r="G347" s="202">
        <f>185316</f>
        <v>185316</v>
      </c>
      <c r="H347" s="203"/>
      <c r="I347" s="201">
        <f t="shared" si="97"/>
        <v>185316</v>
      </c>
      <c r="J347" s="202"/>
      <c r="K347" s="7"/>
      <c r="L347" s="201">
        <f t="shared" si="98"/>
        <v>185316</v>
      </c>
      <c r="M347" s="40"/>
      <c r="N347" s="7"/>
      <c r="O347" s="30"/>
      <c r="P347" s="85"/>
      <c r="Q347" s="193"/>
    </row>
    <row r="348" spans="1:17" ht="12.75">
      <c r="A348" s="67" t="s">
        <v>339</v>
      </c>
      <c r="B348" s="180"/>
      <c r="C348" s="121"/>
      <c r="D348" s="136">
        <f>52007</f>
        <v>52007</v>
      </c>
      <c r="E348" s="136"/>
      <c r="F348" s="120">
        <f t="shared" si="96"/>
        <v>52007</v>
      </c>
      <c r="G348" s="202"/>
      <c r="H348" s="203"/>
      <c r="I348" s="201">
        <f t="shared" si="97"/>
        <v>52007</v>
      </c>
      <c r="J348" s="202"/>
      <c r="K348" s="7"/>
      <c r="L348" s="201">
        <f t="shared" si="98"/>
        <v>52007</v>
      </c>
      <c r="M348" s="40"/>
      <c r="N348" s="7"/>
      <c r="O348" s="30"/>
      <c r="P348" s="85"/>
      <c r="Q348" s="193"/>
    </row>
    <row r="349" spans="1:17" ht="12.75">
      <c r="A349" s="67" t="s">
        <v>354</v>
      </c>
      <c r="B349" s="180"/>
      <c r="C349" s="121"/>
      <c r="D349" s="136"/>
      <c r="E349" s="136"/>
      <c r="F349" s="120"/>
      <c r="G349" s="202"/>
      <c r="H349" s="203"/>
      <c r="I349" s="201">
        <f t="shared" si="97"/>
        <v>0</v>
      </c>
      <c r="J349" s="202">
        <f>2325</f>
        <v>2325</v>
      </c>
      <c r="K349" s="7"/>
      <c r="L349" s="201">
        <f t="shared" si="98"/>
        <v>2325</v>
      </c>
      <c r="M349" s="40"/>
      <c r="N349" s="7"/>
      <c r="O349" s="30"/>
      <c r="P349" s="85"/>
      <c r="Q349" s="193"/>
    </row>
    <row r="350" spans="1:17" ht="12.75" hidden="1">
      <c r="A350" s="49" t="s">
        <v>252</v>
      </c>
      <c r="B350" s="102"/>
      <c r="C350" s="121"/>
      <c r="D350" s="136"/>
      <c r="E350" s="136"/>
      <c r="F350" s="120">
        <f t="shared" si="96"/>
        <v>0</v>
      </c>
      <c r="G350" s="202"/>
      <c r="H350" s="203"/>
      <c r="I350" s="201">
        <f t="shared" si="97"/>
        <v>0</v>
      </c>
      <c r="J350" s="202"/>
      <c r="K350" s="7"/>
      <c r="L350" s="201">
        <f t="shared" si="98"/>
        <v>0</v>
      </c>
      <c r="M350" s="40"/>
      <c r="N350" s="7"/>
      <c r="O350" s="30"/>
      <c r="P350" s="85"/>
      <c r="Q350" s="193"/>
    </row>
    <row r="351" spans="1:17" ht="12.75">
      <c r="A351" s="49" t="s">
        <v>203</v>
      </c>
      <c r="B351" s="102"/>
      <c r="C351" s="121">
        <f>SUM(C352:C363)</f>
        <v>172375</v>
      </c>
      <c r="D351" s="119">
        <f>SUM(D352:D363)</f>
        <v>683369.9299999999</v>
      </c>
      <c r="E351" s="119">
        <f>SUM(E352:E363)</f>
        <v>0</v>
      </c>
      <c r="F351" s="120">
        <f>SUM(F352:F363)</f>
        <v>855744.9300000002</v>
      </c>
      <c r="G351" s="202">
        <f aca="true" t="shared" si="99" ref="G351:Q351">SUM(G352:G363)</f>
        <v>229396.06000000003</v>
      </c>
      <c r="H351" s="203">
        <f t="shared" si="99"/>
        <v>0</v>
      </c>
      <c r="I351" s="201">
        <f>SUM(I352:I363)</f>
        <v>1085140.99</v>
      </c>
      <c r="J351" s="202">
        <f t="shared" si="99"/>
        <v>111455.17000000001</v>
      </c>
      <c r="K351" s="119">
        <f t="shared" si="99"/>
        <v>0</v>
      </c>
      <c r="L351" s="201">
        <f>SUM(L352:L363)</f>
        <v>1196596.1600000001</v>
      </c>
      <c r="M351" s="121">
        <f t="shared" si="99"/>
        <v>0</v>
      </c>
      <c r="N351" s="119">
        <f t="shared" si="99"/>
        <v>0</v>
      </c>
      <c r="O351" s="120">
        <f t="shared" si="99"/>
        <v>0</v>
      </c>
      <c r="P351" s="121">
        <f t="shared" si="99"/>
        <v>0</v>
      </c>
      <c r="Q351" s="120">
        <f t="shared" si="99"/>
        <v>0</v>
      </c>
    </row>
    <row r="352" spans="1:17" ht="12.75">
      <c r="A352" s="49" t="s">
        <v>204</v>
      </c>
      <c r="B352" s="102"/>
      <c r="C352" s="121">
        <v>26000</v>
      </c>
      <c r="D352" s="136">
        <f>28036.77</f>
        <v>28036.77</v>
      </c>
      <c r="E352" s="119"/>
      <c r="F352" s="120">
        <f t="shared" si="96"/>
        <v>54036.770000000004</v>
      </c>
      <c r="G352" s="202">
        <f>100000+5160.95</f>
        <v>105160.95</v>
      </c>
      <c r="H352" s="203"/>
      <c r="I352" s="201">
        <f aca="true" t="shared" si="100" ref="I352:I363">F352+G352+H352</f>
        <v>159197.72</v>
      </c>
      <c r="J352" s="202">
        <f>1172.39+1000</f>
        <v>2172.3900000000003</v>
      </c>
      <c r="K352" s="7"/>
      <c r="L352" s="201">
        <f aca="true" t="shared" si="101" ref="L352:L363">I352+J352+K352</f>
        <v>161370.11000000002</v>
      </c>
      <c r="M352" s="40"/>
      <c r="N352" s="7"/>
      <c r="O352" s="30"/>
      <c r="P352" s="85"/>
      <c r="Q352" s="193"/>
    </row>
    <row r="353" spans="1:17" ht="12.75">
      <c r="A353" s="49" t="s">
        <v>229</v>
      </c>
      <c r="B353" s="102"/>
      <c r="C353" s="121">
        <v>1000</v>
      </c>
      <c r="D353" s="136"/>
      <c r="E353" s="119"/>
      <c r="F353" s="120">
        <f t="shared" si="96"/>
        <v>1000</v>
      </c>
      <c r="G353" s="202"/>
      <c r="H353" s="203"/>
      <c r="I353" s="201">
        <f t="shared" si="100"/>
        <v>1000</v>
      </c>
      <c r="J353" s="202"/>
      <c r="K353" s="7"/>
      <c r="L353" s="201">
        <f t="shared" si="101"/>
        <v>1000</v>
      </c>
      <c r="M353" s="40"/>
      <c r="N353" s="7"/>
      <c r="O353" s="30"/>
      <c r="P353" s="85"/>
      <c r="Q353" s="193"/>
    </row>
    <row r="354" spans="1:17" ht="12.75">
      <c r="A354" s="49" t="s">
        <v>212</v>
      </c>
      <c r="B354" s="102"/>
      <c r="C354" s="121">
        <v>3450</v>
      </c>
      <c r="D354" s="136">
        <f>3471.7</f>
        <v>3471.7</v>
      </c>
      <c r="E354" s="119"/>
      <c r="F354" s="120">
        <f t="shared" si="96"/>
        <v>6921.7</v>
      </c>
      <c r="G354" s="202"/>
      <c r="H354" s="203"/>
      <c r="I354" s="201">
        <f t="shared" si="100"/>
        <v>6921.7</v>
      </c>
      <c r="J354" s="202"/>
      <c r="K354" s="7"/>
      <c r="L354" s="201">
        <f t="shared" si="101"/>
        <v>6921.7</v>
      </c>
      <c r="M354" s="40"/>
      <c r="N354" s="7"/>
      <c r="O354" s="30"/>
      <c r="P354" s="85"/>
      <c r="Q354" s="193"/>
    </row>
    <row r="355" spans="1:17" ht="12.75" hidden="1">
      <c r="A355" s="49" t="s">
        <v>245</v>
      </c>
      <c r="B355" s="102"/>
      <c r="C355" s="121"/>
      <c r="D355" s="136"/>
      <c r="E355" s="119"/>
      <c r="F355" s="120">
        <f t="shared" si="96"/>
        <v>0</v>
      </c>
      <c r="G355" s="202"/>
      <c r="H355" s="203"/>
      <c r="I355" s="201">
        <f t="shared" si="100"/>
        <v>0</v>
      </c>
      <c r="J355" s="202"/>
      <c r="K355" s="7"/>
      <c r="L355" s="201">
        <f t="shared" si="101"/>
        <v>0</v>
      </c>
      <c r="M355" s="40"/>
      <c r="N355" s="7"/>
      <c r="O355" s="30"/>
      <c r="P355" s="85"/>
      <c r="Q355" s="193"/>
    </row>
    <row r="356" spans="1:17" ht="12.75">
      <c r="A356" s="49" t="s">
        <v>205</v>
      </c>
      <c r="B356" s="102"/>
      <c r="C356" s="121">
        <v>65000</v>
      </c>
      <c r="D356" s="136">
        <f>855.97+170593.23+1053.69</f>
        <v>172502.89</v>
      </c>
      <c r="E356" s="119"/>
      <c r="F356" s="120">
        <f t="shared" si="96"/>
        <v>237502.89</v>
      </c>
      <c r="G356" s="202">
        <f>9198.75-1053.69+30000</f>
        <v>38145.06</v>
      </c>
      <c r="H356" s="203"/>
      <c r="I356" s="201">
        <f t="shared" si="100"/>
        <v>275647.95</v>
      </c>
      <c r="J356" s="202">
        <f>118335.38</f>
        <v>118335.38</v>
      </c>
      <c r="K356" s="7"/>
      <c r="L356" s="201">
        <f t="shared" si="101"/>
        <v>393983.33</v>
      </c>
      <c r="M356" s="40"/>
      <c r="N356" s="7"/>
      <c r="O356" s="30"/>
      <c r="P356" s="85"/>
      <c r="Q356" s="193"/>
    </row>
    <row r="357" spans="1:17" ht="12.75">
      <c r="A357" s="49" t="s">
        <v>206</v>
      </c>
      <c r="B357" s="102"/>
      <c r="C357" s="121">
        <v>35000</v>
      </c>
      <c r="D357" s="136">
        <f>2486.19+276.24+45.98+118.58+1093.83+334.39+4755.38+18.15-340.4-20000+400+508.56</f>
        <v>-10303.1</v>
      </c>
      <c r="E357" s="119"/>
      <c r="F357" s="120">
        <f t="shared" si="96"/>
        <v>24696.9</v>
      </c>
      <c r="G357" s="202">
        <f>294.03+1663.99-276.24</f>
        <v>1681.78</v>
      </c>
      <c r="H357" s="203"/>
      <c r="I357" s="201">
        <f t="shared" si="100"/>
        <v>26378.68</v>
      </c>
      <c r="J357" s="202">
        <f>1003.56+2474.7+854.87</f>
        <v>4333.13</v>
      </c>
      <c r="K357" s="7"/>
      <c r="L357" s="201">
        <f t="shared" si="101"/>
        <v>30711.81</v>
      </c>
      <c r="M357" s="40"/>
      <c r="N357" s="7"/>
      <c r="O357" s="30"/>
      <c r="P357" s="85"/>
      <c r="Q357" s="193"/>
    </row>
    <row r="358" spans="1:17" ht="12.75">
      <c r="A358" s="49" t="s">
        <v>213</v>
      </c>
      <c r="B358" s="102"/>
      <c r="C358" s="121">
        <v>8000</v>
      </c>
      <c r="D358" s="136">
        <f>11617.4+2000</f>
        <v>13617.4</v>
      </c>
      <c r="E358" s="119"/>
      <c r="F358" s="120">
        <f t="shared" si="96"/>
        <v>21617.4</v>
      </c>
      <c r="G358" s="202">
        <f>3000</f>
        <v>3000</v>
      </c>
      <c r="H358" s="203"/>
      <c r="I358" s="201">
        <f t="shared" si="100"/>
        <v>24617.4</v>
      </c>
      <c r="J358" s="202">
        <f>2200</f>
        <v>2200</v>
      </c>
      <c r="K358" s="7"/>
      <c r="L358" s="201">
        <f t="shared" si="101"/>
        <v>26817.4</v>
      </c>
      <c r="M358" s="40"/>
      <c r="N358" s="7"/>
      <c r="O358" s="30"/>
      <c r="P358" s="85"/>
      <c r="Q358" s="193"/>
    </row>
    <row r="359" spans="1:17" ht="12.75">
      <c r="A359" s="49" t="s">
        <v>227</v>
      </c>
      <c r="B359" s="102"/>
      <c r="C359" s="121">
        <v>26000</v>
      </c>
      <c r="D359" s="136">
        <f>16373.79+2736.03</f>
        <v>19109.82</v>
      </c>
      <c r="E359" s="119">
        <v>140</v>
      </c>
      <c r="F359" s="120">
        <f t="shared" si="96"/>
        <v>45249.82</v>
      </c>
      <c r="G359" s="202">
        <f>-4000</f>
        <v>-4000</v>
      </c>
      <c r="H359" s="203"/>
      <c r="I359" s="201">
        <f t="shared" si="100"/>
        <v>41249.82</v>
      </c>
      <c r="J359" s="202">
        <f>370.05+10+937.87</f>
        <v>1317.92</v>
      </c>
      <c r="K359" s="7"/>
      <c r="L359" s="201">
        <f t="shared" si="101"/>
        <v>42567.74</v>
      </c>
      <c r="M359" s="40"/>
      <c r="N359" s="7"/>
      <c r="O359" s="30"/>
      <c r="P359" s="85"/>
      <c r="Q359" s="193"/>
    </row>
    <row r="360" spans="1:17" ht="12.75">
      <c r="A360" s="49" t="s">
        <v>207</v>
      </c>
      <c r="B360" s="102"/>
      <c r="C360" s="121">
        <v>5925</v>
      </c>
      <c r="D360" s="119">
        <f>58284+10000+200</f>
        <v>68484</v>
      </c>
      <c r="E360" s="119"/>
      <c r="F360" s="120">
        <f t="shared" si="96"/>
        <v>74409</v>
      </c>
      <c r="G360" s="202">
        <f>6931+4000</f>
        <v>10931</v>
      </c>
      <c r="H360" s="203"/>
      <c r="I360" s="201">
        <f t="shared" si="100"/>
        <v>85340</v>
      </c>
      <c r="J360" s="202">
        <f>1794.63</f>
        <v>1794.63</v>
      </c>
      <c r="K360" s="7"/>
      <c r="L360" s="201">
        <f t="shared" si="101"/>
        <v>87134.63</v>
      </c>
      <c r="M360" s="40"/>
      <c r="N360" s="7"/>
      <c r="O360" s="30"/>
      <c r="P360" s="85"/>
      <c r="Q360" s="193"/>
    </row>
    <row r="361" spans="1:17" ht="12.75">
      <c r="A361" s="49" t="s">
        <v>306</v>
      </c>
      <c r="B361" s="102">
        <v>2088</v>
      </c>
      <c r="C361" s="121"/>
      <c r="D361" s="119">
        <f>6918.64+11340.81+7316.8+77036.9+5994.23+6188.99</f>
        <v>114796.37</v>
      </c>
      <c r="E361" s="119"/>
      <c r="F361" s="120">
        <f t="shared" si="96"/>
        <v>114796.37</v>
      </c>
      <c r="G361" s="202">
        <f>4759.19+4414.57+9320.91+17006.27+8370.9-9198.75+14982.04</f>
        <v>49655.130000000005</v>
      </c>
      <c r="H361" s="203"/>
      <c r="I361" s="201">
        <f t="shared" si="100"/>
        <v>164451.5</v>
      </c>
      <c r="J361" s="202">
        <f>15548.49-118335.38+19898.24+29539.05</f>
        <v>-53349.59999999999</v>
      </c>
      <c r="K361" s="7"/>
      <c r="L361" s="201">
        <f t="shared" si="101"/>
        <v>111101.90000000001</v>
      </c>
      <c r="M361" s="40"/>
      <c r="N361" s="7"/>
      <c r="O361" s="30"/>
      <c r="P361" s="85"/>
      <c r="Q361" s="193"/>
    </row>
    <row r="362" spans="1:17" ht="12.75">
      <c r="A362" s="49" t="s">
        <v>307</v>
      </c>
      <c r="B362" s="102">
        <v>2077</v>
      </c>
      <c r="C362" s="121">
        <v>2000</v>
      </c>
      <c r="D362" s="119">
        <f>-276.24-45.98+2540+8+41.13-18.15+20000+69819.04+349.73-400-180.5</f>
        <v>91837.02999999998</v>
      </c>
      <c r="E362" s="119">
        <v>-140</v>
      </c>
      <c r="F362" s="120">
        <f t="shared" si="96"/>
        <v>93697.02999999998</v>
      </c>
      <c r="G362" s="202">
        <f>60.5+276.24+5000+445.05</f>
        <v>5781.79</v>
      </c>
      <c r="H362" s="203"/>
      <c r="I362" s="201">
        <f t="shared" si="100"/>
        <v>99478.81999999998</v>
      </c>
      <c r="J362" s="202">
        <f>-222.03-602.14+5+41788.2-1484.82-10-605.51</f>
        <v>38868.7</v>
      </c>
      <c r="K362" s="7"/>
      <c r="L362" s="201">
        <f t="shared" si="101"/>
        <v>138347.51999999996</v>
      </c>
      <c r="M362" s="40"/>
      <c r="N362" s="7"/>
      <c r="O362" s="30"/>
      <c r="P362" s="85"/>
      <c r="Q362" s="193"/>
    </row>
    <row r="363" spans="1:17" ht="13.5" thickBot="1">
      <c r="A363" s="176" t="s">
        <v>308</v>
      </c>
      <c r="B363" s="172">
        <v>2099</v>
      </c>
      <c r="C363" s="173"/>
      <c r="D363" s="174">
        <f>44.83+27.24-2486.19-25000+27.1+212347.41+44.72-2679.5-508.56</f>
        <v>181817.05000000002</v>
      </c>
      <c r="E363" s="174"/>
      <c r="F363" s="175">
        <f t="shared" si="96"/>
        <v>181817.05000000002</v>
      </c>
      <c r="G363" s="263">
        <f>35.84+41.21+18.22-360.1-294.03-1663.99-600+25000-445.05-341.75-2350</f>
        <v>19040.350000000002</v>
      </c>
      <c r="H363" s="264"/>
      <c r="I363" s="265">
        <f t="shared" si="100"/>
        <v>200857.40000000002</v>
      </c>
      <c r="J363" s="263">
        <f>17.36+1083.11-3320-148.02-401.42+728.31+0.39-989.88-462.83-392.04-332.36</f>
        <v>-4217.38</v>
      </c>
      <c r="K363" s="266"/>
      <c r="L363" s="265">
        <f t="shared" si="101"/>
        <v>196640.02000000002</v>
      </c>
      <c r="M363" s="82"/>
      <c r="N363" s="10"/>
      <c r="O363" s="34"/>
      <c r="P363" s="90"/>
      <c r="Q363" s="194"/>
    </row>
    <row r="364" spans="1:17" ht="12.75">
      <c r="A364" s="42" t="s">
        <v>113</v>
      </c>
      <c r="B364" s="106"/>
      <c r="C364" s="116">
        <f aca="true" t="shared" si="102" ref="C364:Q364">C365+C385</f>
        <v>188000</v>
      </c>
      <c r="D364" s="117">
        <f t="shared" si="102"/>
        <v>640908.78</v>
      </c>
      <c r="E364" s="117">
        <f t="shared" si="102"/>
        <v>0</v>
      </c>
      <c r="F364" s="118">
        <f t="shared" si="102"/>
        <v>828908.78</v>
      </c>
      <c r="G364" s="198">
        <f t="shared" si="102"/>
        <v>-18320.15</v>
      </c>
      <c r="H364" s="199">
        <f t="shared" si="102"/>
        <v>0</v>
      </c>
      <c r="I364" s="200">
        <f t="shared" si="102"/>
        <v>810588.63</v>
      </c>
      <c r="J364" s="198">
        <f t="shared" si="102"/>
        <v>97897.25</v>
      </c>
      <c r="K364" s="117">
        <f t="shared" si="102"/>
        <v>0</v>
      </c>
      <c r="L364" s="200">
        <f t="shared" si="102"/>
        <v>908485.88</v>
      </c>
      <c r="M364" s="116">
        <f t="shared" si="102"/>
        <v>0</v>
      </c>
      <c r="N364" s="117">
        <f t="shared" si="102"/>
        <v>0</v>
      </c>
      <c r="O364" s="118">
        <f t="shared" si="102"/>
        <v>184868.64</v>
      </c>
      <c r="P364" s="116">
        <f t="shared" si="102"/>
        <v>0</v>
      </c>
      <c r="Q364" s="118">
        <f t="shared" si="102"/>
        <v>184868.64</v>
      </c>
    </row>
    <row r="365" spans="1:17" ht="12.75">
      <c r="A365" s="51" t="s">
        <v>62</v>
      </c>
      <c r="B365" s="106"/>
      <c r="C365" s="128">
        <f aca="true" t="shared" si="103" ref="C365:Q365">SUM(C367:C384)</f>
        <v>188000</v>
      </c>
      <c r="D365" s="129">
        <f t="shared" si="103"/>
        <v>640908.78</v>
      </c>
      <c r="E365" s="129">
        <f t="shared" si="103"/>
        <v>0</v>
      </c>
      <c r="F365" s="130">
        <f t="shared" si="103"/>
        <v>828908.78</v>
      </c>
      <c r="G365" s="212">
        <f t="shared" si="103"/>
        <v>-18680.25</v>
      </c>
      <c r="H365" s="213">
        <f t="shared" si="103"/>
        <v>0</v>
      </c>
      <c r="I365" s="214">
        <f t="shared" si="103"/>
        <v>810228.53</v>
      </c>
      <c r="J365" s="212">
        <f t="shared" si="103"/>
        <v>97897.25</v>
      </c>
      <c r="K365" s="129">
        <f t="shared" si="103"/>
        <v>0</v>
      </c>
      <c r="L365" s="214">
        <f t="shared" si="103"/>
        <v>908125.78</v>
      </c>
      <c r="M365" s="128">
        <f t="shared" si="103"/>
        <v>0</v>
      </c>
      <c r="N365" s="129">
        <f t="shared" si="103"/>
        <v>0</v>
      </c>
      <c r="O365" s="130">
        <f t="shared" si="103"/>
        <v>184508.54</v>
      </c>
      <c r="P365" s="128">
        <f t="shared" si="103"/>
        <v>0</v>
      </c>
      <c r="Q365" s="130">
        <f t="shared" si="103"/>
        <v>184508.54</v>
      </c>
    </row>
    <row r="366" spans="1:17" ht="12.75">
      <c r="A366" s="47" t="s">
        <v>33</v>
      </c>
      <c r="B366" s="102"/>
      <c r="C366" s="121"/>
      <c r="D366" s="119"/>
      <c r="E366" s="119"/>
      <c r="F366" s="120"/>
      <c r="G366" s="202"/>
      <c r="H366" s="203"/>
      <c r="I366" s="201"/>
      <c r="J366" s="202"/>
      <c r="K366" s="7"/>
      <c r="L366" s="201"/>
      <c r="M366" s="29"/>
      <c r="N366" s="7"/>
      <c r="O366" s="30"/>
      <c r="P366" s="85"/>
      <c r="Q366" s="193"/>
    </row>
    <row r="367" spans="1:17" ht="12.75">
      <c r="A367" s="58" t="s">
        <v>114</v>
      </c>
      <c r="B367" s="108"/>
      <c r="C367" s="121">
        <v>149300</v>
      </c>
      <c r="D367" s="119">
        <v>12000</v>
      </c>
      <c r="E367" s="119"/>
      <c r="F367" s="120">
        <f aca="true" t="shared" si="104" ref="F367:F384">C367+D367+E367</f>
        <v>161300</v>
      </c>
      <c r="G367" s="202">
        <f>45</f>
        <v>45</v>
      </c>
      <c r="H367" s="203"/>
      <c r="I367" s="201">
        <f>F367+G367+H367</f>
        <v>161345</v>
      </c>
      <c r="J367" s="202"/>
      <c r="K367" s="7"/>
      <c r="L367" s="201">
        <f>I367+J367+K367</f>
        <v>161345</v>
      </c>
      <c r="M367" s="29"/>
      <c r="N367" s="7"/>
      <c r="O367" s="30">
        <f>L367+M367+N367</f>
        <v>161345</v>
      </c>
      <c r="P367" s="85"/>
      <c r="Q367" s="193">
        <f>O367+P367</f>
        <v>161345</v>
      </c>
    </row>
    <row r="368" spans="1:17" ht="12.75" hidden="1">
      <c r="A368" s="103" t="s">
        <v>258</v>
      </c>
      <c r="B368" s="108"/>
      <c r="C368" s="121"/>
      <c r="D368" s="119"/>
      <c r="E368" s="119"/>
      <c r="F368" s="120">
        <f t="shared" si="104"/>
        <v>0</v>
      </c>
      <c r="G368" s="202"/>
      <c r="H368" s="203"/>
      <c r="I368" s="201">
        <f aca="true" t="shared" si="105" ref="I368:I379">F368+G368+H368</f>
        <v>0</v>
      </c>
      <c r="J368" s="202"/>
      <c r="K368" s="7"/>
      <c r="L368" s="201">
        <f aca="true" t="shared" si="106" ref="L368:L379">I368+J368+K368</f>
        <v>0</v>
      </c>
      <c r="M368" s="29"/>
      <c r="N368" s="7"/>
      <c r="O368" s="30"/>
      <c r="P368" s="85"/>
      <c r="Q368" s="193"/>
    </row>
    <row r="369" spans="1:17" ht="12.75" hidden="1">
      <c r="A369" s="45" t="s">
        <v>167</v>
      </c>
      <c r="B369" s="102"/>
      <c r="C369" s="121"/>
      <c r="D369" s="119"/>
      <c r="E369" s="119"/>
      <c r="F369" s="120">
        <f t="shared" si="104"/>
        <v>0</v>
      </c>
      <c r="G369" s="202"/>
      <c r="H369" s="203"/>
      <c r="I369" s="201">
        <f t="shared" si="105"/>
        <v>0</v>
      </c>
      <c r="J369" s="202"/>
      <c r="K369" s="7"/>
      <c r="L369" s="201">
        <f t="shared" si="106"/>
        <v>0</v>
      </c>
      <c r="M369" s="29"/>
      <c r="N369" s="7"/>
      <c r="O369" s="30">
        <f>L369+M369+N369</f>
        <v>0</v>
      </c>
      <c r="P369" s="85"/>
      <c r="Q369" s="193">
        <f>O369+P369</f>
        <v>0</v>
      </c>
    </row>
    <row r="370" spans="1:17" ht="12.75">
      <c r="A370" s="45" t="s">
        <v>193</v>
      </c>
      <c r="B370" s="102"/>
      <c r="C370" s="121">
        <v>30700</v>
      </c>
      <c r="D370" s="119">
        <f>-2200+246.77</f>
        <v>-1953.23</v>
      </c>
      <c r="E370" s="119"/>
      <c r="F370" s="120">
        <f t="shared" si="104"/>
        <v>28746.77</v>
      </c>
      <c r="G370" s="202"/>
      <c r="H370" s="203"/>
      <c r="I370" s="201">
        <f t="shared" si="105"/>
        <v>28746.77</v>
      </c>
      <c r="J370" s="202"/>
      <c r="K370" s="7"/>
      <c r="L370" s="201">
        <f t="shared" si="106"/>
        <v>28746.77</v>
      </c>
      <c r="M370" s="29"/>
      <c r="N370" s="7"/>
      <c r="O370" s="30"/>
      <c r="P370" s="85"/>
      <c r="Q370" s="193"/>
    </row>
    <row r="371" spans="1:17" ht="12.75">
      <c r="A371" s="45" t="s">
        <v>64</v>
      </c>
      <c r="B371" s="102"/>
      <c r="C371" s="121">
        <v>8000</v>
      </c>
      <c r="D371" s="119">
        <f>2200</f>
        <v>2200</v>
      </c>
      <c r="E371" s="119"/>
      <c r="F371" s="120">
        <f t="shared" si="104"/>
        <v>10200</v>
      </c>
      <c r="G371" s="202"/>
      <c r="H371" s="203"/>
      <c r="I371" s="201">
        <f t="shared" si="105"/>
        <v>10200</v>
      </c>
      <c r="J371" s="202"/>
      <c r="K371" s="7"/>
      <c r="L371" s="201">
        <f t="shared" si="106"/>
        <v>10200</v>
      </c>
      <c r="M371" s="29"/>
      <c r="N371" s="7"/>
      <c r="O371" s="30">
        <f>L371+M371+N371</f>
        <v>10200</v>
      </c>
      <c r="P371" s="85"/>
      <c r="Q371" s="193">
        <f>O371+P371</f>
        <v>10200</v>
      </c>
    </row>
    <row r="372" spans="1:17" ht="12.75" hidden="1">
      <c r="A372" s="45" t="s">
        <v>76</v>
      </c>
      <c r="B372" s="102"/>
      <c r="C372" s="121"/>
      <c r="D372" s="119"/>
      <c r="E372" s="119"/>
      <c r="F372" s="120">
        <f t="shared" si="104"/>
        <v>0</v>
      </c>
      <c r="G372" s="202"/>
      <c r="H372" s="203"/>
      <c r="I372" s="201">
        <f t="shared" si="105"/>
        <v>0</v>
      </c>
      <c r="J372" s="202"/>
      <c r="K372" s="7"/>
      <c r="L372" s="201">
        <f t="shared" si="106"/>
        <v>0</v>
      </c>
      <c r="M372" s="29"/>
      <c r="N372" s="7"/>
      <c r="O372" s="30">
        <f>L372+M372+N372</f>
        <v>0</v>
      </c>
      <c r="P372" s="85"/>
      <c r="Q372" s="193">
        <f>O372+P372</f>
        <v>0</v>
      </c>
    </row>
    <row r="373" spans="1:17" ht="12.75">
      <c r="A373" s="45" t="s">
        <v>335</v>
      </c>
      <c r="B373" s="102"/>
      <c r="C373" s="121"/>
      <c r="D373" s="119"/>
      <c r="E373" s="119"/>
      <c r="F373" s="120">
        <f t="shared" si="104"/>
        <v>0</v>
      </c>
      <c r="G373" s="202">
        <f>367.11+549.91+485.54</f>
        <v>1402.56</v>
      </c>
      <c r="H373" s="203"/>
      <c r="I373" s="201">
        <f t="shared" si="105"/>
        <v>1402.56</v>
      </c>
      <c r="J373" s="202"/>
      <c r="K373" s="7"/>
      <c r="L373" s="201">
        <f t="shared" si="106"/>
        <v>1402.56</v>
      </c>
      <c r="M373" s="29"/>
      <c r="N373" s="7"/>
      <c r="O373" s="30"/>
      <c r="P373" s="85"/>
      <c r="Q373" s="193"/>
    </row>
    <row r="374" spans="1:17" ht="12.75">
      <c r="A374" s="103" t="s">
        <v>327</v>
      </c>
      <c r="B374" s="102">
        <v>2043</v>
      </c>
      <c r="C374" s="121"/>
      <c r="D374" s="119">
        <f>2680.55</f>
        <v>2680.55</v>
      </c>
      <c r="E374" s="119"/>
      <c r="F374" s="120">
        <f t="shared" si="104"/>
        <v>2680.55</v>
      </c>
      <c r="G374" s="202"/>
      <c r="H374" s="203"/>
      <c r="I374" s="201">
        <f t="shared" si="105"/>
        <v>2680.55</v>
      </c>
      <c r="J374" s="202"/>
      <c r="K374" s="7"/>
      <c r="L374" s="201">
        <f t="shared" si="106"/>
        <v>2680.55</v>
      </c>
      <c r="M374" s="29"/>
      <c r="N374" s="7"/>
      <c r="O374" s="30"/>
      <c r="P374" s="85"/>
      <c r="Q374" s="193"/>
    </row>
    <row r="375" spans="1:17" ht="12.75">
      <c r="A375" s="103" t="s">
        <v>345</v>
      </c>
      <c r="B375" s="102">
        <v>2043</v>
      </c>
      <c r="C375" s="121"/>
      <c r="D375" s="119"/>
      <c r="E375" s="119"/>
      <c r="F375" s="120"/>
      <c r="G375" s="202"/>
      <c r="H375" s="203"/>
      <c r="I375" s="201">
        <f t="shared" si="105"/>
        <v>0</v>
      </c>
      <c r="J375" s="202">
        <f>1661.33</f>
        <v>1661.33</v>
      </c>
      <c r="K375" s="7"/>
      <c r="L375" s="201">
        <f t="shared" si="106"/>
        <v>1661.33</v>
      </c>
      <c r="M375" s="29"/>
      <c r="N375" s="7"/>
      <c r="O375" s="30"/>
      <c r="P375" s="85"/>
      <c r="Q375" s="193"/>
    </row>
    <row r="376" spans="1:17" ht="12.75">
      <c r="A376" s="45" t="s">
        <v>310</v>
      </c>
      <c r="B376" s="102">
        <v>2050</v>
      </c>
      <c r="C376" s="121"/>
      <c r="D376" s="119">
        <f>5089.85</f>
        <v>5089.85</v>
      </c>
      <c r="E376" s="119"/>
      <c r="F376" s="120">
        <f t="shared" si="104"/>
        <v>5089.85</v>
      </c>
      <c r="G376" s="202">
        <f>1326.38</f>
        <v>1326.38</v>
      </c>
      <c r="H376" s="203"/>
      <c r="I376" s="201">
        <f t="shared" si="105"/>
        <v>6416.2300000000005</v>
      </c>
      <c r="J376" s="202"/>
      <c r="K376" s="7"/>
      <c r="L376" s="201">
        <f t="shared" si="106"/>
        <v>6416.2300000000005</v>
      </c>
      <c r="M376" s="29"/>
      <c r="N376" s="7"/>
      <c r="O376" s="30"/>
      <c r="P376" s="85"/>
      <c r="Q376" s="193"/>
    </row>
    <row r="377" spans="1:17" ht="12.75">
      <c r="A377" s="45" t="s">
        <v>315</v>
      </c>
      <c r="B377" s="102">
        <v>2050</v>
      </c>
      <c r="C377" s="121"/>
      <c r="D377" s="119">
        <f>94024.14</f>
        <v>94024.14</v>
      </c>
      <c r="E377" s="119"/>
      <c r="F377" s="120">
        <f t="shared" si="104"/>
        <v>94024.14</v>
      </c>
      <c r="G377" s="202"/>
      <c r="H377" s="203"/>
      <c r="I377" s="201">
        <f t="shared" si="105"/>
        <v>94024.14</v>
      </c>
      <c r="J377" s="202">
        <f>33033.92</f>
        <v>33033.92</v>
      </c>
      <c r="K377" s="7"/>
      <c r="L377" s="201">
        <f t="shared" si="106"/>
        <v>127058.06</v>
      </c>
      <c r="M377" s="29"/>
      <c r="N377" s="7"/>
      <c r="O377" s="30"/>
      <c r="P377" s="85"/>
      <c r="Q377" s="193"/>
    </row>
    <row r="378" spans="1:17" ht="12.75">
      <c r="A378" s="45" t="s">
        <v>309</v>
      </c>
      <c r="B378" s="102">
        <v>2044</v>
      </c>
      <c r="C378" s="121"/>
      <c r="D378" s="119">
        <f>6509.74</f>
        <v>6509.74</v>
      </c>
      <c r="E378" s="119"/>
      <c r="F378" s="120">
        <f t="shared" si="104"/>
        <v>6509.74</v>
      </c>
      <c r="G378" s="202"/>
      <c r="H378" s="203"/>
      <c r="I378" s="201">
        <f t="shared" si="105"/>
        <v>6509.74</v>
      </c>
      <c r="J378" s="202"/>
      <c r="K378" s="7"/>
      <c r="L378" s="201">
        <f t="shared" si="106"/>
        <v>6509.74</v>
      </c>
      <c r="M378" s="29"/>
      <c r="N378" s="7"/>
      <c r="O378" s="30"/>
      <c r="P378" s="85"/>
      <c r="Q378" s="193"/>
    </row>
    <row r="379" spans="1:17" ht="12.75">
      <c r="A379" s="103" t="s">
        <v>253</v>
      </c>
      <c r="B379" s="102">
        <v>13305</v>
      </c>
      <c r="C379" s="121"/>
      <c r="D379" s="119">
        <f>485940</f>
        <v>485940</v>
      </c>
      <c r="E379" s="119"/>
      <c r="F379" s="120">
        <f t="shared" si="104"/>
        <v>485940</v>
      </c>
      <c r="G379" s="202"/>
      <c r="H379" s="203"/>
      <c r="I379" s="201">
        <f t="shared" si="105"/>
        <v>485940</v>
      </c>
      <c r="J379" s="202">
        <f>62790</f>
        <v>62790</v>
      </c>
      <c r="K379" s="7"/>
      <c r="L379" s="201">
        <f t="shared" si="106"/>
        <v>548730</v>
      </c>
      <c r="M379" s="29"/>
      <c r="N379" s="7"/>
      <c r="O379" s="30"/>
      <c r="P379" s="85"/>
      <c r="Q379" s="193"/>
    </row>
    <row r="380" spans="1:17" ht="12.75">
      <c r="A380" s="45" t="s">
        <v>115</v>
      </c>
      <c r="B380" s="102">
        <v>13307</v>
      </c>
      <c r="C380" s="121"/>
      <c r="D380" s="119">
        <f>2500</f>
        <v>2500</v>
      </c>
      <c r="E380" s="119"/>
      <c r="F380" s="120">
        <f t="shared" si="104"/>
        <v>2500</v>
      </c>
      <c r="G380" s="202">
        <f>2500</f>
        <v>2500</v>
      </c>
      <c r="H380" s="203"/>
      <c r="I380" s="201">
        <f>F380+G380+H380</f>
        <v>5000</v>
      </c>
      <c r="J380" s="202"/>
      <c r="K380" s="7"/>
      <c r="L380" s="201">
        <f>I380+J380+K380</f>
        <v>5000</v>
      </c>
      <c r="M380" s="29"/>
      <c r="N380" s="7"/>
      <c r="O380" s="30">
        <f>L380+M380+N380</f>
        <v>5000</v>
      </c>
      <c r="P380" s="85"/>
      <c r="Q380" s="193">
        <f>O380+P380</f>
        <v>5000</v>
      </c>
    </row>
    <row r="381" spans="1:17" ht="12.75">
      <c r="A381" s="45" t="s">
        <v>338</v>
      </c>
      <c r="B381" s="102">
        <v>14018</v>
      </c>
      <c r="C381" s="121"/>
      <c r="D381" s="119"/>
      <c r="E381" s="119"/>
      <c r="F381" s="120">
        <f t="shared" si="104"/>
        <v>0</v>
      </c>
      <c r="G381" s="202">
        <f>288</f>
        <v>288</v>
      </c>
      <c r="H381" s="203"/>
      <c r="I381" s="201">
        <f>F381+G381+H381</f>
        <v>288</v>
      </c>
      <c r="J381" s="202"/>
      <c r="K381" s="7"/>
      <c r="L381" s="201">
        <f>I381+J381+K381</f>
        <v>288</v>
      </c>
      <c r="M381" s="29"/>
      <c r="N381" s="7"/>
      <c r="O381" s="30">
        <f>L381+M381+N381</f>
        <v>288</v>
      </c>
      <c r="P381" s="85"/>
      <c r="Q381" s="193">
        <f>O381+P381</f>
        <v>288</v>
      </c>
    </row>
    <row r="382" spans="1:17" ht="12.75">
      <c r="A382" s="45" t="s">
        <v>349</v>
      </c>
      <c r="B382" s="102">
        <v>13016</v>
      </c>
      <c r="C382" s="121"/>
      <c r="D382" s="119"/>
      <c r="E382" s="119"/>
      <c r="F382" s="120"/>
      <c r="G382" s="202"/>
      <c r="H382" s="203"/>
      <c r="I382" s="201">
        <f>F382+G382+H382</f>
        <v>0</v>
      </c>
      <c r="J382" s="202">
        <f>412</f>
        <v>412</v>
      </c>
      <c r="K382" s="7"/>
      <c r="L382" s="201">
        <f>I382+J382+K382</f>
        <v>412</v>
      </c>
      <c r="M382" s="29"/>
      <c r="N382" s="7"/>
      <c r="O382" s="30"/>
      <c r="P382" s="85"/>
      <c r="Q382" s="193"/>
    </row>
    <row r="383" spans="1:17" ht="12.75">
      <c r="A383" s="54" t="s">
        <v>181</v>
      </c>
      <c r="B383" s="102">
        <v>4359</v>
      </c>
      <c r="C383" s="121"/>
      <c r="D383" s="119"/>
      <c r="E383" s="119"/>
      <c r="F383" s="120">
        <f t="shared" si="104"/>
        <v>0</v>
      </c>
      <c r="G383" s="202">
        <f>88</f>
        <v>88</v>
      </c>
      <c r="H383" s="203"/>
      <c r="I383" s="201">
        <f>F383+G383+H383</f>
        <v>88</v>
      </c>
      <c r="J383" s="202"/>
      <c r="K383" s="7"/>
      <c r="L383" s="201">
        <f>I383+J383+K383</f>
        <v>88</v>
      </c>
      <c r="M383" s="29"/>
      <c r="N383" s="7"/>
      <c r="O383" s="30">
        <f>L383+M383+N383</f>
        <v>88</v>
      </c>
      <c r="P383" s="85"/>
      <c r="Q383" s="193">
        <f>O383+P383</f>
        <v>88</v>
      </c>
    </row>
    <row r="384" spans="1:17" ht="12.75">
      <c r="A384" s="45" t="s">
        <v>90</v>
      </c>
      <c r="B384" s="102"/>
      <c r="C384" s="121"/>
      <c r="D384" s="119">
        <f>25000+5794+136.54+139.37+847.82</f>
        <v>31917.73</v>
      </c>
      <c r="E384" s="119"/>
      <c r="F384" s="120">
        <f t="shared" si="104"/>
        <v>31917.73</v>
      </c>
      <c r="G384" s="202">
        <f>600-25000+69.81</f>
        <v>-24330.19</v>
      </c>
      <c r="H384" s="203"/>
      <c r="I384" s="201">
        <f>F384+G384+H384</f>
        <v>7587.540000000001</v>
      </c>
      <c r="J384" s="202"/>
      <c r="K384" s="7"/>
      <c r="L384" s="201">
        <f>I384+J384+K384</f>
        <v>7587.540000000001</v>
      </c>
      <c r="M384" s="33"/>
      <c r="N384" s="10"/>
      <c r="O384" s="34">
        <f>L384+M384+N384</f>
        <v>7587.540000000001</v>
      </c>
      <c r="P384" s="90"/>
      <c r="Q384" s="194">
        <f>O384+P384</f>
        <v>7587.540000000001</v>
      </c>
    </row>
    <row r="385" spans="1:17" ht="12.75">
      <c r="A385" s="51" t="s">
        <v>67</v>
      </c>
      <c r="B385" s="106"/>
      <c r="C385" s="128">
        <f>SUM(C387:C389)</f>
        <v>0</v>
      </c>
      <c r="D385" s="129">
        <f>SUM(D387:D389)</f>
        <v>0</v>
      </c>
      <c r="E385" s="129">
        <f>SUM(E387:E389)</f>
        <v>0</v>
      </c>
      <c r="F385" s="130">
        <f>SUM(F387:F389)</f>
        <v>0</v>
      </c>
      <c r="G385" s="128">
        <f>SUM(G387:G389)</f>
        <v>360.1</v>
      </c>
      <c r="H385" s="213"/>
      <c r="I385" s="214">
        <f>SUM(I387:I389)</f>
        <v>360.1</v>
      </c>
      <c r="J385" s="212"/>
      <c r="K385" s="11"/>
      <c r="L385" s="214">
        <f>SUM(L387:L389)</f>
        <v>360.1</v>
      </c>
      <c r="M385" s="35"/>
      <c r="N385" s="11"/>
      <c r="O385" s="36">
        <f>SUM(O387:O389)</f>
        <v>360.1</v>
      </c>
      <c r="P385" s="87"/>
      <c r="Q385" s="36">
        <f>SUM(Q387:Q389)</f>
        <v>360.1</v>
      </c>
    </row>
    <row r="386" spans="1:17" ht="12.75">
      <c r="A386" s="47" t="s">
        <v>33</v>
      </c>
      <c r="B386" s="102"/>
      <c r="C386" s="121"/>
      <c r="D386" s="119"/>
      <c r="E386" s="119"/>
      <c r="F386" s="120"/>
      <c r="G386" s="202"/>
      <c r="H386" s="203"/>
      <c r="I386" s="201"/>
      <c r="J386" s="202"/>
      <c r="K386" s="7"/>
      <c r="L386" s="201"/>
      <c r="M386" s="29"/>
      <c r="N386" s="7"/>
      <c r="O386" s="30"/>
      <c r="P386" s="85"/>
      <c r="Q386" s="193"/>
    </row>
    <row r="387" spans="1:17" ht="12.75" hidden="1">
      <c r="A387" s="45" t="s">
        <v>105</v>
      </c>
      <c r="B387" s="102"/>
      <c r="C387" s="121"/>
      <c r="D387" s="119"/>
      <c r="E387" s="119"/>
      <c r="F387" s="120">
        <f>C387+D387+E387</f>
        <v>0</v>
      </c>
      <c r="G387" s="202"/>
      <c r="H387" s="203"/>
      <c r="I387" s="201">
        <f>F387+G387+H387</f>
        <v>0</v>
      </c>
      <c r="J387" s="202"/>
      <c r="K387" s="7"/>
      <c r="L387" s="201">
        <f>I387+J387+K387</f>
        <v>0</v>
      </c>
      <c r="M387" s="29"/>
      <c r="N387" s="7"/>
      <c r="O387" s="30">
        <f>L387+M387+N387</f>
        <v>0</v>
      </c>
      <c r="P387" s="85"/>
      <c r="Q387" s="193">
        <f>O387+P387</f>
        <v>0</v>
      </c>
    </row>
    <row r="388" spans="1:17" ht="12.75" hidden="1">
      <c r="A388" s="45" t="s">
        <v>68</v>
      </c>
      <c r="B388" s="102"/>
      <c r="C388" s="121"/>
      <c r="D388" s="119"/>
      <c r="E388" s="119"/>
      <c r="F388" s="120">
        <f>C388+D388+E388</f>
        <v>0</v>
      </c>
      <c r="G388" s="202"/>
      <c r="H388" s="203"/>
      <c r="I388" s="201"/>
      <c r="J388" s="202"/>
      <c r="K388" s="7"/>
      <c r="L388" s="201">
        <f>I388+J388+K388</f>
        <v>0</v>
      </c>
      <c r="M388" s="29"/>
      <c r="N388" s="7"/>
      <c r="O388" s="30">
        <f>L388+M388+N388</f>
        <v>0</v>
      </c>
      <c r="P388" s="85"/>
      <c r="Q388" s="193">
        <f>O388+P388</f>
        <v>0</v>
      </c>
    </row>
    <row r="389" spans="1:17" ht="12.75">
      <c r="A389" s="48" t="s">
        <v>90</v>
      </c>
      <c r="B389" s="105"/>
      <c r="C389" s="131"/>
      <c r="D389" s="132"/>
      <c r="E389" s="132"/>
      <c r="F389" s="169">
        <f>C389+D389+E389</f>
        <v>0</v>
      </c>
      <c r="G389" s="215">
        <f>360.1</f>
        <v>360.1</v>
      </c>
      <c r="H389" s="216"/>
      <c r="I389" s="217">
        <f>F389+G389+H389</f>
        <v>360.1</v>
      </c>
      <c r="J389" s="215"/>
      <c r="K389" s="10"/>
      <c r="L389" s="217">
        <f>I389+J389+K389</f>
        <v>360.1</v>
      </c>
      <c r="M389" s="29"/>
      <c r="N389" s="7"/>
      <c r="O389" s="30">
        <f>L389+M389+N389</f>
        <v>360.1</v>
      </c>
      <c r="P389" s="85"/>
      <c r="Q389" s="193">
        <f>O389+P389</f>
        <v>360.1</v>
      </c>
    </row>
    <row r="390" spans="1:17" ht="12.75">
      <c r="A390" s="46" t="s">
        <v>224</v>
      </c>
      <c r="B390" s="106"/>
      <c r="C390" s="116">
        <f>C391+C403</f>
        <v>63360</v>
      </c>
      <c r="D390" s="117">
        <f>D391+D403</f>
        <v>-28006.37</v>
      </c>
      <c r="E390" s="117">
        <f>E391+E403</f>
        <v>0</v>
      </c>
      <c r="F390" s="118">
        <f>F391+F403</f>
        <v>35353.630000000005</v>
      </c>
      <c r="G390" s="198">
        <f aca="true" t="shared" si="107" ref="G390:Q390">G391+G403</f>
        <v>3815.95</v>
      </c>
      <c r="H390" s="199">
        <f t="shared" si="107"/>
        <v>18746.47</v>
      </c>
      <c r="I390" s="200">
        <f t="shared" si="107"/>
        <v>57916.049999999996</v>
      </c>
      <c r="J390" s="198">
        <f t="shared" si="107"/>
        <v>1640.16</v>
      </c>
      <c r="K390" s="117">
        <f t="shared" si="107"/>
        <v>0</v>
      </c>
      <c r="L390" s="200">
        <f t="shared" si="107"/>
        <v>59556.21</v>
      </c>
      <c r="M390" s="116">
        <f t="shared" si="107"/>
        <v>0</v>
      </c>
      <c r="N390" s="117">
        <f t="shared" si="107"/>
        <v>0</v>
      </c>
      <c r="O390" s="118">
        <f t="shared" si="107"/>
        <v>16578.620000000003</v>
      </c>
      <c r="P390" s="116">
        <f t="shared" si="107"/>
        <v>0</v>
      </c>
      <c r="Q390" s="118">
        <f t="shared" si="107"/>
        <v>16578.620000000003</v>
      </c>
    </row>
    <row r="391" spans="1:17" ht="12.75">
      <c r="A391" s="51" t="s">
        <v>62</v>
      </c>
      <c r="B391" s="106"/>
      <c r="C391" s="128">
        <f>SUM(C393:C402)</f>
        <v>61860</v>
      </c>
      <c r="D391" s="129">
        <f>SUM(D393:D402)</f>
        <v>-28006.37</v>
      </c>
      <c r="E391" s="129">
        <f>SUM(E393:E402)</f>
        <v>0</v>
      </c>
      <c r="F391" s="130">
        <f>SUM(F393:F402)</f>
        <v>33853.630000000005</v>
      </c>
      <c r="G391" s="212">
        <f aca="true" t="shared" si="108" ref="G391:Q391">SUM(G393:G402)</f>
        <v>3615.95</v>
      </c>
      <c r="H391" s="213">
        <f t="shared" si="108"/>
        <v>0</v>
      </c>
      <c r="I391" s="214">
        <f t="shared" si="108"/>
        <v>37469.579999999994</v>
      </c>
      <c r="J391" s="212">
        <f t="shared" si="108"/>
        <v>1640.16</v>
      </c>
      <c r="K391" s="129">
        <f t="shared" si="108"/>
        <v>0</v>
      </c>
      <c r="L391" s="214">
        <f t="shared" si="108"/>
        <v>39109.74</v>
      </c>
      <c r="M391" s="128">
        <f t="shared" si="108"/>
        <v>0</v>
      </c>
      <c r="N391" s="129">
        <f t="shared" si="108"/>
        <v>0</v>
      </c>
      <c r="O391" s="130">
        <f t="shared" si="108"/>
        <v>14878.62</v>
      </c>
      <c r="P391" s="128">
        <f t="shared" si="108"/>
        <v>0</v>
      </c>
      <c r="Q391" s="130">
        <f t="shared" si="108"/>
        <v>14878.62</v>
      </c>
    </row>
    <row r="392" spans="1:17" ht="12.75">
      <c r="A392" s="47" t="s">
        <v>33</v>
      </c>
      <c r="B392" s="102"/>
      <c r="C392" s="121"/>
      <c r="D392" s="119"/>
      <c r="E392" s="119"/>
      <c r="F392" s="118"/>
      <c r="G392" s="202"/>
      <c r="H392" s="203"/>
      <c r="I392" s="200"/>
      <c r="J392" s="202"/>
      <c r="K392" s="7"/>
      <c r="L392" s="200"/>
      <c r="M392" s="29"/>
      <c r="N392" s="7"/>
      <c r="O392" s="28"/>
      <c r="P392" s="85"/>
      <c r="Q392" s="193"/>
    </row>
    <row r="393" spans="1:17" ht="12.75">
      <c r="A393" s="45" t="s">
        <v>64</v>
      </c>
      <c r="B393" s="102"/>
      <c r="C393" s="121">
        <v>10350</v>
      </c>
      <c r="D393" s="119">
        <f>1042+200</f>
        <v>1242</v>
      </c>
      <c r="E393" s="119"/>
      <c r="F393" s="120">
        <f aca="true" t="shared" si="109" ref="F393:F402">C393+D393+E393</f>
        <v>11592</v>
      </c>
      <c r="G393" s="202">
        <f>465.95+2350-200+1000</f>
        <v>3615.95</v>
      </c>
      <c r="H393" s="203"/>
      <c r="I393" s="201">
        <f>F393+G393+H393</f>
        <v>15207.95</v>
      </c>
      <c r="J393" s="202">
        <f>200+38.2-737.73-800</f>
        <v>-1299.53</v>
      </c>
      <c r="K393" s="7"/>
      <c r="L393" s="201">
        <f>I393+J393+K393</f>
        <v>13908.42</v>
      </c>
      <c r="M393" s="29"/>
      <c r="N393" s="7"/>
      <c r="O393" s="30">
        <f>L393+M393+N393</f>
        <v>13908.42</v>
      </c>
      <c r="P393" s="85"/>
      <c r="Q393" s="193">
        <f>O393+P393</f>
        <v>13908.42</v>
      </c>
    </row>
    <row r="394" spans="1:17" ht="12.75" hidden="1">
      <c r="A394" s="49" t="s">
        <v>255</v>
      </c>
      <c r="B394" s="102"/>
      <c r="C394" s="121"/>
      <c r="D394" s="119"/>
      <c r="E394" s="119"/>
      <c r="F394" s="120">
        <f t="shared" si="109"/>
        <v>0</v>
      </c>
      <c r="G394" s="202"/>
      <c r="H394" s="203"/>
      <c r="I394" s="201">
        <f aca="true" t="shared" si="110" ref="I394:I402">F394+G394+H394</f>
        <v>0</v>
      </c>
      <c r="J394" s="202"/>
      <c r="K394" s="7"/>
      <c r="L394" s="201">
        <f aca="true" t="shared" si="111" ref="L394:L402">I394+J394+K394</f>
        <v>0</v>
      </c>
      <c r="M394" s="29"/>
      <c r="N394" s="7"/>
      <c r="O394" s="30">
        <f aca="true" t="shared" si="112" ref="O394:O399">L394+M394+N394</f>
        <v>0</v>
      </c>
      <c r="P394" s="85"/>
      <c r="Q394" s="193">
        <f>O394+P394</f>
        <v>0</v>
      </c>
    </row>
    <row r="395" spans="1:17" ht="12.75">
      <c r="A395" s="49" t="s">
        <v>256</v>
      </c>
      <c r="B395" s="102"/>
      <c r="C395" s="121">
        <v>50000</v>
      </c>
      <c r="D395" s="119">
        <f>-29000</f>
        <v>-29000</v>
      </c>
      <c r="E395" s="119"/>
      <c r="F395" s="120">
        <f t="shared" si="109"/>
        <v>21000</v>
      </c>
      <c r="G395" s="202"/>
      <c r="H395" s="203"/>
      <c r="I395" s="201">
        <f t="shared" si="110"/>
        <v>21000</v>
      </c>
      <c r="J395" s="202"/>
      <c r="K395" s="7"/>
      <c r="L395" s="201">
        <f t="shared" si="111"/>
        <v>21000</v>
      </c>
      <c r="M395" s="29"/>
      <c r="N395" s="7"/>
      <c r="O395" s="30"/>
      <c r="P395" s="85"/>
      <c r="Q395" s="193"/>
    </row>
    <row r="396" spans="1:17" ht="12.75">
      <c r="A396" s="49" t="s">
        <v>259</v>
      </c>
      <c r="B396" s="102">
        <v>1400</v>
      </c>
      <c r="C396" s="121">
        <v>1510</v>
      </c>
      <c r="D396" s="136">
        <f>-1510</f>
        <v>-1510</v>
      </c>
      <c r="E396" s="119"/>
      <c r="F396" s="120">
        <f t="shared" si="109"/>
        <v>0</v>
      </c>
      <c r="G396" s="202"/>
      <c r="H396" s="203"/>
      <c r="I396" s="201">
        <f t="shared" si="110"/>
        <v>0</v>
      </c>
      <c r="J396" s="202"/>
      <c r="K396" s="7"/>
      <c r="L396" s="201">
        <f t="shared" si="111"/>
        <v>0</v>
      </c>
      <c r="M396" s="29"/>
      <c r="N396" s="7"/>
      <c r="O396" s="30"/>
      <c r="P396" s="85"/>
      <c r="Q396" s="193"/>
    </row>
    <row r="397" spans="1:17" ht="12.75">
      <c r="A397" s="45" t="s">
        <v>90</v>
      </c>
      <c r="B397" s="102"/>
      <c r="C397" s="121"/>
      <c r="D397" s="136">
        <f>156.9+13.3</f>
        <v>170.20000000000002</v>
      </c>
      <c r="E397" s="119"/>
      <c r="F397" s="120">
        <f t="shared" si="109"/>
        <v>170.20000000000002</v>
      </c>
      <c r="G397" s="202"/>
      <c r="H397" s="203"/>
      <c r="I397" s="201">
        <f t="shared" si="110"/>
        <v>170.20000000000002</v>
      </c>
      <c r="J397" s="202">
        <f>800</f>
        <v>800</v>
      </c>
      <c r="K397" s="7"/>
      <c r="L397" s="201">
        <f t="shared" si="111"/>
        <v>970.2</v>
      </c>
      <c r="M397" s="29"/>
      <c r="N397" s="7"/>
      <c r="O397" s="30">
        <f t="shared" si="112"/>
        <v>970.2</v>
      </c>
      <c r="P397" s="85"/>
      <c r="Q397" s="193">
        <f>O397+P397</f>
        <v>970.2</v>
      </c>
    </row>
    <row r="398" spans="1:17" ht="12.75" hidden="1">
      <c r="A398" s="45" t="s">
        <v>76</v>
      </c>
      <c r="B398" s="102"/>
      <c r="C398" s="121"/>
      <c r="D398" s="119"/>
      <c r="E398" s="119"/>
      <c r="F398" s="120">
        <f t="shared" si="109"/>
        <v>0</v>
      </c>
      <c r="G398" s="202"/>
      <c r="H398" s="203"/>
      <c r="I398" s="201">
        <f t="shared" si="110"/>
        <v>0</v>
      </c>
      <c r="J398" s="222"/>
      <c r="K398" s="7"/>
      <c r="L398" s="201">
        <f t="shared" si="111"/>
        <v>0</v>
      </c>
      <c r="M398" s="29"/>
      <c r="N398" s="7"/>
      <c r="O398" s="30">
        <f t="shared" si="112"/>
        <v>0</v>
      </c>
      <c r="P398" s="85"/>
      <c r="Q398" s="193">
        <f>O398+P398</f>
        <v>0</v>
      </c>
    </row>
    <row r="399" spans="1:17" ht="12.75" hidden="1">
      <c r="A399" s="45" t="s">
        <v>189</v>
      </c>
      <c r="B399" s="102"/>
      <c r="C399" s="121"/>
      <c r="D399" s="119"/>
      <c r="E399" s="119"/>
      <c r="F399" s="120">
        <f t="shared" si="109"/>
        <v>0</v>
      </c>
      <c r="G399" s="202"/>
      <c r="H399" s="203"/>
      <c r="I399" s="201">
        <f t="shared" si="110"/>
        <v>0</v>
      </c>
      <c r="J399" s="222"/>
      <c r="K399" s="7"/>
      <c r="L399" s="201">
        <f t="shared" si="111"/>
        <v>0</v>
      </c>
      <c r="M399" s="29"/>
      <c r="N399" s="7"/>
      <c r="O399" s="30">
        <f t="shared" si="112"/>
        <v>0</v>
      </c>
      <c r="P399" s="85"/>
      <c r="Q399" s="193">
        <f>O399+P399</f>
        <v>0</v>
      </c>
    </row>
    <row r="400" spans="1:17" ht="12.75">
      <c r="A400" s="45" t="s">
        <v>355</v>
      </c>
      <c r="B400" s="102">
        <v>17055</v>
      </c>
      <c r="C400" s="121"/>
      <c r="D400" s="119"/>
      <c r="E400" s="119"/>
      <c r="F400" s="120"/>
      <c r="G400" s="202"/>
      <c r="H400" s="203"/>
      <c r="I400" s="201">
        <f t="shared" si="110"/>
        <v>0</v>
      </c>
      <c r="J400" s="222">
        <f>1315</f>
        <v>1315</v>
      </c>
      <c r="K400" s="7"/>
      <c r="L400" s="201">
        <f t="shared" si="111"/>
        <v>1315</v>
      </c>
      <c r="M400" s="29"/>
      <c r="N400" s="7"/>
      <c r="O400" s="30"/>
      <c r="P400" s="85"/>
      <c r="Q400" s="193"/>
    </row>
    <row r="401" spans="1:17" ht="12.75">
      <c r="A401" s="45" t="s">
        <v>302</v>
      </c>
      <c r="B401" s="187" t="s">
        <v>303</v>
      </c>
      <c r="C401" s="121"/>
      <c r="D401" s="119">
        <v>728.31</v>
      </c>
      <c r="E401" s="119"/>
      <c r="F401" s="120">
        <f t="shared" si="109"/>
        <v>728.31</v>
      </c>
      <c r="G401" s="202"/>
      <c r="H401" s="203"/>
      <c r="I401" s="201">
        <f t="shared" si="110"/>
        <v>728.31</v>
      </c>
      <c r="J401" s="222">
        <f>824.69</f>
        <v>824.69</v>
      </c>
      <c r="K401" s="7"/>
      <c r="L401" s="201">
        <f t="shared" si="111"/>
        <v>1553</v>
      </c>
      <c r="M401" s="29"/>
      <c r="N401" s="7"/>
      <c r="O401" s="30"/>
      <c r="P401" s="85"/>
      <c r="Q401" s="193"/>
    </row>
    <row r="402" spans="1:17" ht="12.75">
      <c r="A402" s="45" t="s">
        <v>301</v>
      </c>
      <c r="B402" s="102">
        <v>33064</v>
      </c>
      <c r="C402" s="121"/>
      <c r="D402" s="119">
        <v>363.12</v>
      </c>
      <c r="E402" s="119"/>
      <c r="F402" s="120">
        <f t="shared" si="109"/>
        <v>363.12</v>
      </c>
      <c r="G402" s="202"/>
      <c r="H402" s="203"/>
      <c r="I402" s="201">
        <f t="shared" si="110"/>
        <v>363.12</v>
      </c>
      <c r="J402" s="222"/>
      <c r="K402" s="7"/>
      <c r="L402" s="201">
        <f t="shared" si="111"/>
        <v>363.12</v>
      </c>
      <c r="M402" s="29"/>
      <c r="N402" s="7"/>
      <c r="O402" s="30"/>
      <c r="P402" s="85"/>
      <c r="Q402" s="193"/>
    </row>
    <row r="403" spans="1:17" ht="12.75">
      <c r="A403" s="51" t="s">
        <v>67</v>
      </c>
      <c r="B403" s="106"/>
      <c r="C403" s="128">
        <f>SUM(C405:C411)</f>
        <v>1500</v>
      </c>
      <c r="D403" s="129">
        <f>SUM(D405:D411)</f>
        <v>0</v>
      </c>
      <c r="E403" s="129">
        <f>SUM(E405:E411)</f>
        <v>0</v>
      </c>
      <c r="F403" s="130">
        <f>SUM(F405:F411)</f>
        <v>1500</v>
      </c>
      <c r="G403" s="212">
        <f aca="true" t="shared" si="113" ref="G403:Q403">SUM(G405:G411)</f>
        <v>200</v>
      </c>
      <c r="H403" s="213">
        <f t="shared" si="113"/>
        <v>18746.47</v>
      </c>
      <c r="I403" s="214">
        <f t="shared" si="113"/>
        <v>20446.47</v>
      </c>
      <c r="J403" s="212">
        <f t="shared" si="113"/>
        <v>0</v>
      </c>
      <c r="K403" s="129">
        <f t="shared" si="113"/>
        <v>0</v>
      </c>
      <c r="L403" s="214">
        <f t="shared" si="113"/>
        <v>20446.47</v>
      </c>
      <c r="M403" s="128">
        <f t="shared" si="113"/>
        <v>0</v>
      </c>
      <c r="N403" s="129">
        <f t="shared" si="113"/>
        <v>0</v>
      </c>
      <c r="O403" s="130">
        <f t="shared" si="113"/>
        <v>1700</v>
      </c>
      <c r="P403" s="128">
        <f t="shared" si="113"/>
        <v>0</v>
      </c>
      <c r="Q403" s="130">
        <f t="shared" si="113"/>
        <v>1700</v>
      </c>
    </row>
    <row r="404" spans="1:17" ht="12.75">
      <c r="A404" s="47" t="s">
        <v>33</v>
      </c>
      <c r="B404" s="102"/>
      <c r="C404" s="121"/>
      <c r="D404" s="119"/>
      <c r="E404" s="119"/>
      <c r="F404" s="120"/>
      <c r="G404" s="202"/>
      <c r="H404" s="203"/>
      <c r="I404" s="201"/>
      <c r="J404" s="202"/>
      <c r="K404" s="7"/>
      <c r="L404" s="201"/>
      <c r="M404" s="29"/>
      <c r="N404" s="7"/>
      <c r="O404" s="30"/>
      <c r="P404" s="85"/>
      <c r="Q404" s="193"/>
    </row>
    <row r="405" spans="1:17" ht="12.75" hidden="1">
      <c r="A405" s="49" t="s">
        <v>80</v>
      </c>
      <c r="B405" s="102"/>
      <c r="C405" s="121"/>
      <c r="D405" s="119"/>
      <c r="E405" s="119"/>
      <c r="F405" s="120">
        <f aca="true" t="shared" si="114" ref="F405:F411">C405+D405+E405</f>
        <v>0</v>
      </c>
      <c r="G405" s="202"/>
      <c r="H405" s="203"/>
      <c r="I405" s="201">
        <f aca="true" t="shared" si="115" ref="I405:I411">F405+G405+H405</f>
        <v>0</v>
      </c>
      <c r="J405" s="202"/>
      <c r="K405" s="7"/>
      <c r="L405" s="201">
        <f>I405+J405+K405</f>
        <v>0</v>
      </c>
      <c r="M405" s="29"/>
      <c r="N405" s="7"/>
      <c r="O405" s="30">
        <f>L405+M405+N405</f>
        <v>0</v>
      </c>
      <c r="P405" s="85"/>
      <c r="Q405" s="193">
        <f>O405+P405</f>
        <v>0</v>
      </c>
    </row>
    <row r="406" spans="1:17" ht="12.75" hidden="1">
      <c r="A406" s="49" t="s">
        <v>238</v>
      </c>
      <c r="B406" s="102"/>
      <c r="C406" s="121"/>
      <c r="D406" s="119"/>
      <c r="E406" s="119"/>
      <c r="F406" s="120">
        <f t="shared" si="114"/>
        <v>0</v>
      </c>
      <c r="G406" s="202"/>
      <c r="H406" s="203"/>
      <c r="I406" s="201">
        <f t="shared" si="115"/>
        <v>0</v>
      </c>
      <c r="J406" s="202"/>
      <c r="K406" s="7"/>
      <c r="L406" s="201"/>
      <c r="M406" s="29"/>
      <c r="N406" s="7"/>
      <c r="O406" s="30"/>
      <c r="P406" s="85"/>
      <c r="Q406" s="193"/>
    </row>
    <row r="407" spans="1:17" ht="12.75" hidden="1">
      <c r="A407" s="49" t="s">
        <v>239</v>
      </c>
      <c r="B407" s="102"/>
      <c r="C407" s="121"/>
      <c r="D407" s="119"/>
      <c r="E407" s="119"/>
      <c r="F407" s="120">
        <f t="shared" si="114"/>
        <v>0</v>
      </c>
      <c r="G407" s="202"/>
      <c r="H407" s="203"/>
      <c r="I407" s="201">
        <f t="shared" si="115"/>
        <v>0</v>
      </c>
      <c r="J407" s="202"/>
      <c r="K407" s="7"/>
      <c r="L407" s="201"/>
      <c r="M407" s="29"/>
      <c r="N407" s="7"/>
      <c r="O407" s="30"/>
      <c r="P407" s="85"/>
      <c r="Q407" s="193"/>
    </row>
    <row r="408" spans="1:17" ht="12.75">
      <c r="A408" s="45" t="s">
        <v>90</v>
      </c>
      <c r="B408" s="102"/>
      <c r="C408" s="121"/>
      <c r="D408" s="119"/>
      <c r="E408" s="119"/>
      <c r="F408" s="120">
        <f t="shared" si="114"/>
        <v>0</v>
      </c>
      <c r="G408" s="202"/>
      <c r="H408" s="203">
        <f>18746.47</f>
        <v>18746.47</v>
      </c>
      <c r="I408" s="201">
        <f t="shared" si="115"/>
        <v>18746.47</v>
      </c>
      <c r="J408" s="202"/>
      <c r="K408" s="7"/>
      <c r="L408" s="201">
        <f>I408+J408+K408</f>
        <v>18746.47</v>
      </c>
      <c r="M408" s="29"/>
      <c r="N408" s="7"/>
      <c r="O408" s="30"/>
      <c r="P408" s="85"/>
      <c r="Q408" s="193"/>
    </row>
    <row r="409" spans="1:17" ht="12.75">
      <c r="A409" s="48" t="s">
        <v>68</v>
      </c>
      <c r="B409" s="105"/>
      <c r="C409" s="131">
        <v>1500</v>
      </c>
      <c r="D409" s="132"/>
      <c r="E409" s="132"/>
      <c r="F409" s="169">
        <f t="shared" si="114"/>
        <v>1500</v>
      </c>
      <c r="G409" s="215">
        <f>200</f>
        <v>200</v>
      </c>
      <c r="H409" s="216"/>
      <c r="I409" s="217">
        <f t="shared" si="115"/>
        <v>1700</v>
      </c>
      <c r="J409" s="215"/>
      <c r="K409" s="10"/>
      <c r="L409" s="217">
        <f>I409+J409+K409</f>
        <v>1700</v>
      </c>
      <c r="M409" s="33"/>
      <c r="N409" s="10"/>
      <c r="O409" s="34">
        <f>L409+M409+N409</f>
        <v>1700</v>
      </c>
      <c r="P409" s="90"/>
      <c r="Q409" s="194">
        <f>O409+P409</f>
        <v>1700</v>
      </c>
    </row>
    <row r="410" spans="1:17" ht="12.75" hidden="1">
      <c r="A410" s="45" t="s">
        <v>90</v>
      </c>
      <c r="B410" s="102"/>
      <c r="C410" s="121"/>
      <c r="D410" s="119"/>
      <c r="E410" s="119"/>
      <c r="F410" s="120">
        <f t="shared" si="114"/>
        <v>0</v>
      </c>
      <c r="G410" s="202"/>
      <c r="H410" s="203"/>
      <c r="I410" s="201">
        <f t="shared" si="115"/>
        <v>0</v>
      </c>
      <c r="J410" s="202"/>
      <c r="K410" s="7"/>
      <c r="L410" s="201">
        <f>I410+J410+K410</f>
        <v>0</v>
      </c>
      <c r="M410" s="29"/>
      <c r="N410" s="7"/>
      <c r="O410" s="30">
        <f>L410+M410+N410</f>
        <v>0</v>
      </c>
      <c r="P410" s="85"/>
      <c r="Q410" s="193">
        <f>O410+P410</f>
        <v>0</v>
      </c>
    </row>
    <row r="411" spans="1:17" ht="12.75" hidden="1">
      <c r="A411" s="55" t="s">
        <v>225</v>
      </c>
      <c r="B411" s="105"/>
      <c r="C411" s="131"/>
      <c r="D411" s="132"/>
      <c r="E411" s="132"/>
      <c r="F411" s="169">
        <f t="shared" si="114"/>
        <v>0</v>
      </c>
      <c r="G411" s="215"/>
      <c r="H411" s="216"/>
      <c r="I411" s="217">
        <f t="shared" si="115"/>
        <v>0</v>
      </c>
      <c r="J411" s="215"/>
      <c r="K411" s="10"/>
      <c r="L411" s="217">
        <f>I411+J411+K411</f>
        <v>0</v>
      </c>
      <c r="M411" s="33"/>
      <c r="N411" s="10"/>
      <c r="O411" s="34">
        <f>L411+M411+N411</f>
        <v>0</v>
      </c>
      <c r="P411" s="90"/>
      <c r="Q411" s="194">
        <f>O411+P411</f>
        <v>0</v>
      </c>
    </row>
    <row r="412" spans="1:17" ht="12.75">
      <c r="A412" s="42" t="s">
        <v>116</v>
      </c>
      <c r="B412" s="106"/>
      <c r="C412" s="116">
        <f>C413+C416</f>
        <v>3304.9</v>
      </c>
      <c r="D412" s="117">
        <f>D413+D416</f>
        <v>0</v>
      </c>
      <c r="E412" s="117">
        <f>E413+E416</f>
        <v>0</v>
      </c>
      <c r="F412" s="118">
        <f>F413+F416</f>
        <v>3304.9</v>
      </c>
      <c r="G412" s="198">
        <f aca="true" t="shared" si="116" ref="G412:Q412">G413+G416</f>
        <v>0</v>
      </c>
      <c r="H412" s="199">
        <f t="shared" si="116"/>
        <v>0</v>
      </c>
      <c r="I412" s="200">
        <f t="shared" si="116"/>
        <v>3304.9</v>
      </c>
      <c r="J412" s="198">
        <f t="shared" si="116"/>
        <v>0</v>
      </c>
      <c r="K412" s="117">
        <f t="shared" si="116"/>
        <v>0</v>
      </c>
      <c r="L412" s="200">
        <f t="shared" si="116"/>
        <v>3304.9</v>
      </c>
      <c r="M412" s="116">
        <f t="shared" si="116"/>
        <v>0</v>
      </c>
      <c r="N412" s="117">
        <f t="shared" si="116"/>
        <v>0</v>
      </c>
      <c r="O412" s="118">
        <f t="shared" si="116"/>
        <v>3304.9</v>
      </c>
      <c r="P412" s="116">
        <f t="shared" si="116"/>
        <v>0</v>
      </c>
      <c r="Q412" s="118">
        <f t="shared" si="116"/>
        <v>3304.9</v>
      </c>
    </row>
    <row r="413" spans="1:17" ht="12.75">
      <c r="A413" s="51" t="s">
        <v>62</v>
      </c>
      <c r="B413" s="106"/>
      <c r="C413" s="128">
        <f>SUM(C415:C415)</f>
        <v>3304.9</v>
      </c>
      <c r="D413" s="129">
        <f>SUM(D415:D415)</f>
        <v>0</v>
      </c>
      <c r="E413" s="129">
        <f>SUM(E415:E415)</f>
        <v>0</v>
      </c>
      <c r="F413" s="130">
        <f>SUM(F415:F415)</f>
        <v>3304.9</v>
      </c>
      <c r="G413" s="212">
        <f aca="true" t="shared" si="117" ref="G413:Q413">SUM(G415:G415)</f>
        <v>0</v>
      </c>
      <c r="H413" s="213">
        <f t="shared" si="117"/>
        <v>0</v>
      </c>
      <c r="I413" s="214">
        <f t="shared" si="117"/>
        <v>3304.9</v>
      </c>
      <c r="J413" s="212">
        <f t="shared" si="117"/>
        <v>0</v>
      </c>
      <c r="K413" s="129">
        <f t="shared" si="117"/>
        <v>0</v>
      </c>
      <c r="L413" s="214">
        <f t="shared" si="117"/>
        <v>3304.9</v>
      </c>
      <c r="M413" s="128">
        <f t="shared" si="117"/>
        <v>0</v>
      </c>
      <c r="N413" s="129">
        <f t="shared" si="117"/>
        <v>0</v>
      </c>
      <c r="O413" s="130">
        <f t="shared" si="117"/>
        <v>3304.9</v>
      </c>
      <c r="P413" s="128">
        <f t="shared" si="117"/>
        <v>0</v>
      </c>
      <c r="Q413" s="130">
        <f t="shared" si="117"/>
        <v>3304.9</v>
      </c>
    </row>
    <row r="414" spans="1:17" ht="12.75">
      <c r="A414" s="47" t="s">
        <v>33</v>
      </c>
      <c r="B414" s="102"/>
      <c r="C414" s="121"/>
      <c r="D414" s="119"/>
      <c r="E414" s="119"/>
      <c r="F414" s="118"/>
      <c r="G414" s="202"/>
      <c r="H414" s="203"/>
      <c r="I414" s="200"/>
      <c r="J414" s="202"/>
      <c r="K414" s="7"/>
      <c r="L414" s="200"/>
      <c r="M414" s="29"/>
      <c r="N414" s="7"/>
      <c r="O414" s="28"/>
      <c r="P414" s="85"/>
      <c r="Q414" s="193"/>
    </row>
    <row r="415" spans="1:17" ht="12.75">
      <c r="A415" s="48" t="s">
        <v>64</v>
      </c>
      <c r="B415" s="105"/>
      <c r="C415" s="138">
        <v>3304.9</v>
      </c>
      <c r="D415" s="132"/>
      <c r="E415" s="132"/>
      <c r="F415" s="169">
        <f>C415+D415+E415</f>
        <v>3304.9</v>
      </c>
      <c r="G415" s="215"/>
      <c r="H415" s="216"/>
      <c r="I415" s="217">
        <f>F415+G415+H415</f>
        <v>3304.9</v>
      </c>
      <c r="J415" s="215"/>
      <c r="K415" s="10"/>
      <c r="L415" s="217">
        <f>I415+J415+K415</f>
        <v>3304.9</v>
      </c>
      <c r="M415" s="33"/>
      <c r="N415" s="10"/>
      <c r="O415" s="34">
        <f>L415+M415+N415</f>
        <v>3304.9</v>
      </c>
      <c r="P415" s="90"/>
      <c r="Q415" s="194">
        <f>O415+P415</f>
        <v>3304.9</v>
      </c>
    </row>
    <row r="416" spans="1:17" ht="12.75" hidden="1">
      <c r="A416" s="51" t="s">
        <v>67</v>
      </c>
      <c r="B416" s="106"/>
      <c r="C416" s="128">
        <f aca="true" t="shared" si="118" ref="C416:O416">SUM(C418:C418)</f>
        <v>0</v>
      </c>
      <c r="D416" s="129">
        <f t="shared" si="118"/>
        <v>0</v>
      </c>
      <c r="E416" s="129">
        <f>SUM(E418:E418)</f>
        <v>0</v>
      </c>
      <c r="F416" s="130">
        <f t="shared" si="118"/>
        <v>0</v>
      </c>
      <c r="G416" s="212"/>
      <c r="H416" s="213"/>
      <c r="I416" s="214">
        <f t="shared" si="118"/>
        <v>0</v>
      </c>
      <c r="J416" s="212"/>
      <c r="K416" s="11"/>
      <c r="L416" s="214">
        <f t="shared" si="118"/>
        <v>0</v>
      </c>
      <c r="M416" s="35"/>
      <c r="N416" s="11"/>
      <c r="O416" s="36">
        <f t="shared" si="118"/>
        <v>0</v>
      </c>
      <c r="P416" s="85"/>
      <c r="Q416" s="193">
        <f>O416+P416</f>
        <v>0</v>
      </c>
    </row>
    <row r="417" spans="1:17" ht="12.75" hidden="1">
      <c r="A417" s="47" t="s">
        <v>33</v>
      </c>
      <c r="B417" s="102"/>
      <c r="C417" s="121"/>
      <c r="D417" s="119"/>
      <c r="E417" s="119"/>
      <c r="F417" s="120"/>
      <c r="G417" s="202"/>
      <c r="H417" s="203"/>
      <c r="I417" s="201"/>
      <c r="J417" s="202"/>
      <c r="K417" s="7"/>
      <c r="L417" s="201"/>
      <c r="M417" s="29"/>
      <c r="N417" s="7"/>
      <c r="O417" s="30"/>
      <c r="P417" s="85"/>
      <c r="Q417" s="193"/>
    </row>
    <row r="418" spans="1:17" ht="12.75" hidden="1">
      <c r="A418" s="48" t="s">
        <v>68</v>
      </c>
      <c r="B418" s="105"/>
      <c r="C418" s="131"/>
      <c r="D418" s="132"/>
      <c r="E418" s="132"/>
      <c r="F418" s="169">
        <f>C418+D418+E418</f>
        <v>0</v>
      </c>
      <c r="G418" s="215"/>
      <c r="H418" s="216"/>
      <c r="I418" s="217">
        <f>F418+G418+H418</f>
        <v>0</v>
      </c>
      <c r="J418" s="215"/>
      <c r="K418" s="10"/>
      <c r="L418" s="217">
        <f>I418+J418+K418</f>
        <v>0</v>
      </c>
      <c r="M418" s="33"/>
      <c r="N418" s="10"/>
      <c r="O418" s="34">
        <f>L418+M418+N418</f>
        <v>0</v>
      </c>
      <c r="P418" s="90"/>
      <c r="Q418" s="194">
        <f>O418+P418</f>
        <v>0</v>
      </c>
    </row>
    <row r="419" spans="1:17" ht="12.75">
      <c r="A419" s="42" t="s">
        <v>117</v>
      </c>
      <c r="B419" s="106"/>
      <c r="C419" s="116">
        <f aca="true" t="shared" si="119" ref="C419:Q419">C420</f>
        <v>57799.6</v>
      </c>
      <c r="D419" s="117">
        <f t="shared" si="119"/>
        <v>22112.02</v>
      </c>
      <c r="E419" s="117">
        <f t="shared" si="119"/>
        <v>0</v>
      </c>
      <c r="F419" s="118">
        <f t="shared" si="119"/>
        <v>79911.62</v>
      </c>
      <c r="G419" s="198">
        <f t="shared" si="119"/>
        <v>-938.3900000000001</v>
      </c>
      <c r="H419" s="199">
        <f t="shared" si="119"/>
        <v>0</v>
      </c>
      <c r="I419" s="200">
        <f t="shared" si="119"/>
        <v>78973.23</v>
      </c>
      <c r="J419" s="198">
        <f t="shared" si="119"/>
        <v>0</v>
      </c>
      <c r="K419" s="117">
        <f t="shared" si="119"/>
        <v>0</v>
      </c>
      <c r="L419" s="200">
        <f t="shared" si="119"/>
        <v>78973.23</v>
      </c>
      <c r="M419" s="116">
        <f t="shared" si="119"/>
        <v>0</v>
      </c>
      <c r="N419" s="117">
        <f t="shared" si="119"/>
        <v>0</v>
      </c>
      <c r="O419" s="118">
        <f t="shared" si="119"/>
        <v>78973.23</v>
      </c>
      <c r="P419" s="116">
        <f t="shared" si="119"/>
        <v>0</v>
      </c>
      <c r="Q419" s="118">
        <f t="shared" si="119"/>
        <v>78973.23</v>
      </c>
    </row>
    <row r="420" spans="1:17" ht="12.75">
      <c r="A420" s="51" t="s">
        <v>62</v>
      </c>
      <c r="B420" s="106"/>
      <c r="C420" s="128">
        <f>SUM(C422:C425)</f>
        <v>57799.6</v>
      </c>
      <c r="D420" s="129">
        <f>SUM(D422:D425)</f>
        <v>22112.02</v>
      </c>
      <c r="E420" s="129">
        <f>SUM(E422:E425)</f>
        <v>0</v>
      </c>
      <c r="F420" s="130">
        <f>SUM(F422:F425)</f>
        <v>79911.62</v>
      </c>
      <c r="G420" s="212">
        <f aca="true" t="shared" si="120" ref="G420:Q420">SUM(G422:G425)</f>
        <v>-938.3900000000001</v>
      </c>
      <c r="H420" s="213">
        <f t="shared" si="120"/>
        <v>0</v>
      </c>
      <c r="I420" s="214">
        <f t="shared" si="120"/>
        <v>78973.23</v>
      </c>
      <c r="J420" s="212">
        <f t="shared" si="120"/>
        <v>0</v>
      </c>
      <c r="K420" s="129">
        <f t="shared" si="120"/>
        <v>0</v>
      </c>
      <c r="L420" s="214">
        <f t="shared" si="120"/>
        <v>78973.23</v>
      </c>
      <c r="M420" s="128">
        <f t="shared" si="120"/>
        <v>0</v>
      </c>
      <c r="N420" s="129">
        <f t="shared" si="120"/>
        <v>0</v>
      </c>
      <c r="O420" s="130">
        <f t="shared" si="120"/>
        <v>78973.23</v>
      </c>
      <c r="P420" s="128">
        <f t="shared" si="120"/>
        <v>0</v>
      </c>
      <c r="Q420" s="130">
        <f t="shared" si="120"/>
        <v>78973.23</v>
      </c>
    </row>
    <row r="421" spans="1:17" ht="12.75">
      <c r="A421" s="47" t="s">
        <v>33</v>
      </c>
      <c r="B421" s="102"/>
      <c r="C421" s="116"/>
      <c r="D421" s="117"/>
      <c r="E421" s="117"/>
      <c r="F421" s="118"/>
      <c r="G421" s="198"/>
      <c r="H421" s="199"/>
      <c r="I421" s="200"/>
      <c r="J421" s="198"/>
      <c r="K421" s="6"/>
      <c r="L421" s="200"/>
      <c r="M421" s="27"/>
      <c r="N421" s="6"/>
      <c r="O421" s="28"/>
      <c r="P421" s="85"/>
      <c r="Q421" s="193"/>
    </row>
    <row r="422" spans="1:17" ht="12.75">
      <c r="A422" s="103" t="s">
        <v>240</v>
      </c>
      <c r="B422" s="102"/>
      <c r="C422" s="121">
        <v>15048.4</v>
      </c>
      <c r="D422" s="119"/>
      <c r="E422" s="119"/>
      <c r="F422" s="120">
        <f>C422+D422+E422</f>
        <v>15048.4</v>
      </c>
      <c r="G422" s="202">
        <f>-140.26-117.43-380-300.7</f>
        <v>-938.3900000000001</v>
      </c>
      <c r="H422" s="203"/>
      <c r="I422" s="201">
        <f>F422+G422+H422</f>
        <v>14110.01</v>
      </c>
      <c r="J422" s="222"/>
      <c r="K422" s="7"/>
      <c r="L422" s="201">
        <f>I422+J422+K422</f>
        <v>14110.01</v>
      </c>
      <c r="M422" s="29"/>
      <c r="N422" s="7"/>
      <c r="O422" s="30">
        <f>L422+M422+N422</f>
        <v>14110.01</v>
      </c>
      <c r="P422" s="85"/>
      <c r="Q422" s="193">
        <f>O422+P422</f>
        <v>14110.01</v>
      </c>
    </row>
    <row r="423" spans="1:17" ht="12.75">
      <c r="A423" s="54" t="s">
        <v>118</v>
      </c>
      <c r="B423" s="102"/>
      <c r="C423" s="121"/>
      <c r="D423" s="136">
        <f>21194.74</f>
        <v>21194.74</v>
      </c>
      <c r="E423" s="119"/>
      <c r="F423" s="120">
        <f>C423+D423+E423</f>
        <v>21194.74</v>
      </c>
      <c r="G423" s="202"/>
      <c r="H423" s="203"/>
      <c r="I423" s="201">
        <f>F423+G423+H423</f>
        <v>21194.74</v>
      </c>
      <c r="J423" s="202"/>
      <c r="K423" s="7"/>
      <c r="L423" s="201">
        <f>I423+J423+K423</f>
        <v>21194.74</v>
      </c>
      <c r="M423" s="29"/>
      <c r="N423" s="7"/>
      <c r="O423" s="30">
        <f>L423+M423+N423</f>
        <v>21194.74</v>
      </c>
      <c r="P423" s="85"/>
      <c r="Q423" s="193">
        <f>O423+P423</f>
        <v>21194.74</v>
      </c>
    </row>
    <row r="424" spans="1:17" ht="12.75">
      <c r="A424" s="54" t="s">
        <v>119</v>
      </c>
      <c r="B424" s="102"/>
      <c r="C424" s="121"/>
      <c r="D424" s="119">
        <f>917.28</f>
        <v>917.28</v>
      </c>
      <c r="E424" s="119"/>
      <c r="F424" s="120">
        <f>C424+D424+E424</f>
        <v>917.28</v>
      </c>
      <c r="G424" s="202"/>
      <c r="H424" s="203"/>
      <c r="I424" s="201">
        <f>F424+G424+H424</f>
        <v>917.28</v>
      </c>
      <c r="J424" s="202"/>
      <c r="K424" s="7"/>
      <c r="L424" s="201">
        <f>I424+J424+K424</f>
        <v>917.28</v>
      </c>
      <c r="M424" s="29"/>
      <c r="N424" s="7"/>
      <c r="O424" s="30">
        <f>L424+M424+N424</f>
        <v>917.28</v>
      </c>
      <c r="P424" s="85"/>
      <c r="Q424" s="193">
        <f>O424+P424</f>
        <v>917.28</v>
      </c>
    </row>
    <row r="425" spans="1:17" ht="12.75">
      <c r="A425" s="48" t="s">
        <v>64</v>
      </c>
      <c r="B425" s="105"/>
      <c r="C425" s="131">
        <v>42751.2</v>
      </c>
      <c r="D425" s="132"/>
      <c r="E425" s="132"/>
      <c r="F425" s="169">
        <f>C425+D425+E425</f>
        <v>42751.2</v>
      </c>
      <c r="G425" s="215"/>
      <c r="H425" s="216"/>
      <c r="I425" s="217">
        <f>F425+G425+H425</f>
        <v>42751.2</v>
      </c>
      <c r="J425" s="215"/>
      <c r="K425" s="10"/>
      <c r="L425" s="217">
        <f>I425+J425+K425</f>
        <v>42751.2</v>
      </c>
      <c r="M425" s="33"/>
      <c r="N425" s="10"/>
      <c r="O425" s="34">
        <f>L425+M425+N425</f>
        <v>42751.2</v>
      </c>
      <c r="P425" s="90"/>
      <c r="Q425" s="194">
        <f>O425+P425</f>
        <v>42751.2</v>
      </c>
    </row>
    <row r="426" spans="1:17" ht="12.75">
      <c r="A426" s="42" t="s">
        <v>199</v>
      </c>
      <c r="B426" s="106"/>
      <c r="C426" s="116">
        <f>C427+C441</f>
        <v>95919.4</v>
      </c>
      <c r="D426" s="117">
        <f>D427+D441</f>
        <v>79342.31</v>
      </c>
      <c r="E426" s="117">
        <f>E427+E441</f>
        <v>0</v>
      </c>
      <c r="F426" s="118">
        <f>F427+F441</f>
        <v>175261.71</v>
      </c>
      <c r="G426" s="198">
        <f aca="true" t="shared" si="121" ref="G426:Q426">G427+G441</f>
        <v>11085</v>
      </c>
      <c r="H426" s="199">
        <f t="shared" si="121"/>
        <v>260.96000000000004</v>
      </c>
      <c r="I426" s="200">
        <f t="shared" si="121"/>
        <v>186607.66999999998</v>
      </c>
      <c r="J426" s="198">
        <f t="shared" si="121"/>
        <v>18820.29</v>
      </c>
      <c r="K426" s="117">
        <f t="shared" si="121"/>
        <v>0</v>
      </c>
      <c r="L426" s="200">
        <f t="shared" si="121"/>
        <v>205427.96</v>
      </c>
      <c r="M426" s="116">
        <f t="shared" si="121"/>
        <v>0</v>
      </c>
      <c r="N426" s="117">
        <f t="shared" si="121"/>
        <v>0</v>
      </c>
      <c r="O426" s="118">
        <f t="shared" si="121"/>
        <v>0</v>
      </c>
      <c r="P426" s="116">
        <f t="shared" si="121"/>
        <v>0</v>
      </c>
      <c r="Q426" s="118">
        <f t="shared" si="121"/>
        <v>0</v>
      </c>
    </row>
    <row r="427" spans="1:17" ht="12.75">
      <c r="A427" s="51" t="s">
        <v>62</v>
      </c>
      <c r="B427" s="106"/>
      <c r="C427" s="128">
        <f>SUM(C428:C440)</f>
        <v>60419.399999999994</v>
      </c>
      <c r="D427" s="129">
        <f>SUM(D428:D440)</f>
        <v>38936.310000000005</v>
      </c>
      <c r="E427" s="129">
        <f>SUM(E428:E439)</f>
        <v>2938.1</v>
      </c>
      <c r="F427" s="130">
        <f>SUM(F428:F440)</f>
        <v>102293.81</v>
      </c>
      <c r="G427" s="212">
        <f aca="true" t="shared" si="122" ref="G427:Q427">SUM(G428:G440)</f>
        <v>-299.39999999999964</v>
      </c>
      <c r="H427" s="213">
        <f t="shared" si="122"/>
        <v>-2602.04</v>
      </c>
      <c r="I427" s="214">
        <f t="shared" si="122"/>
        <v>99392.37</v>
      </c>
      <c r="J427" s="212">
        <f t="shared" si="122"/>
        <v>-4653.34</v>
      </c>
      <c r="K427" s="129">
        <f t="shared" si="122"/>
        <v>0</v>
      </c>
      <c r="L427" s="214">
        <f t="shared" si="122"/>
        <v>94739.03</v>
      </c>
      <c r="M427" s="128">
        <f t="shared" si="122"/>
        <v>0</v>
      </c>
      <c r="N427" s="129">
        <f t="shared" si="122"/>
        <v>0</v>
      </c>
      <c r="O427" s="130">
        <f t="shared" si="122"/>
        <v>0</v>
      </c>
      <c r="P427" s="128">
        <f t="shared" si="122"/>
        <v>0</v>
      </c>
      <c r="Q427" s="130">
        <f t="shared" si="122"/>
        <v>0</v>
      </c>
    </row>
    <row r="428" spans="1:17" ht="12.75">
      <c r="A428" s="45" t="s">
        <v>230</v>
      </c>
      <c r="B428" s="102">
        <v>1202</v>
      </c>
      <c r="C428" s="121">
        <v>6725</v>
      </c>
      <c r="D428" s="119">
        <f>486.88</f>
        <v>486.88</v>
      </c>
      <c r="E428" s="119"/>
      <c r="F428" s="120">
        <f aca="true" t="shared" si="123" ref="F428:F440">C428+D428+E428</f>
        <v>7211.88</v>
      </c>
      <c r="G428" s="202"/>
      <c r="H428" s="203">
        <f>-2363</f>
        <v>-2363</v>
      </c>
      <c r="I428" s="201">
        <f>F428+G428+H428</f>
        <v>4848.88</v>
      </c>
      <c r="J428" s="202"/>
      <c r="K428" s="7"/>
      <c r="L428" s="201">
        <f>I428+J428+K428</f>
        <v>4848.88</v>
      </c>
      <c r="M428" s="29"/>
      <c r="N428" s="7"/>
      <c r="O428" s="30"/>
      <c r="P428" s="85"/>
      <c r="Q428" s="193"/>
    </row>
    <row r="429" spans="1:17" ht="12.75">
      <c r="A429" s="45" t="s">
        <v>231</v>
      </c>
      <c r="B429" s="102">
        <v>1208</v>
      </c>
      <c r="C429" s="121">
        <v>2500</v>
      </c>
      <c r="D429" s="119">
        <f>2</f>
        <v>2</v>
      </c>
      <c r="E429" s="119"/>
      <c r="F429" s="120">
        <f t="shared" si="123"/>
        <v>2502</v>
      </c>
      <c r="G429" s="202"/>
      <c r="H429" s="203"/>
      <c r="I429" s="201">
        <f aca="true" t="shared" si="124" ref="I429:I440">F429+G429+H429</f>
        <v>2502</v>
      </c>
      <c r="J429" s="202"/>
      <c r="K429" s="7"/>
      <c r="L429" s="201">
        <f aca="true" t="shared" si="125" ref="L429:L440">I429+J429+K429</f>
        <v>2502</v>
      </c>
      <c r="M429" s="29"/>
      <c r="N429" s="7"/>
      <c r="O429" s="30"/>
      <c r="P429" s="85"/>
      <c r="Q429" s="193"/>
    </row>
    <row r="430" spans="1:17" ht="12.75">
      <c r="A430" s="45" t="s">
        <v>232</v>
      </c>
      <c r="B430" s="102">
        <v>1207</v>
      </c>
      <c r="C430" s="121">
        <v>5420</v>
      </c>
      <c r="D430" s="119">
        <f>198.64</f>
        <v>198.64</v>
      </c>
      <c r="E430" s="119"/>
      <c r="F430" s="120">
        <f t="shared" si="123"/>
        <v>5618.64</v>
      </c>
      <c r="G430" s="202">
        <f>1500</f>
        <v>1500</v>
      </c>
      <c r="H430" s="203"/>
      <c r="I430" s="201">
        <f t="shared" si="124"/>
        <v>7118.64</v>
      </c>
      <c r="J430" s="202"/>
      <c r="K430" s="7"/>
      <c r="L430" s="201">
        <f t="shared" si="125"/>
        <v>7118.64</v>
      </c>
      <c r="M430" s="29"/>
      <c r="N430" s="7"/>
      <c r="O430" s="30"/>
      <c r="P430" s="85"/>
      <c r="Q430" s="193"/>
    </row>
    <row r="431" spans="1:17" ht="12.75">
      <c r="A431" s="45" t="s">
        <v>272</v>
      </c>
      <c r="B431" s="102">
        <v>1209</v>
      </c>
      <c r="C431" s="121">
        <v>3460</v>
      </c>
      <c r="D431" s="119">
        <f>59.69</f>
        <v>59.69</v>
      </c>
      <c r="E431" s="119"/>
      <c r="F431" s="120">
        <f t="shared" si="123"/>
        <v>3519.69</v>
      </c>
      <c r="G431" s="202">
        <f>-600</f>
        <v>-600</v>
      </c>
      <c r="H431" s="203"/>
      <c r="I431" s="201">
        <f t="shared" si="124"/>
        <v>2919.69</v>
      </c>
      <c r="J431" s="202"/>
      <c r="K431" s="7"/>
      <c r="L431" s="201">
        <f t="shared" si="125"/>
        <v>2919.69</v>
      </c>
      <c r="M431" s="29"/>
      <c r="N431" s="7"/>
      <c r="O431" s="30"/>
      <c r="P431" s="85"/>
      <c r="Q431" s="193"/>
    </row>
    <row r="432" spans="1:17" ht="12.75">
      <c r="A432" s="45" t="s">
        <v>233</v>
      </c>
      <c r="B432" s="102">
        <v>1211</v>
      </c>
      <c r="C432" s="121">
        <v>4279</v>
      </c>
      <c r="D432" s="136">
        <f>2.81</f>
        <v>2.81</v>
      </c>
      <c r="E432" s="136"/>
      <c r="F432" s="120">
        <f t="shared" si="123"/>
        <v>4281.81</v>
      </c>
      <c r="G432" s="202"/>
      <c r="H432" s="203">
        <f>22.96</f>
        <v>22.96</v>
      </c>
      <c r="I432" s="201">
        <f t="shared" si="124"/>
        <v>4304.77</v>
      </c>
      <c r="J432" s="202"/>
      <c r="K432" s="7"/>
      <c r="L432" s="201">
        <f t="shared" si="125"/>
        <v>4304.77</v>
      </c>
      <c r="M432" s="29"/>
      <c r="N432" s="7"/>
      <c r="O432" s="30"/>
      <c r="P432" s="85"/>
      <c r="Q432" s="193"/>
    </row>
    <row r="433" spans="1:17" ht="12.75">
      <c r="A433" s="45" t="s">
        <v>260</v>
      </c>
      <c r="B433" s="102">
        <v>1214</v>
      </c>
      <c r="C433" s="121">
        <v>1050</v>
      </c>
      <c r="D433" s="119">
        <v>-1050</v>
      </c>
      <c r="E433" s="119"/>
      <c r="F433" s="120">
        <f t="shared" si="123"/>
        <v>0</v>
      </c>
      <c r="G433" s="202"/>
      <c r="H433" s="203"/>
      <c r="I433" s="201">
        <f t="shared" si="124"/>
        <v>0</v>
      </c>
      <c r="J433" s="202"/>
      <c r="K433" s="7"/>
      <c r="L433" s="201">
        <f t="shared" si="125"/>
        <v>0</v>
      </c>
      <c r="M433" s="29"/>
      <c r="N433" s="7"/>
      <c r="O433" s="30"/>
      <c r="P433" s="85"/>
      <c r="Q433" s="193"/>
    </row>
    <row r="434" spans="1:17" ht="12.75">
      <c r="A434" s="45" t="s">
        <v>312</v>
      </c>
      <c r="B434" s="102">
        <v>1214</v>
      </c>
      <c r="C434" s="121"/>
      <c r="D434" s="136">
        <f>409+21</f>
        <v>430</v>
      </c>
      <c r="E434" s="119"/>
      <c r="F434" s="120">
        <f t="shared" si="123"/>
        <v>430</v>
      </c>
      <c r="G434" s="202">
        <f>1000</f>
        <v>1000</v>
      </c>
      <c r="H434" s="203"/>
      <c r="I434" s="201">
        <f t="shared" si="124"/>
        <v>1430</v>
      </c>
      <c r="J434" s="202"/>
      <c r="K434" s="7"/>
      <c r="L434" s="201">
        <f t="shared" si="125"/>
        <v>1430</v>
      </c>
      <c r="M434" s="29"/>
      <c r="N434" s="7"/>
      <c r="O434" s="30"/>
      <c r="P434" s="85"/>
      <c r="Q434" s="193"/>
    </row>
    <row r="435" spans="1:17" ht="12.75">
      <c r="A435" s="45" t="s">
        <v>313</v>
      </c>
      <c r="B435" s="102"/>
      <c r="C435" s="121"/>
      <c r="D435" s="136">
        <f>641+21.41</f>
        <v>662.41</v>
      </c>
      <c r="E435" s="119"/>
      <c r="F435" s="120">
        <f t="shared" si="123"/>
        <v>662.41</v>
      </c>
      <c r="G435" s="202"/>
      <c r="H435" s="203">
        <f>238</f>
        <v>238</v>
      </c>
      <c r="I435" s="201">
        <f t="shared" si="124"/>
        <v>900.41</v>
      </c>
      <c r="J435" s="202"/>
      <c r="K435" s="7"/>
      <c r="L435" s="201">
        <f t="shared" si="125"/>
        <v>900.41</v>
      </c>
      <c r="M435" s="29"/>
      <c r="N435" s="7"/>
      <c r="O435" s="30"/>
      <c r="P435" s="85"/>
      <c r="Q435" s="193"/>
    </row>
    <row r="436" spans="1:17" ht="12.75">
      <c r="A436" s="45" t="s">
        <v>261</v>
      </c>
      <c r="B436" s="102">
        <v>1216</v>
      </c>
      <c r="C436" s="121">
        <v>9190</v>
      </c>
      <c r="D436" s="119">
        <f>2500+360.9</f>
        <v>2860.9</v>
      </c>
      <c r="E436" s="119"/>
      <c r="F436" s="120">
        <f t="shared" si="123"/>
        <v>12050.9</v>
      </c>
      <c r="G436" s="202"/>
      <c r="H436" s="203"/>
      <c r="I436" s="201">
        <f t="shared" si="124"/>
        <v>12050.9</v>
      </c>
      <c r="J436" s="202"/>
      <c r="K436" s="7"/>
      <c r="L436" s="201">
        <f t="shared" si="125"/>
        <v>12050.9</v>
      </c>
      <c r="M436" s="29"/>
      <c r="N436" s="7"/>
      <c r="O436" s="30"/>
      <c r="P436" s="85"/>
      <c r="Q436" s="193"/>
    </row>
    <row r="437" spans="1:17" ht="12.75">
      <c r="A437" s="45" t="s">
        <v>234</v>
      </c>
      <c r="B437" s="102">
        <v>1239</v>
      </c>
      <c r="C437" s="121">
        <v>5769.7</v>
      </c>
      <c r="D437" s="119">
        <f>1000+8267.76</f>
        <v>9267.76</v>
      </c>
      <c r="E437" s="119"/>
      <c r="F437" s="120">
        <f t="shared" si="123"/>
        <v>15037.46</v>
      </c>
      <c r="G437" s="202">
        <f>-3964.4-1000+15</f>
        <v>-4949.4</v>
      </c>
      <c r="H437" s="203"/>
      <c r="I437" s="201">
        <f t="shared" si="124"/>
        <v>10088.06</v>
      </c>
      <c r="J437" s="202">
        <f>-6427-192.63</f>
        <v>-6619.63</v>
      </c>
      <c r="K437" s="7"/>
      <c r="L437" s="201">
        <f t="shared" si="125"/>
        <v>3468.4299999999994</v>
      </c>
      <c r="M437" s="29"/>
      <c r="N437" s="7"/>
      <c r="O437" s="30"/>
      <c r="P437" s="85"/>
      <c r="Q437" s="193"/>
    </row>
    <row r="438" spans="1:17" ht="12.75">
      <c r="A438" s="45" t="s">
        <v>262</v>
      </c>
      <c r="B438" s="102">
        <v>1300</v>
      </c>
      <c r="C438" s="121">
        <v>12025.7</v>
      </c>
      <c r="D438" s="119">
        <f>4603.13-200+15394</f>
        <v>19797.13</v>
      </c>
      <c r="E438" s="119"/>
      <c r="F438" s="120">
        <f t="shared" si="123"/>
        <v>31822.83</v>
      </c>
      <c r="G438" s="202">
        <f>2750</f>
        <v>2750</v>
      </c>
      <c r="H438" s="203">
        <f>-500</f>
        <v>-500</v>
      </c>
      <c r="I438" s="201">
        <f t="shared" si="124"/>
        <v>34072.83</v>
      </c>
      <c r="J438" s="202">
        <f>25.29+220+250+300+170+90+220+100+200+41+100+250</f>
        <v>1966.29</v>
      </c>
      <c r="K438" s="7"/>
      <c r="L438" s="201">
        <f t="shared" si="125"/>
        <v>36039.12</v>
      </c>
      <c r="M438" s="29"/>
      <c r="N438" s="7"/>
      <c r="O438" s="30"/>
      <c r="P438" s="85"/>
      <c r="Q438" s="193"/>
    </row>
    <row r="439" spans="1:17" ht="12.75">
      <c r="A439" s="45" t="s">
        <v>235</v>
      </c>
      <c r="B439" s="102">
        <v>1110</v>
      </c>
      <c r="C439" s="121">
        <v>10000</v>
      </c>
      <c r="D439" s="119">
        <f>6138.65</f>
        <v>6138.65</v>
      </c>
      <c r="E439" s="119">
        <v>2938.1</v>
      </c>
      <c r="F439" s="120">
        <f t="shared" si="123"/>
        <v>19076.75</v>
      </c>
      <c r="G439" s="202"/>
      <c r="H439" s="203"/>
      <c r="I439" s="201">
        <f t="shared" si="124"/>
        <v>19076.75</v>
      </c>
      <c r="J439" s="202"/>
      <c r="K439" s="7"/>
      <c r="L439" s="201">
        <f t="shared" si="125"/>
        <v>19076.75</v>
      </c>
      <c r="M439" s="29"/>
      <c r="N439" s="7"/>
      <c r="O439" s="30"/>
      <c r="P439" s="85"/>
      <c r="Q439" s="193"/>
    </row>
    <row r="440" spans="1:17" ht="12.75">
      <c r="A440" s="45" t="s">
        <v>64</v>
      </c>
      <c r="B440" s="102"/>
      <c r="C440" s="121"/>
      <c r="D440" s="119">
        <f>79.44</f>
        <v>79.44</v>
      </c>
      <c r="E440" s="119"/>
      <c r="F440" s="120">
        <f t="shared" si="123"/>
        <v>79.44</v>
      </c>
      <c r="G440" s="202"/>
      <c r="H440" s="203"/>
      <c r="I440" s="201">
        <f t="shared" si="124"/>
        <v>79.44</v>
      </c>
      <c r="J440" s="202"/>
      <c r="K440" s="7"/>
      <c r="L440" s="201">
        <f t="shared" si="125"/>
        <v>79.44</v>
      </c>
      <c r="M440" s="29"/>
      <c r="N440" s="7"/>
      <c r="O440" s="30"/>
      <c r="P440" s="85"/>
      <c r="Q440" s="193"/>
    </row>
    <row r="441" spans="1:17" ht="12.75">
      <c r="A441" s="51" t="s">
        <v>67</v>
      </c>
      <c r="B441" s="106"/>
      <c r="C441" s="128">
        <f>SUM(C443:C447)</f>
        <v>35500</v>
      </c>
      <c r="D441" s="129">
        <f>SUM(D443:D447)</f>
        <v>40406</v>
      </c>
      <c r="E441" s="129">
        <f>SUM(E447:E447)</f>
        <v>-2938.1</v>
      </c>
      <c r="F441" s="130">
        <f>SUM(F443:F447)</f>
        <v>72967.9</v>
      </c>
      <c r="G441" s="212">
        <f aca="true" t="shared" si="126" ref="G441:Q441">SUM(G443:G447)</f>
        <v>11384.4</v>
      </c>
      <c r="H441" s="213">
        <f t="shared" si="126"/>
        <v>2863</v>
      </c>
      <c r="I441" s="214">
        <f t="shared" si="126"/>
        <v>87215.29999999999</v>
      </c>
      <c r="J441" s="212">
        <f t="shared" si="126"/>
        <v>23473.63</v>
      </c>
      <c r="K441" s="129">
        <f t="shared" si="126"/>
        <v>0</v>
      </c>
      <c r="L441" s="214">
        <f t="shared" si="126"/>
        <v>110688.93</v>
      </c>
      <c r="M441" s="128">
        <f t="shared" si="126"/>
        <v>0</v>
      </c>
      <c r="N441" s="129">
        <f t="shared" si="126"/>
        <v>0</v>
      </c>
      <c r="O441" s="130">
        <f t="shared" si="126"/>
        <v>0</v>
      </c>
      <c r="P441" s="128">
        <f t="shared" si="126"/>
        <v>0</v>
      </c>
      <c r="Q441" s="130">
        <f t="shared" si="126"/>
        <v>0</v>
      </c>
    </row>
    <row r="442" spans="1:17" ht="12.75">
      <c r="A442" s="47" t="s">
        <v>33</v>
      </c>
      <c r="B442" s="102"/>
      <c r="C442" s="121"/>
      <c r="D442" s="119"/>
      <c r="E442" s="119"/>
      <c r="F442" s="120"/>
      <c r="G442" s="202"/>
      <c r="H442" s="203"/>
      <c r="I442" s="201"/>
      <c r="J442" s="202"/>
      <c r="K442" s="7"/>
      <c r="L442" s="201"/>
      <c r="M442" s="29"/>
      <c r="N442" s="7"/>
      <c r="O442" s="30"/>
      <c r="P442" s="85"/>
      <c r="Q442" s="193"/>
    </row>
    <row r="443" spans="1:17" ht="12.75">
      <c r="A443" s="49" t="s">
        <v>251</v>
      </c>
      <c r="B443" s="102">
        <v>1239</v>
      </c>
      <c r="C443" s="121"/>
      <c r="D443" s="119">
        <f>7500+7500+16000</f>
        <v>31000</v>
      </c>
      <c r="E443" s="119"/>
      <c r="F443" s="120">
        <f>C443+D443+E443</f>
        <v>31000</v>
      </c>
      <c r="G443" s="202">
        <f>3964.4</f>
        <v>3964.4</v>
      </c>
      <c r="H443" s="203"/>
      <c r="I443" s="201">
        <f>F443+G443+H443</f>
        <v>34964.4</v>
      </c>
      <c r="J443" s="202">
        <f>6427+192.63+286</f>
        <v>6905.63</v>
      </c>
      <c r="K443" s="7"/>
      <c r="L443" s="201">
        <f>I443+J443+K443</f>
        <v>41870.03</v>
      </c>
      <c r="M443" s="29"/>
      <c r="N443" s="7"/>
      <c r="O443" s="30"/>
      <c r="P443" s="85"/>
      <c r="Q443" s="193"/>
    </row>
    <row r="444" spans="1:17" ht="12.75">
      <c r="A444" s="49" t="s">
        <v>194</v>
      </c>
      <c r="B444" s="102">
        <v>1214</v>
      </c>
      <c r="C444" s="121"/>
      <c r="D444" s="119"/>
      <c r="E444" s="119"/>
      <c r="F444" s="120">
        <f>C444+D444+E444</f>
        <v>0</v>
      </c>
      <c r="G444" s="202"/>
      <c r="H444" s="203">
        <f>2363</f>
        <v>2363</v>
      </c>
      <c r="I444" s="201">
        <f>F444+G444+H444</f>
        <v>2363</v>
      </c>
      <c r="J444" s="202"/>
      <c r="K444" s="7"/>
      <c r="L444" s="201">
        <f>I444+J444+K444</f>
        <v>2363</v>
      </c>
      <c r="M444" s="29"/>
      <c r="N444" s="7"/>
      <c r="O444" s="30"/>
      <c r="P444" s="85"/>
      <c r="Q444" s="193"/>
    </row>
    <row r="445" spans="1:17" ht="12.75">
      <c r="A445" s="49" t="s">
        <v>331</v>
      </c>
      <c r="B445" s="102">
        <v>1209</v>
      </c>
      <c r="C445" s="121"/>
      <c r="D445" s="119"/>
      <c r="E445" s="119"/>
      <c r="F445" s="120">
        <f>C445+D445+E445</f>
        <v>0</v>
      </c>
      <c r="G445" s="202">
        <f>600</f>
        <v>600</v>
      </c>
      <c r="H445" s="203"/>
      <c r="I445" s="201">
        <f>F445+G445+H445</f>
        <v>600</v>
      </c>
      <c r="J445" s="202"/>
      <c r="K445" s="7"/>
      <c r="L445" s="201">
        <f>I445+J445+K445</f>
        <v>600</v>
      </c>
      <c r="M445" s="29"/>
      <c r="N445" s="7"/>
      <c r="O445" s="30"/>
      <c r="P445" s="85"/>
      <c r="Q445" s="193"/>
    </row>
    <row r="446" spans="1:17" ht="12.75">
      <c r="A446" s="49" t="s">
        <v>270</v>
      </c>
      <c r="B446" s="102">
        <v>1300</v>
      </c>
      <c r="C446" s="121">
        <v>5500</v>
      </c>
      <c r="D446" s="119">
        <f>16306+50+550</f>
        <v>16906</v>
      </c>
      <c r="E446" s="119"/>
      <c r="F446" s="120">
        <f>C446+D446+E446</f>
        <v>22406</v>
      </c>
      <c r="G446" s="202">
        <f>6820</f>
        <v>6820</v>
      </c>
      <c r="H446" s="203">
        <f>500</f>
        <v>500</v>
      </c>
      <c r="I446" s="201">
        <f>F446+G446+H446</f>
        <v>29726</v>
      </c>
      <c r="J446" s="202">
        <f>500+90+2000+371+5900+42+500+44+300+500+300+21+3000+3000</f>
        <v>16568</v>
      </c>
      <c r="K446" s="7"/>
      <c r="L446" s="201">
        <f>I446+J446+K446</f>
        <v>46294</v>
      </c>
      <c r="M446" s="29"/>
      <c r="N446" s="7"/>
      <c r="O446" s="30"/>
      <c r="P446" s="85"/>
      <c r="Q446" s="193"/>
    </row>
    <row r="447" spans="1:17" ht="12.75">
      <c r="A447" s="48" t="s">
        <v>95</v>
      </c>
      <c r="B447" s="105">
        <v>1110</v>
      </c>
      <c r="C447" s="139">
        <v>30000</v>
      </c>
      <c r="D447" s="132">
        <f>-7500</f>
        <v>-7500</v>
      </c>
      <c r="E447" s="132">
        <v>-2938.1</v>
      </c>
      <c r="F447" s="169">
        <f>C447+D447+E447</f>
        <v>19561.9</v>
      </c>
      <c r="G447" s="215"/>
      <c r="H447" s="216"/>
      <c r="I447" s="217">
        <f>F447+G447+H447</f>
        <v>19561.9</v>
      </c>
      <c r="J447" s="215"/>
      <c r="K447" s="10"/>
      <c r="L447" s="217">
        <f>I447+J447+K447</f>
        <v>19561.9</v>
      </c>
      <c r="M447" s="33"/>
      <c r="N447" s="10"/>
      <c r="O447" s="34"/>
      <c r="P447" s="90"/>
      <c r="Q447" s="194"/>
    </row>
    <row r="448" spans="1:17" ht="12.75">
      <c r="A448" s="42" t="s">
        <v>163</v>
      </c>
      <c r="B448" s="106"/>
      <c r="C448" s="116">
        <f aca="true" t="shared" si="127" ref="C448:Q448">C449</f>
        <v>0</v>
      </c>
      <c r="D448" s="117">
        <f t="shared" si="127"/>
        <v>7279.26</v>
      </c>
      <c r="E448" s="117">
        <f t="shared" si="127"/>
        <v>0</v>
      </c>
      <c r="F448" s="118">
        <f t="shared" si="127"/>
        <v>7279.26</v>
      </c>
      <c r="G448" s="198">
        <f t="shared" si="127"/>
        <v>0</v>
      </c>
      <c r="H448" s="199">
        <f t="shared" si="127"/>
        <v>0</v>
      </c>
      <c r="I448" s="200">
        <f t="shared" si="127"/>
        <v>7279.26</v>
      </c>
      <c r="J448" s="198">
        <f t="shared" si="127"/>
        <v>0</v>
      </c>
      <c r="K448" s="117">
        <f t="shared" si="127"/>
        <v>0</v>
      </c>
      <c r="L448" s="200">
        <f t="shared" si="127"/>
        <v>7279.26</v>
      </c>
      <c r="M448" s="116">
        <f t="shared" si="127"/>
        <v>0</v>
      </c>
      <c r="N448" s="117">
        <f t="shared" si="127"/>
        <v>0</v>
      </c>
      <c r="O448" s="118">
        <f t="shared" si="127"/>
        <v>7279.26</v>
      </c>
      <c r="P448" s="116">
        <f t="shared" si="127"/>
        <v>0</v>
      </c>
      <c r="Q448" s="118">
        <f t="shared" si="127"/>
        <v>7279.26</v>
      </c>
    </row>
    <row r="449" spans="1:17" ht="12.75">
      <c r="A449" s="51" t="s">
        <v>62</v>
      </c>
      <c r="B449" s="106"/>
      <c r="C449" s="128">
        <f>C451</f>
        <v>0</v>
      </c>
      <c r="D449" s="129">
        <f>D451</f>
        <v>7279.26</v>
      </c>
      <c r="E449" s="129">
        <f>E451</f>
        <v>0</v>
      </c>
      <c r="F449" s="130">
        <f>F451</f>
        <v>7279.26</v>
      </c>
      <c r="G449" s="212">
        <f aca="true" t="shared" si="128" ref="G449:Q449">G451</f>
        <v>0</v>
      </c>
      <c r="H449" s="213">
        <f t="shared" si="128"/>
        <v>0</v>
      </c>
      <c r="I449" s="214">
        <f t="shared" si="128"/>
        <v>7279.26</v>
      </c>
      <c r="J449" s="212">
        <f t="shared" si="128"/>
        <v>0</v>
      </c>
      <c r="K449" s="129">
        <f t="shared" si="128"/>
        <v>0</v>
      </c>
      <c r="L449" s="214">
        <f t="shared" si="128"/>
        <v>7279.26</v>
      </c>
      <c r="M449" s="128">
        <f t="shared" si="128"/>
        <v>0</v>
      </c>
      <c r="N449" s="129">
        <f t="shared" si="128"/>
        <v>0</v>
      </c>
      <c r="O449" s="130">
        <f t="shared" si="128"/>
        <v>7279.26</v>
      </c>
      <c r="P449" s="128">
        <f t="shared" si="128"/>
        <v>0</v>
      </c>
      <c r="Q449" s="130">
        <f t="shared" si="128"/>
        <v>7279.26</v>
      </c>
    </row>
    <row r="450" spans="1:17" ht="12.75">
      <c r="A450" s="47" t="s">
        <v>33</v>
      </c>
      <c r="B450" s="102"/>
      <c r="C450" s="121"/>
      <c r="D450" s="119"/>
      <c r="E450" s="119"/>
      <c r="F450" s="120"/>
      <c r="G450" s="202"/>
      <c r="H450" s="203"/>
      <c r="I450" s="201"/>
      <c r="J450" s="202"/>
      <c r="K450" s="7"/>
      <c r="L450" s="201"/>
      <c r="M450" s="29"/>
      <c r="N450" s="7"/>
      <c r="O450" s="30"/>
      <c r="P450" s="85"/>
      <c r="Q450" s="193"/>
    </row>
    <row r="451" spans="1:17" ht="12.75">
      <c r="A451" s="48" t="s">
        <v>64</v>
      </c>
      <c r="B451" s="105"/>
      <c r="C451" s="131">
        <v>0</v>
      </c>
      <c r="D451" s="132">
        <f>7279.26</f>
        <v>7279.26</v>
      </c>
      <c r="E451" s="132"/>
      <c r="F451" s="120">
        <f>C451+D451+E451</f>
        <v>7279.26</v>
      </c>
      <c r="G451" s="215"/>
      <c r="H451" s="216"/>
      <c r="I451" s="217">
        <f>F451+G451+H451</f>
        <v>7279.26</v>
      </c>
      <c r="J451" s="215"/>
      <c r="K451" s="10"/>
      <c r="L451" s="217">
        <f>I451+J451+K451</f>
        <v>7279.26</v>
      </c>
      <c r="M451" s="33"/>
      <c r="N451" s="10"/>
      <c r="O451" s="34">
        <f>L451+M451+N451</f>
        <v>7279.26</v>
      </c>
      <c r="P451" s="90"/>
      <c r="Q451" s="194">
        <f>O451+P451</f>
        <v>7279.26</v>
      </c>
    </row>
    <row r="452" spans="1:17" ht="12.75">
      <c r="A452" s="42" t="s">
        <v>120</v>
      </c>
      <c r="B452" s="106"/>
      <c r="C452" s="116">
        <f>C454+C455</f>
        <v>329085</v>
      </c>
      <c r="D452" s="140">
        <f>D454+D455</f>
        <v>382556.16</v>
      </c>
      <c r="E452" s="140">
        <f>E454+E455</f>
        <v>1800</v>
      </c>
      <c r="F452" s="141">
        <f>F454+F455</f>
        <v>713441.1599999999</v>
      </c>
      <c r="G452" s="225">
        <f aca="true" t="shared" si="129" ref="G452:Q452">G454+G455</f>
        <v>30264.950000000004</v>
      </c>
      <c r="H452" s="226">
        <f t="shared" si="129"/>
        <v>22000</v>
      </c>
      <c r="I452" s="227">
        <f t="shared" si="129"/>
        <v>765706.1099999999</v>
      </c>
      <c r="J452" s="225">
        <f t="shared" si="129"/>
        <v>-2040.4299999999967</v>
      </c>
      <c r="K452" s="140">
        <f t="shared" si="129"/>
        <v>0</v>
      </c>
      <c r="L452" s="227">
        <f t="shared" si="129"/>
        <v>763665.6799999999</v>
      </c>
      <c r="M452" s="192">
        <f t="shared" si="129"/>
        <v>0</v>
      </c>
      <c r="N452" s="140">
        <f t="shared" si="129"/>
        <v>-60.6</v>
      </c>
      <c r="O452" s="141">
        <f t="shared" si="129"/>
        <v>748722.24</v>
      </c>
      <c r="P452" s="192">
        <f t="shared" si="129"/>
        <v>0</v>
      </c>
      <c r="Q452" s="141">
        <f t="shared" si="129"/>
        <v>748722.24</v>
      </c>
    </row>
    <row r="453" spans="1:17" ht="12.75">
      <c r="A453" s="44" t="s">
        <v>33</v>
      </c>
      <c r="B453" s="102"/>
      <c r="C453" s="116"/>
      <c r="D453" s="117"/>
      <c r="E453" s="117"/>
      <c r="F453" s="118"/>
      <c r="G453" s="198"/>
      <c r="H453" s="199"/>
      <c r="I453" s="200"/>
      <c r="J453" s="198"/>
      <c r="K453" s="117"/>
      <c r="L453" s="200"/>
      <c r="M453" s="116"/>
      <c r="N453" s="117"/>
      <c r="O453" s="118"/>
      <c r="P453" s="116"/>
      <c r="Q453" s="118"/>
    </row>
    <row r="454" spans="1:17" ht="12.75">
      <c r="A454" s="42" t="s">
        <v>62</v>
      </c>
      <c r="B454" s="106"/>
      <c r="C454" s="122">
        <f>C469+C471+C483+C485+C490+C495+C486+C476+C497+C478</f>
        <v>30547</v>
      </c>
      <c r="D454" s="123">
        <f>D469+D471+D483+D485+D490+D495+D486+D476+D497+D478+D500</f>
        <v>132930.69</v>
      </c>
      <c r="E454" s="123">
        <f>E469+E471+E483+E485+E490+E495+E486+E476+E497+E478</f>
        <v>1800</v>
      </c>
      <c r="F454" s="124">
        <f>F469+F471+F483+F485+F490+F495+F486+F476+F497+F478+F501</f>
        <v>165287.69</v>
      </c>
      <c r="G454" s="206">
        <f aca="true" t="shared" si="130" ref="G454:Q454">G469+G471+G483+G485+G490+G495+G486+G476+G497+G478</f>
        <v>25605.75</v>
      </c>
      <c r="H454" s="207">
        <f t="shared" si="130"/>
        <v>22000</v>
      </c>
      <c r="I454" s="208">
        <f>I469+I471+I483+I485+I490+I495+I486+I476+I497+I478+I501</f>
        <v>212893.44</v>
      </c>
      <c r="J454" s="206">
        <f t="shared" si="130"/>
        <v>-25087.03</v>
      </c>
      <c r="K454" s="123">
        <f t="shared" si="130"/>
        <v>0</v>
      </c>
      <c r="L454" s="208">
        <f>L469+L471+L483+L485+L490+L495+L486+L476+L497+L478</f>
        <v>187796.41</v>
      </c>
      <c r="M454" s="122">
        <f t="shared" si="130"/>
        <v>0</v>
      </c>
      <c r="N454" s="123">
        <f t="shared" si="130"/>
        <v>0</v>
      </c>
      <c r="O454" s="124">
        <f t="shared" si="130"/>
        <v>187796.41</v>
      </c>
      <c r="P454" s="122">
        <f t="shared" si="130"/>
        <v>0</v>
      </c>
      <c r="Q454" s="124">
        <f t="shared" si="130"/>
        <v>187796.41</v>
      </c>
    </row>
    <row r="455" spans="1:17" ht="12.75">
      <c r="A455" s="42" t="s">
        <v>67</v>
      </c>
      <c r="B455" s="106"/>
      <c r="C455" s="122">
        <f>C458+C459+C461+C462+C464+C466+C467+C468+C472+C473+C475+C477+C479+C481+C482+C484+C487+C489+C491+C492+C494+C496+C498+C499</f>
        <v>298538</v>
      </c>
      <c r="D455" s="123">
        <f>D458+D459+D461+D462+D464+D466+D467+D468+D472+D473+D475+D477+D479+D481+D482+D484+D487+D489+D491+D492+D494+D496+D498+D499</f>
        <v>249625.46999999997</v>
      </c>
      <c r="E455" s="123">
        <f>E458+E459+E461+E462+E464+E466+E467+E468+E472+E473+E475+E477+E479+E481+E482+E484+E487+E489+E491+E492+E494+E496+E498+E499</f>
        <v>0</v>
      </c>
      <c r="F455" s="124">
        <f>F458+F459+F461+F462+F464+F466+F467+F468+F472+F473+F475+F477+F479+F481+F482+F484+F487+F489+F491+F492+F494+F496+F498+F500</f>
        <v>548153.47</v>
      </c>
      <c r="G455" s="206">
        <f aca="true" t="shared" si="131" ref="G455:Q455">G458+G459+G461+G462+G464+G466+G467+G468+G472+G473+G475+G477+G479+G481+G482+G484+G487+G489+G491+G492+G494+G496+G498+G499</f>
        <v>4659.200000000003</v>
      </c>
      <c r="H455" s="207">
        <f t="shared" si="131"/>
        <v>0</v>
      </c>
      <c r="I455" s="208">
        <f>I458+I459+I461+I462+I464+I466+I467+I468+I472+I473+I475+I477+I479+I481+I482+I484+I487+I489+I491+I492+I494+I496+I498+I500</f>
        <v>552812.6699999999</v>
      </c>
      <c r="J455" s="206">
        <f t="shared" si="131"/>
        <v>23046.600000000002</v>
      </c>
      <c r="K455" s="123">
        <f t="shared" si="131"/>
        <v>0</v>
      </c>
      <c r="L455" s="208">
        <f t="shared" si="131"/>
        <v>575869.2699999999</v>
      </c>
      <c r="M455" s="122">
        <f t="shared" si="131"/>
        <v>0</v>
      </c>
      <c r="N455" s="123">
        <f t="shared" si="131"/>
        <v>-60.6</v>
      </c>
      <c r="O455" s="124">
        <f t="shared" si="131"/>
        <v>560925.83</v>
      </c>
      <c r="P455" s="122">
        <f t="shared" si="131"/>
        <v>0</v>
      </c>
      <c r="Q455" s="124">
        <f t="shared" si="131"/>
        <v>560925.83</v>
      </c>
    </row>
    <row r="456" spans="1:17" ht="12.75">
      <c r="A456" s="43" t="s">
        <v>121</v>
      </c>
      <c r="B456" s="102"/>
      <c r="C456" s="116"/>
      <c r="D456" s="117"/>
      <c r="E456" s="117"/>
      <c r="F456" s="118"/>
      <c r="G456" s="198"/>
      <c r="H456" s="199"/>
      <c r="I456" s="200"/>
      <c r="J456" s="198"/>
      <c r="K456" s="6"/>
      <c r="L456" s="200"/>
      <c r="M456" s="27"/>
      <c r="N456" s="6"/>
      <c r="O456" s="28"/>
      <c r="P456" s="85"/>
      <c r="Q456" s="193"/>
    </row>
    <row r="457" spans="1:17" ht="12.75">
      <c r="A457" s="44" t="s">
        <v>122</v>
      </c>
      <c r="B457" s="102">
        <v>18</v>
      </c>
      <c r="C457" s="121">
        <f>C458+C459</f>
        <v>1000</v>
      </c>
      <c r="D457" s="119">
        <f>D458+D459</f>
        <v>0</v>
      </c>
      <c r="E457" s="119">
        <f>E458+E459</f>
        <v>0</v>
      </c>
      <c r="F457" s="120">
        <f>F458+F459</f>
        <v>1000</v>
      </c>
      <c r="G457" s="202">
        <f aca="true" t="shared" si="132" ref="G457:Q457">G458+G459</f>
        <v>0</v>
      </c>
      <c r="H457" s="203">
        <f t="shared" si="132"/>
        <v>0</v>
      </c>
      <c r="I457" s="201">
        <f t="shared" si="132"/>
        <v>1000</v>
      </c>
      <c r="J457" s="202">
        <f t="shared" si="132"/>
        <v>0</v>
      </c>
      <c r="K457" s="119">
        <f t="shared" si="132"/>
        <v>0</v>
      </c>
      <c r="L457" s="201">
        <f t="shared" si="132"/>
        <v>1000</v>
      </c>
      <c r="M457" s="121">
        <f t="shared" si="132"/>
        <v>0</v>
      </c>
      <c r="N457" s="119">
        <f t="shared" si="132"/>
        <v>0</v>
      </c>
      <c r="O457" s="120">
        <f t="shared" si="132"/>
        <v>1000</v>
      </c>
      <c r="P457" s="121">
        <f t="shared" si="132"/>
        <v>0</v>
      </c>
      <c r="Q457" s="120">
        <f t="shared" si="132"/>
        <v>1000</v>
      </c>
    </row>
    <row r="458" spans="1:17" ht="12.75">
      <c r="A458" s="44" t="s">
        <v>123</v>
      </c>
      <c r="B458" s="102"/>
      <c r="C458" s="121">
        <v>1000</v>
      </c>
      <c r="D458" s="119"/>
      <c r="E458" s="119"/>
      <c r="F458" s="120">
        <f aca="true" t="shared" si="133" ref="F458:F502">C458+D458+E458</f>
        <v>1000</v>
      </c>
      <c r="G458" s="202"/>
      <c r="H458" s="199"/>
      <c r="I458" s="201">
        <f>F458+G458+H458</f>
        <v>1000</v>
      </c>
      <c r="J458" s="202"/>
      <c r="K458" s="6"/>
      <c r="L458" s="201">
        <f>I458+J458+K458</f>
        <v>1000</v>
      </c>
      <c r="M458" s="29"/>
      <c r="N458" s="6"/>
      <c r="O458" s="30">
        <f>L458+M458+N458</f>
        <v>1000</v>
      </c>
      <c r="P458" s="85"/>
      <c r="Q458" s="193">
        <f>O458+P458</f>
        <v>1000</v>
      </c>
    </row>
    <row r="459" spans="1:17" ht="12.75" hidden="1">
      <c r="A459" s="44" t="s">
        <v>124</v>
      </c>
      <c r="B459" s="102"/>
      <c r="C459" s="121">
        <v>0</v>
      </c>
      <c r="D459" s="119"/>
      <c r="E459" s="119"/>
      <c r="F459" s="120">
        <f t="shared" si="133"/>
        <v>0</v>
      </c>
      <c r="G459" s="202"/>
      <c r="H459" s="199"/>
      <c r="I459" s="201">
        <f>F459+G459+H459</f>
        <v>0</v>
      </c>
      <c r="J459" s="202"/>
      <c r="K459" s="6"/>
      <c r="L459" s="201">
        <f>I459+J459+K459</f>
        <v>0</v>
      </c>
      <c r="M459" s="29"/>
      <c r="N459" s="6"/>
      <c r="O459" s="30">
        <f>L459+M459+N459</f>
        <v>0</v>
      </c>
      <c r="P459" s="85"/>
      <c r="Q459" s="193">
        <f>O459+P459</f>
        <v>0</v>
      </c>
    </row>
    <row r="460" spans="1:17" ht="12.75">
      <c r="A460" s="44" t="s">
        <v>125</v>
      </c>
      <c r="B460" s="102">
        <v>19</v>
      </c>
      <c r="C460" s="121">
        <f>C461+C462</f>
        <v>6358</v>
      </c>
      <c r="D460" s="119">
        <f>D461+D462</f>
        <v>3068.39</v>
      </c>
      <c r="E460" s="119">
        <f>E461+E462</f>
        <v>0</v>
      </c>
      <c r="F460" s="120">
        <f>F461+F462</f>
        <v>9426.39</v>
      </c>
      <c r="G460" s="202">
        <f aca="true" t="shared" si="134" ref="G460:Q460">G461+G462</f>
        <v>-1417</v>
      </c>
      <c r="H460" s="203">
        <f t="shared" si="134"/>
        <v>0</v>
      </c>
      <c r="I460" s="201">
        <f t="shared" si="134"/>
        <v>8009.39</v>
      </c>
      <c r="J460" s="202">
        <f t="shared" si="134"/>
        <v>137</v>
      </c>
      <c r="K460" s="119">
        <f t="shared" si="134"/>
        <v>0</v>
      </c>
      <c r="L460" s="201">
        <f t="shared" si="134"/>
        <v>8146.39</v>
      </c>
      <c r="M460" s="121">
        <f t="shared" si="134"/>
        <v>0</v>
      </c>
      <c r="N460" s="119">
        <f t="shared" si="134"/>
        <v>0</v>
      </c>
      <c r="O460" s="120">
        <f t="shared" si="134"/>
        <v>8146.39</v>
      </c>
      <c r="P460" s="121">
        <f t="shared" si="134"/>
        <v>0</v>
      </c>
      <c r="Q460" s="120">
        <f t="shared" si="134"/>
        <v>8146.39</v>
      </c>
    </row>
    <row r="461" spans="1:17" ht="12.75">
      <c r="A461" s="44" t="s">
        <v>123</v>
      </c>
      <c r="B461" s="102"/>
      <c r="C461" s="121">
        <v>6358</v>
      </c>
      <c r="D461" s="119">
        <f>220+180+280+2300</f>
        <v>2980</v>
      </c>
      <c r="E461" s="119"/>
      <c r="F461" s="120">
        <f t="shared" si="133"/>
        <v>9338</v>
      </c>
      <c r="G461" s="202">
        <f>-1417</f>
        <v>-1417</v>
      </c>
      <c r="H461" s="199"/>
      <c r="I461" s="201">
        <f>F461+G461+H461</f>
        <v>7921</v>
      </c>
      <c r="J461" s="202">
        <f>137</f>
        <v>137</v>
      </c>
      <c r="K461" s="6"/>
      <c r="L461" s="201">
        <f>I461+J461+K461</f>
        <v>8058</v>
      </c>
      <c r="M461" s="29"/>
      <c r="N461" s="6"/>
      <c r="O461" s="30">
        <f>L461+M461+N461</f>
        <v>8058</v>
      </c>
      <c r="P461" s="85"/>
      <c r="Q461" s="193">
        <f>O461+P461</f>
        <v>8058</v>
      </c>
    </row>
    <row r="462" spans="1:17" ht="12.75">
      <c r="A462" s="44" t="s">
        <v>124</v>
      </c>
      <c r="B462" s="102"/>
      <c r="C462" s="121"/>
      <c r="D462" s="119">
        <f>268.39-180</f>
        <v>88.38999999999999</v>
      </c>
      <c r="E462" s="119"/>
      <c r="F462" s="120">
        <f t="shared" si="133"/>
        <v>88.38999999999999</v>
      </c>
      <c r="G462" s="202"/>
      <c r="H462" s="199"/>
      <c r="I462" s="201">
        <f>F462+G462+H462</f>
        <v>88.38999999999999</v>
      </c>
      <c r="J462" s="202"/>
      <c r="K462" s="6"/>
      <c r="L462" s="201">
        <f>I462+J462+K462</f>
        <v>88.38999999999999</v>
      </c>
      <c r="M462" s="33"/>
      <c r="N462" s="197"/>
      <c r="O462" s="34">
        <f>L462+M462+N462</f>
        <v>88.38999999999999</v>
      </c>
      <c r="P462" s="90"/>
      <c r="Q462" s="194">
        <f>O462+P462</f>
        <v>88.38999999999999</v>
      </c>
    </row>
    <row r="463" spans="1:17" ht="12.75" hidden="1">
      <c r="A463" s="45" t="s">
        <v>194</v>
      </c>
      <c r="B463" s="102">
        <v>2</v>
      </c>
      <c r="C463" s="121">
        <f>C464</f>
        <v>0</v>
      </c>
      <c r="D463" s="119">
        <f>D464</f>
        <v>0</v>
      </c>
      <c r="E463" s="119">
        <f>E464</f>
        <v>0</v>
      </c>
      <c r="F463" s="120">
        <f>F464</f>
        <v>0</v>
      </c>
      <c r="G463" s="202"/>
      <c r="H463" s="199"/>
      <c r="I463" s="201"/>
      <c r="J463" s="202"/>
      <c r="K463" s="6"/>
      <c r="L463" s="201"/>
      <c r="M463" s="29"/>
      <c r="N463" s="6"/>
      <c r="O463" s="30"/>
      <c r="P463" s="85"/>
      <c r="Q463" s="193"/>
    </row>
    <row r="464" spans="1:17" ht="12.75" hidden="1">
      <c r="A464" s="45" t="s">
        <v>195</v>
      </c>
      <c r="B464" s="102"/>
      <c r="C464" s="121"/>
      <c r="D464" s="119"/>
      <c r="E464" s="119"/>
      <c r="F464" s="120">
        <f t="shared" si="133"/>
        <v>0</v>
      </c>
      <c r="G464" s="202"/>
      <c r="H464" s="199"/>
      <c r="I464" s="201"/>
      <c r="J464" s="202"/>
      <c r="K464" s="6"/>
      <c r="L464" s="201"/>
      <c r="M464" s="29"/>
      <c r="N464" s="6"/>
      <c r="O464" s="30"/>
      <c r="P464" s="85"/>
      <c r="Q464" s="193"/>
    </row>
    <row r="465" spans="1:17" ht="12.75">
      <c r="A465" s="44" t="s">
        <v>126</v>
      </c>
      <c r="B465" s="102">
        <v>10</v>
      </c>
      <c r="C465" s="121">
        <f>SUM(C466:C469)</f>
        <v>34000</v>
      </c>
      <c r="D465" s="119">
        <f>SUM(D466:D469)</f>
        <v>130202.56</v>
      </c>
      <c r="E465" s="119">
        <f>SUM(E466:E469)</f>
        <v>0</v>
      </c>
      <c r="F465" s="120">
        <f>SUM(F466:F469)</f>
        <v>164202.56</v>
      </c>
      <c r="G465" s="202">
        <f aca="true" t="shared" si="135" ref="G465:Q465">SUM(G466:G469)</f>
        <v>2019.1000000000004</v>
      </c>
      <c r="H465" s="203">
        <f t="shared" si="135"/>
        <v>22000</v>
      </c>
      <c r="I465" s="201">
        <f t="shared" si="135"/>
        <v>188221.66</v>
      </c>
      <c r="J465" s="202">
        <f t="shared" si="135"/>
        <v>-2331.6899999999987</v>
      </c>
      <c r="K465" s="119">
        <f t="shared" si="135"/>
        <v>0</v>
      </c>
      <c r="L465" s="201">
        <f t="shared" si="135"/>
        <v>185889.97</v>
      </c>
      <c r="M465" s="121">
        <f t="shared" si="135"/>
        <v>0</v>
      </c>
      <c r="N465" s="119">
        <f t="shared" si="135"/>
        <v>0</v>
      </c>
      <c r="O465" s="120">
        <f t="shared" si="135"/>
        <v>185889.97</v>
      </c>
      <c r="P465" s="121">
        <f t="shared" si="135"/>
        <v>0</v>
      </c>
      <c r="Q465" s="120">
        <f t="shared" si="135"/>
        <v>185889.97</v>
      </c>
    </row>
    <row r="466" spans="1:17" ht="12.75">
      <c r="A466" s="44" t="s">
        <v>127</v>
      </c>
      <c r="B466" s="102"/>
      <c r="C466" s="121">
        <v>0</v>
      </c>
      <c r="D466" s="119"/>
      <c r="E466" s="119"/>
      <c r="F466" s="120">
        <f t="shared" si="133"/>
        <v>0</v>
      </c>
      <c r="G466" s="202"/>
      <c r="H466" s="203"/>
      <c r="I466" s="201">
        <f>F466+G466+H466</f>
        <v>0</v>
      </c>
      <c r="J466" s="202"/>
      <c r="K466" s="7"/>
      <c r="L466" s="201">
        <f>I466+J466+K466</f>
        <v>0</v>
      </c>
      <c r="M466" s="29"/>
      <c r="N466" s="7"/>
      <c r="O466" s="30">
        <f>L466+M466+N466</f>
        <v>0</v>
      </c>
      <c r="P466" s="85"/>
      <c r="Q466" s="193">
        <f>O466+P466</f>
        <v>0</v>
      </c>
    </row>
    <row r="467" spans="1:17" ht="12.75">
      <c r="A467" s="44" t="s">
        <v>128</v>
      </c>
      <c r="B467" s="102"/>
      <c r="C467" s="121">
        <v>34000</v>
      </c>
      <c r="D467" s="136">
        <f>18640.81+15000</f>
        <v>33640.81</v>
      </c>
      <c r="E467" s="136"/>
      <c r="F467" s="120">
        <f t="shared" si="133"/>
        <v>67640.81</v>
      </c>
      <c r="G467" s="202">
        <f>2000-15000</f>
        <v>-13000</v>
      </c>
      <c r="H467" s="203"/>
      <c r="I467" s="201">
        <f>F467+G467+H467</f>
        <v>54640.81</v>
      </c>
      <c r="J467" s="202">
        <f>11683.58+10000+7000</f>
        <v>28683.58</v>
      </c>
      <c r="K467" s="7"/>
      <c r="L467" s="201">
        <f>I467+J467+K467</f>
        <v>83324.39</v>
      </c>
      <c r="M467" s="29"/>
      <c r="N467" s="7"/>
      <c r="O467" s="30">
        <f>L467+M467+N467</f>
        <v>83324.39</v>
      </c>
      <c r="P467" s="85"/>
      <c r="Q467" s="193">
        <f>O467+P467</f>
        <v>83324.39</v>
      </c>
    </row>
    <row r="468" spans="1:17" ht="12.75">
      <c r="A468" s="44" t="s">
        <v>124</v>
      </c>
      <c r="B468" s="102"/>
      <c r="C468" s="121"/>
      <c r="D468" s="119">
        <f>1033.9</f>
        <v>1033.9</v>
      </c>
      <c r="E468" s="119"/>
      <c r="F468" s="120">
        <f t="shared" si="133"/>
        <v>1033.9</v>
      </c>
      <c r="G468" s="202">
        <f>19.1</f>
        <v>19.1</v>
      </c>
      <c r="H468" s="203"/>
      <c r="I468" s="201">
        <f>F468+G468+H468</f>
        <v>1053</v>
      </c>
      <c r="J468" s="202">
        <f>214.73</f>
        <v>214.73</v>
      </c>
      <c r="K468" s="7"/>
      <c r="L468" s="201">
        <f>I468+J468+K468</f>
        <v>1267.73</v>
      </c>
      <c r="M468" s="29"/>
      <c r="N468" s="7"/>
      <c r="O468" s="30">
        <f>L468+M468+N468</f>
        <v>1267.73</v>
      </c>
      <c r="P468" s="85"/>
      <c r="Q468" s="193">
        <f>O468+P468</f>
        <v>1267.73</v>
      </c>
    </row>
    <row r="469" spans="1:17" ht="12.75">
      <c r="A469" s="45" t="s">
        <v>154</v>
      </c>
      <c r="B469" s="102"/>
      <c r="C469" s="121"/>
      <c r="D469" s="171">
        <f>527.85+95000</f>
        <v>95527.85</v>
      </c>
      <c r="E469" s="119"/>
      <c r="F469" s="120">
        <f t="shared" si="133"/>
        <v>95527.85</v>
      </c>
      <c r="G469" s="202">
        <f>15000</f>
        <v>15000</v>
      </c>
      <c r="H469" s="203">
        <f>22000</f>
        <v>22000</v>
      </c>
      <c r="I469" s="201">
        <f>F469+G469+H469</f>
        <v>132527.85</v>
      </c>
      <c r="J469" s="202">
        <f>-31230</f>
        <v>-31230</v>
      </c>
      <c r="K469" s="7"/>
      <c r="L469" s="201">
        <f>I469+J469+K469</f>
        <v>101297.85</v>
      </c>
      <c r="M469" s="29"/>
      <c r="N469" s="7"/>
      <c r="O469" s="30">
        <f>L469+M469+N469</f>
        <v>101297.85</v>
      </c>
      <c r="P469" s="85"/>
      <c r="Q469" s="193">
        <f>O469+P469</f>
        <v>101297.85</v>
      </c>
    </row>
    <row r="470" spans="1:17" ht="12.75">
      <c r="A470" s="44" t="s">
        <v>129</v>
      </c>
      <c r="B470" s="102">
        <v>12</v>
      </c>
      <c r="C470" s="121">
        <f aca="true" t="shared" si="136" ref="C470:Q470">C471+C472+C473</f>
        <v>5277</v>
      </c>
      <c r="D470" s="119">
        <f t="shared" si="136"/>
        <v>28110</v>
      </c>
      <c r="E470" s="119">
        <f>E471+E472+E473</f>
        <v>0</v>
      </c>
      <c r="F470" s="120">
        <f t="shared" si="136"/>
        <v>33387</v>
      </c>
      <c r="G470" s="202">
        <f t="shared" si="136"/>
        <v>1655.27</v>
      </c>
      <c r="H470" s="203">
        <f t="shared" si="136"/>
        <v>0</v>
      </c>
      <c r="I470" s="201">
        <f t="shared" si="136"/>
        <v>35042.27</v>
      </c>
      <c r="J470" s="202">
        <f t="shared" si="136"/>
        <v>0</v>
      </c>
      <c r="K470" s="119">
        <f t="shared" si="136"/>
        <v>0</v>
      </c>
      <c r="L470" s="201">
        <f t="shared" si="136"/>
        <v>35042.27</v>
      </c>
      <c r="M470" s="121">
        <f t="shared" si="136"/>
        <v>0</v>
      </c>
      <c r="N470" s="119">
        <f t="shared" si="136"/>
        <v>0</v>
      </c>
      <c r="O470" s="120">
        <f t="shared" si="136"/>
        <v>35042.27</v>
      </c>
      <c r="P470" s="121">
        <f t="shared" si="136"/>
        <v>0</v>
      </c>
      <c r="Q470" s="120">
        <f t="shared" si="136"/>
        <v>35042.27</v>
      </c>
    </row>
    <row r="471" spans="1:17" ht="12.75">
      <c r="A471" s="44" t="s">
        <v>130</v>
      </c>
      <c r="B471" s="102"/>
      <c r="C471" s="121">
        <v>2337</v>
      </c>
      <c r="D471" s="119">
        <f>476.13-100</f>
        <v>376.13</v>
      </c>
      <c r="E471" s="119"/>
      <c r="F471" s="120">
        <f t="shared" si="133"/>
        <v>2713.13</v>
      </c>
      <c r="G471" s="202"/>
      <c r="H471" s="203"/>
      <c r="I471" s="201">
        <f>F471+G471+H471</f>
        <v>2713.13</v>
      </c>
      <c r="J471" s="202">
        <f>655.27</f>
        <v>655.27</v>
      </c>
      <c r="K471" s="7"/>
      <c r="L471" s="201">
        <f>I471+J471+K471</f>
        <v>3368.4</v>
      </c>
      <c r="M471" s="29"/>
      <c r="N471" s="7"/>
      <c r="O471" s="30">
        <f>L471+M471+N471</f>
        <v>3368.4</v>
      </c>
      <c r="P471" s="85"/>
      <c r="Q471" s="193">
        <f>O471+P471</f>
        <v>3368.4</v>
      </c>
    </row>
    <row r="472" spans="1:17" ht="12.75">
      <c r="A472" s="44" t="s">
        <v>128</v>
      </c>
      <c r="B472" s="102"/>
      <c r="C472" s="121">
        <v>2940</v>
      </c>
      <c r="D472" s="119">
        <f>29473.87-1740</f>
        <v>27733.87</v>
      </c>
      <c r="E472" s="119"/>
      <c r="F472" s="120">
        <f t="shared" si="133"/>
        <v>30673.87</v>
      </c>
      <c r="G472" s="202"/>
      <c r="H472" s="203"/>
      <c r="I472" s="201">
        <f>F472+G472+H472</f>
        <v>30673.87</v>
      </c>
      <c r="J472" s="202">
        <f>50</f>
        <v>50</v>
      </c>
      <c r="K472" s="7"/>
      <c r="L472" s="201">
        <f>I472+J472+K472</f>
        <v>30723.87</v>
      </c>
      <c r="M472" s="29"/>
      <c r="N472" s="7"/>
      <c r="O472" s="30">
        <f>L472+M472+N472</f>
        <v>30723.87</v>
      </c>
      <c r="P472" s="85"/>
      <c r="Q472" s="193">
        <f>O472+P472</f>
        <v>30723.87</v>
      </c>
    </row>
    <row r="473" spans="1:17" ht="12.75" customHeight="1">
      <c r="A473" s="44" t="s">
        <v>124</v>
      </c>
      <c r="B473" s="102"/>
      <c r="C473" s="121"/>
      <c r="D473" s="119"/>
      <c r="E473" s="119"/>
      <c r="F473" s="120">
        <f t="shared" si="133"/>
        <v>0</v>
      </c>
      <c r="G473" s="202">
        <f>1655.27</f>
        <v>1655.27</v>
      </c>
      <c r="H473" s="203"/>
      <c r="I473" s="201">
        <f>F473+G473+H473</f>
        <v>1655.27</v>
      </c>
      <c r="J473" s="202">
        <f>-705.27</f>
        <v>-705.27</v>
      </c>
      <c r="K473" s="7"/>
      <c r="L473" s="201">
        <f>I473+J473+K473</f>
        <v>950</v>
      </c>
      <c r="M473" s="29"/>
      <c r="N473" s="7"/>
      <c r="O473" s="30">
        <f>L473+M473+N473</f>
        <v>950</v>
      </c>
      <c r="P473" s="85"/>
      <c r="Q473" s="193">
        <f>O473+P473</f>
        <v>950</v>
      </c>
    </row>
    <row r="474" spans="1:17" ht="12.75">
      <c r="A474" s="44" t="s">
        <v>131</v>
      </c>
      <c r="B474" s="102">
        <v>14</v>
      </c>
      <c r="C474" s="121">
        <f>SUM(C475:C479)</f>
        <v>44000</v>
      </c>
      <c r="D474" s="119">
        <f>SUM(D475:D479)</f>
        <v>67659.7</v>
      </c>
      <c r="E474" s="119">
        <f>SUM(E475:E479)</f>
        <v>0</v>
      </c>
      <c r="F474" s="120">
        <f>SUM(F475:F479)</f>
        <v>111659.7</v>
      </c>
      <c r="G474" s="202">
        <f aca="true" t="shared" si="137" ref="G474:Q474">SUM(G475:G479)</f>
        <v>23592.75</v>
      </c>
      <c r="H474" s="203">
        <f t="shared" si="137"/>
        <v>0</v>
      </c>
      <c r="I474" s="201">
        <f t="shared" si="137"/>
        <v>135252.45</v>
      </c>
      <c r="J474" s="202">
        <f t="shared" si="137"/>
        <v>798.9899999999998</v>
      </c>
      <c r="K474" s="119">
        <f t="shared" si="137"/>
        <v>0</v>
      </c>
      <c r="L474" s="201">
        <f t="shared" si="137"/>
        <v>136051.44</v>
      </c>
      <c r="M474" s="121">
        <f t="shared" si="137"/>
        <v>0</v>
      </c>
      <c r="N474" s="119">
        <f t="shared" si="137"/>
        <v>0</v>
      </c>
      <c r="O474" s="120">
        <f t="shared" si="137"/>
        <v>136051.44</v>
      </c>
      <c r="P474" s="121">
        <f t="shared" si="137"/>
        <v>0</v>
      </c>
      <c r="Q474" s="120">
        <f t="shared" si="137"/>
        <v>136051.44</v>
      </c>
    </row>
    <row r="475" spans="1:17" ht="12.75">
      <c r="A475" s="44" t="s">
        <v>132</v>
      </c>
      <c r="B475" s="102"/>
      <c r="C475" s="121">
        <v>23090</v>
      </c>
      <c r="D475" s="136">
        <f>12109.7+17500+51</f>
        <v>29660.7</v>
      </c>
      <c r="E475" s="136"/>
      <c r="F475" s="120">
        <f t="shared" si="133"/>
        <v>52750.7</v>
      </c>
      <c r="G475" s="202">
        <f>2426+5350+795</f>
        <v>8571</v>
      </c>
      <c r="H475" s="203"/>
      <c r="I475" s="201">
        <f>F475+G475+H475</f>
        <v>61321.7</v>
      </c>
      <c r="J475" s="202">
        <f>-7520.7+1501</f>
        <v>-6019.7</v>
      </c>
      <c r="K475" s="7"/>
      <c r="L475" s="201">
        <f>I475+J475+K475</f>
        <v>55302</v>
      </c>
      <c r="M475" s="29"/>
      <c r="N475" s="7"/>
      <c r="O475" s="30">
        <f>L475+M475+N475</f>
        <v>55302</v>
      </c>
      <c r="P475" s="85"/>
      <c r="Q475" s="193">
        <f aca="true" t="shared" si="138" ref="Q475:Q515">O475+P475</f>
        <v>55302</v>
      </c>
    </row>
    <row r="476" spans="1:17" ht="12.75">
      <c r="A476" s="44" t="s">
        <v>133</v>
      </c>
      <c r="B476" s="102"/>
      <c r="C476" s="121">
        <v>20910</v>
      </c>
      <c r="D476" s="119">
        <f>9101+14400-51</f>
        <v>23450</v>
      </c>
      <c r="E476" s="119"/>
      <c r="F476" s="120">
        <f t="shared" si="133"/>
        <v>44360</v>
      </c>
      <c r="G476" s="202">
        <f>4166.75-4200+6150+3905</f>
        <v>10021.75</v>
      </c>
      <c r="H476" s="203"/>
      <c r="I476" s="201">
        <f>F476+G476+H476</f>
        <v>54381.75</v>
      </c>
      <c r="J476" s="202">
        <f>5210.7+277</f>
        <v>5487.7</v>
      </c>
      <c r="K476" s="7"/>
      <c r="L476" s="201">
        <f>I476+J476+K476</f>
        <v>59869.45</v>
      </c>
      <c r="M476" s="29"/>
      <c r="N476" s="7"/>
      <c r="O476" s="30">
        <f>L476+M476+N476</f>
        <v>59869.45</v>
      </c>
      <c r="P476" s="85"/>
      <c r="Q476" s="193">
        <f t="shared" si="138"/>
        <v>59869.45</v>
      </c>
    </row>
    <row r="477" spans="1:17" ht="13.5" customHeight="1">
      <c r="A477" s="44" t="s">
        <v>134</v>
      </c>
      <c r="B477" s="102"/>
      <c r="C477" s="121"/>
      <c r="D477" s="119">
        <f>12581.5+1100</f>
        <v>13681.5</v>
      </c>
      <c r="E477" s="119"/>
      <c r="F477" s="120">
        <f t="shared" si="133"/>
        <v>13681.5</v>
      </c>
      <c r="G477" s="202">
        <f>4200+5000-4200</f>
        <v>5000</v>
      </c>
      <c r="H477" s="203"/>
      <c r="I477" s="201">
        <f>F477+G477+H477</f>
        <v>18681.5</v>
      </c>
      <c r="J477" s="222">
        <f>100+200+200</f>
        <v>500</v>
      </c>
      <c r="K477" s="7"/>
      <c r="L477" s="201">
        <f>I477+J477+K477</f>
        <v>19181.5</v>
      </c>
      <c r="M477" s="29"/>
      <c r="N477" s="7"/>
      <c r="O477" s="30">
        <f>L477+M477+N477</f>
        <v>19181.5</v>
      </c>
      <c r="P477" s="85"/>
      <c r="Q477" s="193">
        <f t="shared" si="138"/>
        <v>19181.5</v>
      </c>
    </row>
    <row r="478" spans="1:17" ht="13.5" customHeight="1">
      <c r="A478" s="45" t="s">
        <v>154</v>
      </c>
      <c r="B478" s="102"/>
      <c r="C478" s="121"/>
      <c r="D478" s="119">
        <f>867.5</f>
        <v>867.5</v>
      </c>
      <c r="E478" s="119"/>
      <c r="F478" s="120">
        <f t="shared" si="133"/>
        <v>867.5</v>
      </c>
      <c r="G478" s="202"/>
      <c r="H478" s="203"/>
      <c r="I478" s="201">
        <f>F478+G478+H478</f>
        <v>867.5</v>
      </c>
      <c r="J478" s="202"/>
      <c r="K478" s="7"/>
      <c r="L478" s="201">
        <f>I478+J478+K478</f>
        <v>867.5</v>
      </c>
      <c r="M478" s="29"/>
      <c r="N478" s="7"/>
      <c r="O478" s="30">
        <f>L478+M478+N478</f>
        <v>867.5</v>
      </c>
      <c r="P478" s="85"/>
      <c r="Q478" s="193">
        <f t="shared" si="138"/>
        <v>867.5</v>
      </c>
    </row>
    <row r="479" spans="1:17" ht="12.75">
      <c r="A479" s="44" t="s">
        <v>135</v>
      </c>
      <c r="B479" s="102"/>
      <c r="C479" s="121"/>
      <c r="D479" s="119"/>
      <c r="E479" s="119"/>
      <c r="F479" s="120">
        <f t="shared" si="133"/>
        <v>0</v>
      </c>
      <c r="G479" s="202"/>
      <c r="H479" s="203"/>
      <c r="I479" s="201">
        <f>F479+G479+H479</f>
        <v>0</v>
      </c>
      <c r="J479" s="202">
        <f>2210+430+168.99-1978</f>
        <v>830.9899999999998</v>
      </c>
      <c r="K479" s="7"/>
      <c r="L479" s="201">
        <f>I479+J479+K479</f>
        <v>830.9899999999998</v>
      </c>
      <c r="M479" s="29"/>
      <c r="N479" s="7"/>
      <c r="O479" s="30">
        <f>L479+M479+N479</f>
        <v>830.9899999999998</v>
      </c>
      <c r="P479" s="85"/>
      <c r="Q479" s="193">
        <f t="shared" si="138"/>
        <v>830.9899999999998</v>
      </c>
    </row>
    <row r="480" spans="1:17" ht="12.75">
      <c r="A480" s="44" t="s">
        <v>136</v>
      </c>
      <c r="B480" s="102">
        <v>15</v>
      </c>
      <c r="C480" s="121">
        <f>SUM(C481:C487)</f>
        <v>210450</v>
      </c>
      <c r="D480" s="119">
        <f>SUM(D481:D487)</f>
        <v>99932.30000000002</v>
      </c>
      <c r="E480" s="119">
        <f>SUM(E481:E487)</f>
        <v>1800</v>
      </c>
      <c r="F480" s="120">
        <f>SUM(F481:F487)</f>
        <v>312182.30000000005</v>
      </c>
      <c r="G480" s="202">
        <f aca="true" t="shared" si="139" ref="G480:Q480">SUM(G481:G487)</f>
        <v>4000</v>
      </c>
      <c r="H480" s="203">
        <f t="shared" si="139"/>
        <v>0</v>
      </c>
      <c r="I480" s="201">
        <f t="shared" si="139"/>
        <v>316182.3</v>
      </c>
      <c r="J480" s="202">
        <f t="shared" si="139"/>
        <v>0</v>
      </c>
      <c r="K480" s="119">
        <f t="shared" si="139"/>
        <v>0</v>
      </c>
      <c r="L480" s="201">
        <f t="shared" si="139"/>
        <v>316182.3</v>
      </c>
      <c r="M480" s="121">
        <f t="shared" si="139"/>
        <v>0</v>
      </c>
      <c r="N480" s="119">
        <f t="shared" si="139"/>
        <v>0</v>
      </c>
      <c r="O480" s="120">
        <f t="shared" si="139"/>
        <v>316182.3</v>
      </c>
      <c r="P480" s="121">
        <f t="shared" si="139"/>
        <v>0</v>
      </c>
      <c r="Q480" s="120">
        <f t="shared" si="139"/>
        <v>316182.3</v>
      </c>
    </row>
    <row r="481" spans="1:17" ht="12.75">
      <c r="A481" s="44" t="s">
        <v>137</v>
      </c>
      <c r="B481" s="102"/>
      <c r="C481" s="121">
        <v>203900</v>
      </c>
      <c r="D481" s="119">
        <f>116359.11-100000</f>
        <v>16359.11</v>
      </c>
      <c r="E481" s="119"/>
      <c r="F481" s="120">
        <f t="shared" si="133"/>
        <v>220259.11</v>
      </c>
      <c r="G481" s="202">
        <f>-184+21000</f>
        <v>20816</v>
      </c>
      <c r="H481" s="203"/>
      <c r="I481" s="201">
        <f aca="true" t="shared" si="140" ref="I481:I487">F481+G481+H481</f>
        <v>241075.11</v>
      </c>
      <c r="J481" s="202">
        <f>200+8396</f>
        <v>8596</v>
      </c>
      <c r="K481" s="7"/>
      <c r="L481" s="201">
        <f aca="true" t="shared" si="141" ref="L481:L487">I481+J481+K481</f>
        <v>249671.11</v>
      </c>
      <c r="M481" s="29"/>
      <c r="N481" s="7"/>
      <c r="O481" s="30">
        <f aca="true" t="shared" si="142" ref="O481:O487">L481+M481+N481</f>
        <v>249671.11</v>
      </c>
      <c r="P481" s="85"/>
      <c r="Q481" s="193">
        <f t="shared" si="138"/>
        <v>249671.11</v>
      </c>
    </row>
    <row r="482" spans="1:17" ht="12.75" hidden="1">
      <c r="A482" s="44" t="s">
        <v>138</v>
      </c>
      <c r="B482" s="102"/>
      <c r="C482" s="121">
        <v>0</v>
      </c>
      <c r="D482" s="119"/>
      <c r="E482" s="119"/>
      <c r="F482" s="120">
        <f t="shared" si="133"/>
        <v>0</v>
      </c>
      <c r="G482" s="202"/>
      <c r="H482" s="203"/>
      <c r="I482" s="201">
        <f t="shared" si="140"/>
        <v>0</v>
      </c>
      <c r="J482" s="202"/>
      <c r="K482" s="7"/>
      <c r="L482" s="201">
        <f t="shared" si="141"/>
        <v>0</v>
      </c>
      <c r="M482" s="29"/>
      <c r="N482" s="7"/>
      <c r="O482" s="30">
        <f t="shared" si="142"/>
        <v>0</v>
      </c>
      <c r="P482" s="85"/>
      <c r="Q482" s="193">
        <f t="shared" si="138"/>
        <v>0</v>
      </c>
    </row>
    <row r="483" spans="1:17" ht="12.75" hidden="1">
      <c r="A483" s="44" t="s">
        <v>139</v>
      </c>
      <c r="B483" s="102"/>
      <c r="C483" s="121"/>
      <c r="D483" s="136"/>
      <c r="E483" s="136"/>
      <c r="F483" s="120">
        <f t="shared" si="133"/>
        <v>0</v>
      </c>
      <c r="G483" s="202"/>
      <c r="H483" s="203"/>
      <c r="I483" s="201">
        <f t="shared" si="140"/>
        <v>0</v>
      </c>
      <c r="J483" s="202"/>
      <c r="K483" s="7"/>
      <c r="L483" s="201">
        <f t="shared" si="141"/>
        <v>0</v>
      </c>
      <c r="M483" s="29"/>
      <c r="N483" s="7"/>
      <c r="O483" s="30">
        <f t="shared" si="142"/>
        <v>0</v>
      </c>
      <c r="P483" s="85"/>
      <c r="Q483" s="193">
        <f t="shared" si="138"/>
        <v>0</v>
      </c>
    </row>
    <row r="484" spans="1:17" ht="12.75">
      <c r="A484" s="44" t="s">
        <v>140</v>
      </c>
      <c r="B484" s="102"/>
      <c r="C484" s="121"/>
      <c r="D484" s="119">
        <f>30121.33</f>
        <v>30121.33</v>
      </c>
      <c r="E484" s="119"/>
      <c r="F484" s="120">
        <f t="shared" si="133"/>
        <v>30121.33</v>
      </c>
      <c r="G484" s="202">
        <f>4000</f>
        <v>4000</v>
      </c>
      <c r="H484" s="203"/>
      <c r="I484" s="201">
        <f t="shared" si="140"/>
        <v>34121.33</v>
      </c>
      <c r="J484" s="202"/>
      <c r="K484" s="7"/>
      <c r="L484" s="201">
        <f t="shared" si="141"/>
        <v>34121.33</v>
      </c>
      <c r="M484" s="29"/>
      <c r="N484" s="7"/>
      <c r="O484" s="30">
        <f t="shared" si="142"/>
        <v>34121.33</v>
      </c>
      <c r="P484" s="85"/>
      <c r="Q484" s="193">
        <f t="shared" si="138"/>
        <v>34121.33</v>
      </c>
    </row>
    <row r="485" spans="1:17" ht="12.75">
      <c r="A485" s="44" t="s">
        <v>141</v>
      </c>
      <c r="B485" s="102"/>
      <c r="C485" s="121"/>
      <c r="D485" s="119">
        <f>5444.91</f>
        <v>5444.91</v>
      </c>
      <c r="E485" s="119"/>
      <c r="F485" s="120">
        <f t="shared" si="133"/>
        <v>5444.91</v>
      </c>
      <c r="G485" s="202"/>
      <c r="H485" s="203"/>
      <c r="I485" s="201">
        <f t="shared" si="140"/>
        <v>5444.91</v>
      </c>
      <c r="J485" s="222"/>
      <c r="K485" s="7"/>
      <c r="L485" s="201">
        <f t="shared" si="141"/>
        <v>5444.91</v>
      </c>
      <c r="M485" s="29"/>
      <c r="N485" s="7"/>
      <c r="O485" s="30">
        <f t="shared" si="142"/>
        <v>5444.91</v>
      </c>
      <c r="P485" s="85"/>
      <c r="Q485" s="193">
        <f t="shared" si="138"/>
        <v>5444.91</v>
      </c>
    </row>
    <row r="486" spans="1:17" ht="12.75">
      <c r="A486" s="44" t="s">
        <v>142</v>
      </c>
      <c r="B486" s="102"/>
      <c r="C486" s="121">
        <v>6550</v>
      </c>
      <c r="D486" s="119">
        <f>6984.3</f>
        <v>6984.3</v>
      </c>
      <c r="E486" s="119">
        <v>1800</v>
      </c>
      <c r="F486" s="120">
        <f t="shared" si="133"/>
        <v>15334.3</v>
      </c>
      <c r="G486" s="202">
        <f>184</f>
        <v>184</v>
      </c>
      <c r="H486" s="203"/>
      <c r="I486" s="201">
        <f t="shared" si="140"/>
        <v>15518.3</v>
      </c>
      <c r="J486" s="202"/>
      <c r="K486" s="7"/>
      <c r="L486" s="201">
        <f t="shared" si="141"/>
        <v>15518.3</v>
      </c>
      <c r="M486" s="29"/>
      <c r="N486" s="7"/>
      <c r="O486" s="30">
        <f t="shared" si="142"/>
        <v>15518.3</v>
      </c>
      <c r="P486" s="85"/>
      <c r="Q486" s="193">
        <f t="shared" si="138"/>
        <v>15518.3</v>
      </c>
    </row>
    <row r="487" spans="1:17" ht="12.75">
      <c r="A487" s="44" t="s">
        <v>135</v>
      </c>
      <c r="B487" s="102"/>
      <c r="C487" s="121"/>
      <c r="D487" s="119">
        <f>979.15+43.5+40000</f>
        <v>41022.65</v>
      </c>
      <c r="E487" s="119"/>
      <c r="F487" s="120">
        <f t="shared" si="133"/>
        <v>41022.65</v>
      </c>
      <c r="G487" s="202">
        <f>-21000</f>
        <v>-21000</v>
      </c>
      <c r="H487" s="203"/>
      <c r="I487" s="201">
        <f t="shared" si="140"/>
        <v>20022.65</v>
      </c>
      <c r="J487" s="202">
        <f>-200-8396</f>
        <v>-8596</v>
      </c>
      <c r="K487" s="7"/>
      <c r="L487" s="201">
        <f t="shared" si="141"/>
        <v>11426.650000000001</v>
      </c>
      <c r="M487" s="29"/>
      <c r="N487" s="7"/>
      <c r="O487" s="30">
        <f t="shared" si="142"/>
        <v>11426.650000000001</v>
      </c>
      <c r="P487" s="85"/>
      <c r="Q487" s="193">
        <f t="shared" si="138"/>
        <v>11426.650000000001</v>
      </c>
    </row>
    <row r="488" spans="1:17" ht="12.75">
      <c r="A488" s="44" t="s">
        <v>143</v>
      </c>
      <c r="B488" s="102">
        <v>16</v>
      </c>
      <c r="C488" s="121">
        <f>SUM(C489:C492)</f>
        <v>3000</v>
      </c>
      <c r="D488" s="119">
        <f>SUM(D489:D492)</f>
        <v>5473.72</v>
      </c>
      <c r="E488" s="119">
        <f>SUM(E489:E492)</f>
        <v>0</v>
      </c>
      <c r="F488" s="120">
        <f>SUM(F489:F492)</f>
        <v>8473.72</v>
      </c>
      <c r="G488" s="202">
        <f aca="true" t="shared" si="143" ref="G488:Q488">SUM(G489:G492)</f>
        <v>0</v>
      </c>
      <c r="H488" s="203">
        <f t="shared" si="143"/>
        <v>0</v>
      </c>
      <c r="I488" s="201">
        <f t="shared" si="143"/>
        <v>8473.72</v>
      </c>
      <c r="J488" s="202">
        <f t="shared" si="143"/>
        <v>0</v>
      </c>
      <c r="K488" s="119">
        <f t="shared" si="143"/>
        <v>0</v>
      </c>
      <c r="L488" s="201">
        <f t="shared" si="143"/>
        <v>8473.72</v>
      </c>
      <c r="M488" s="121">
        <f t="shared" si="143"/>
        <v>0</v>
      </c>
      <c r="N488" s="119">
        <f t="shared" si="143"/>
        <v>0</v>
      </c>
      <c r="O488" s="120">
        <f t="shared" si="143"/>
        <v>8473.72</v>
      </c>
      <c r="P488" s="121">
        <f t="shared" si="143"/>
        <v>0</v>
      </c>
      <c r="Q488" s="120">
        <f t="shared" si="143"/>
        <v>8473.72</v>
      </c>
    </row>
    <row r="489" spans="1:17" ht="12.75">
      <c r="A489" s="44" t="s">
        <v>132</v>
      </c>
      <c r="B489" s="102"/>
      <c r="C489" s="121">
        <v>1558</v>
      </c>
      <c r="D489" s="119">
        <f>1120+100</f>
        <v>1220</v>
      </c>
      <c r="E489" s="119"/>
      <c r="F489" s="120">
        <f t="shared" si="133"/>
        <v>2778</v>
      </c>
      <c r="G489" s="202"/>
      <c r="H489" s="203"/>
      <c r="I489" s="201">
        <f>F489+G489+H489</f>
        <v>2778</v>
      </c>
      <c r="J489" s="202"/>
      <c r="K489" s="7"/>
      <c r="L489" s="201">
        <f>I489+J489+K489</f>
        <v>2778</v>
      </c>
      <c r="M489" s="29"/>
      <c r="N489" s="7"/>
      <c r="O489" s="30">
        <f>L489+M489+N489</f>
        <v>2778</v>
      </c>
      <c r="P489" s="85"/>
      <c r="Q489" s="193">
        <f t="shared" si="138"/>
        <v>2778</v>
      </c>
    </row>
    <row r="490" spans="1:17" ht="12.75">
      <c r="A490" s="44" t="s">
        <v>133</v>
      </c>
      <c r="B490" s="102"/>
      <c r="C490" s="121">
        <v>750</v>
      </c>
      <c r="D490" s="119">
        <f>180-100</f>
        <v>80</v>
      </c>
      <c r="E490" s="119"/>
      <c r="F490" s="120">
        <f t="shared" si="133"/>
        <v>830</v>
      </c>
      <c r="G490" s="202"/>
      <c r="H490" s="203"/>
      <c r="I490" s="201">
        <f>F490+G490+H490</f>
        <v>830</v>
      </c>
      <c r="J490" s="202"/>
      <c r="K490" s="7"/>
      <c r="L490" s="201">
        <f>I490+J490+K490</f>
        <v>830</v>
      </c>
      <c r="M490" s="29"/>
      <c r="N490" s="7"/>
      <c r="O490" s="30">
        <f>L490+M490+N490</f>
        <v>830</v>
      </c>
      <c r="P490" s="85"/>
      <c r="Q490" s="193">
        <f t="shared" si="138"/>
        <v>830</v>
      </c>
    </row>
    <row r="491" spans="1:17" ht="12.75">
      <c r="A491" s="44" t="s">
        <v>134</v>
      </c>
      <c r="B491" s="102"/>
      <c r="C491" s="121">
        <v>692</v>
      </c>
      <c r="D491" s="119">
        <f>3680.16</f>
        <v>3680.16</v>
      </c>
      <c r="E491" s="119"/>
      <c r="F491" s="120">
        <f t="shared" si="133"/>
        <v>4372.16</v>
      </c>
      <c r="G491" s="202"/>
      <c r="H491" s="203"/>
      <c r="I491" s="201">
        <f>F491+G491+H491</f>
        <v>4372.16</v>
      </c>
      <c r="J491" s="202"/>
      <c r="K491" s="7"/>
      <c r="L491" s="201">
        <f>I491+J491+K491</f>
        <v>4372.16</v>
      </c>
      <c r="M491" s="29"/>
      <c r="N491" s="7"/>
      <c r="O491" s="30">
        <f>L491+M491+N491</f>
        <v>4372.16</v>
      </c>
      <c r="P491" s="85"/>
      <c r="Q491" s="193">
        <f t="shared" si="138"/>
        <v>4372.16</v>
      </c>
    </row>
    <row r="492" spans="1:17" ht="12.75">
      <c r="A492" s="44" t="s">
        <v>135</v>
      </c>
      <c r="B492" s="102"/>
      <c r="C492" s="121">
        <v>0</v>
      </c>
      <c r="D492" s="119">
        <f>493.56</f>
        <v>493.56</v>
      </c>
      <c r="E492" s="119"/>
      <c r="F492" s="120">
        <f t="shared" si="133"/>
        <v>493.56</v>
      </c>
      <c r="G492" s="202"/>
      <c r="H492" s="203"/>
      <c r="I492" s="201">
        <f>F492+G492+H492</f>
        <v>493.56</v>
      </c>
      <c r="J492" s="202"/>
      <c r="K492" s="7"/>
      <c r="L492" s="201">
        <f>I492+J492+K492</f>
        <v>493.56</v>
      </c>
      <c r="M492" s="29"/>
      <c r="N492" s="7"/>
      <c r="O492" s="30">
        <f>L492+M492+N492</f>
        <v>493.56</v>
      </c>
      <c r="P492" s="85"/>
      <c r="Q492" s="193">
        <f t="shared" si="138"/>
        <v>493.56</v>
      </c>
    </row>
    <row r="493" spans="1:17" ht="12.75">
      <c r="A493" s="44" t="s">
        <v>144</v>
      </c>
      <c r="B493" s="102">
        <v>28</v>
      </c>
      <c r="C493" s="121">
        <f>SUM(C494:C498)</f>
        <v>10000</v>
      </c>
      <c r="D493" s="119">
        <f>SUM(D494:D498)</f>
        <v>48099.49</v>
      </c>
      <c r="E493" s="119">
        <f>SUM(E494:E498)</f>
        <v>0</v>
      </c>
      <c r="F493" s="120">
        <f>SUM(F494:F498)</f>
        <v>58099.49</v>
      </c>
      <c r="G493" s="202">
        <f aca="true" t="shared" si="144" ref="G493:Q493">SUM(G494:G498)</f>
        <v>-102.74000000000005</v>
      </c>
      <c r="H493" s="203">
        <f t="shared" si="144"/>
        <v>0</v>
      </c>
      <c r="I493" s="201">
        <f t="shared" si="144"/>
        <v>57996.75</v>
      </c>
      <c r="J493" s="202">
        <f t="shared" si="144"/>
        <v>0</v>
      </c>
      <c r="K493" s="119">
        <f t="shared" si="144"/>
        <v>0</v>
      </c>
      <c r="L493" s="201">
        <f t="shared" si="144"/>
        <v>57996.75</v>
      </c>
      <c r="M493" s="121">
        <f t="shared" si="144"/>
        <v>0</v>
      </c>
      <c r="N493" s="119">
        <f t="shared" si="144"/>
        <v>-60.6</v>
      </c>
      <c r="O493" s="120">
        <f t="shared" si="144"/>
        <v>57936.15</v>
      </c>
      <c r="P493" s="121">
        <f t="shared" si="144"/>
        <v>0</v>
      </c>
      <c r="Q493" s="120">
        <f t="shared" si="144"/>
        <v>57936.15</v>
      </c>
    </row>
    <row r="494" spans="1:17" ht="12.75">
      <c r="A494" s="44" t="s">
        <v>132</v>
      </c>
      <c r="B494" s="102"/>
      <c r="C494" s="121">
        <v>1550</v>
      </c>
      <c r="D494" s="119">
        <f>5695+4200</f>
        <v>9895</v>
      </c>
      <c r="E494" s="119"/>
      <c r="F494" s="120">
        <f t="shared" si="133"/>
        <v>11445</v>
      </c>
      <c r="G494" s="202">
        <f>-250</f>
        <v>-250</v>
      </c>
      <c r="H494" s="203"/>
      <c r="I494" s="201">
        <f>F494+G494+H494</f>
        <v>11195</v>
      </c>
      <c r="J494" s="202"/>
      <c r="K494" s="7"/>
      <c r="L494" s="201">
        <f>I494+J494+K494</f>
        <v>11195</v>
      </c>
      <c r="M494" s="29"/>
      <c r="N494" s="7"/>
      <c r="O494" s="30">
        <f>L494+M494+N494</f>
        <v>11195</v>
      </c>
      <c r="P494" s="85"/>
      <c r="Q494" s="193">
        <f t="shared" si="138"/>
        <v>11195</v>
      </c>
    </row>
    <row r="495" spans="1:17" ht="12.75">
      <c r="A495" s="44" t="s">
        <v>133</v>
      </c>
      <c r="B495" s="102"/>
      <c r="C495" s="121"/>
      <c r="D495" s="119">
        <f>200</f>
        <v>200</v>
      </c>
      <c r="E495" s="119"/>
      <c r="F495" s="120">
        <f t="shared" si="133"/>
        <v>200</v>
      </c>
      <c r="G495" s="202">
        <f>400</f>
        <v>400</v>
      </c>
      <c r="H495" s="203"/>
      <c r="I495" s="201">
        <f>F495+G495+H495</f>
        <v>600</v>
      </c>
      <c r="J495" s="202"/>
      <c r="K495" s="7"/>
      <c r="L495" s="201">
        <f>I495+J495+K495</f>
        <v>600</v>
      </c>
      <c r="M495" s="29"/>
      <c r="N495" s="7"/>
      <c r="O495" s="30">
        <f>L495+M495+N495</f>
        <v>600</v>
      </c>
      <c r="P495" s="85"/>
      <c r="Q495" s="193">
        <f t="shared" si="138"/>
        <v>600</v>
      </c>
    </row>
    <row r="496" spans="1:17" ht="12.75">
      <c r="A496" s="44" t="s">
        <v>145</v>
      </c>
      <c r="B496" s="102"/>
      <c r="C496" s="121">
        <v>8200</v>
      </c>
      <c r="D496" s="119">
        <f>33224.67+510+4000+515.32</f>
        <v>38249.99</v>
      </c>
      <c r="E496" s="119"/>
      <c r="F496" s="120">
        <f t="shared" si="133"/>
        <v>46449.99</v>
      </c>
      <c r="G496" s="202">
        <f>250-515.32</f>
        <v>-265.32000000000005</v>
      </c>
      <c r="H496" s="203"/>
      <c r="I496" s="201">
        <f>F496+G496+H496</f>
        <v>46184.67</v>
      </c>
      <c r="J496" s="202"/>
      <c r="K496" s="7"/>
      <c r="L496" s="201">
        <f>I496+J496+K496</f>
        <v>46184.67</v>
      </c>
      <c r="M496" s="29"/>
      <c r="N496" s="7"/>
      <c r="O496" s="30">
        <f>L496+M496+N496</f>
        <v>46184.67</v>
      </c>
      <c r="P496" s="85"/>
      <c r="Q496" s="193">
        <f t="shared" si="138"/>
        <v>46184.67</v>
      </c>
    </row>
    <row r="497" spans="1:17" ht="12.75" hidden="1">
      <c r="A497" s="44" t="s">
        <v>142</v>
      </c>
      <c r="B497" s="102"/>
      <c r="C497" s="121"/>
      <c r="D497" s="119"/>
      <c r="E497" s="119"/>
      <c r="F497" s="120">
        <f t="shared" si="133"/>
        <v>0</v>
      </c>
      <c r="G497" s="202"/>
      <c r="H497" s="203"/>
      <c r="I497" s="201">
        <f>F497+G497+H497</f>
        <v>0</v>
      </c>
      <c r="J497" s="202"/>
      <c r="K497" s="7"/>
      <c r="L497" s="201">
        <f>I497+J497+K497</f>
        <v>0</v>
      </c>
      <c r="M497" s="29"/>
      <c r="N497" s="7"/>
      <c r="O497" s="30">
        <f>L497+M497+N497</f>
        <v>0</v>
      </c>
      <c r="P497" s="85"/>
      <c r="Q497" s="193">
        <f t="shared" si="138"/>
        <v>0</v>
      </c>
    </row>
    <row r="498" spans="1:17" ht="12.75">
      <c r="A498" s="44" t="s">
        <v>135</v>
      </c>
      <c r="B498" s="102"/>
      <c r="C498" s="121">
        <v>250</v>
      </c>
      <c r="D498" s="136">
        <f>1464.5-510-1200</f>
        <v>-245.5</v>
      </c>
      <c r="E498" s="119"/>
      <c r="F498" s="120">
        <f t="shared" si="133"/>
        <v>4.5</v>
      </c>
      <c r="G498" s="202">
        <f>12.58</f>
        <v>12.58</v>
      </c>
      <c r="H498" s="203"/>
      <c r="I498" s="201">
        <f>F498+G498+H498</f>
        <v>17.08</v>
      </c>
      <c r="J498" s="202"/>
      <c r="K498" s="7"/>
      <c r="L498" s="201">
        <f>I498+J498+K498</f>
        <v>17.08</v>
      </c>
      <c r="M498" s="29"/>
      <c r="N498" s="7">
        <v>-60.6</v>
      </c>
      <c r="O498" s="30">
        <f>L498+M498+N498</f>
        <v>-43.52</v>
      </c>
      <c r="P498" s="85"/>
      <c r="Q498" s="193">
        <f t="shared" si="138"/>
        <v>-43.52</v>
      </c>
    </row>
    <row r="499" spans="1:17" ht="12.75">
      <c r="A499" s="45" t="s">
        <v>146</v>
      </c>
      <c r="B499" s="102"/>
      <c r="C499" s="121">
        <f>C500+C501</f>
        <v>15000</v>
      </c>
      <c r="D499" s="119">
        <f>D500+D501</f>
        <v>10</v>
      </c>
      <c r="E499" s="119">
        <f>E500+E501</f>
        <v>0</v>
      </c>
      <c r="F499" s="120">
        <f>F500+F501</f>
        <v>15010</v>
      </c>
      <c r="G499" s="202">
        <f aca="true" t="shared" si="145" ref="G499:Q499">G500+G501</f>
        <v>517.57</v>
      </c>
      <c r="H499" s="203">
        <f t="shared" si="145"/>
        <v>0</v>
      </c>
      <c r="I499" s="201">
        <f t="shared" si="145"/>
        <v>15527.57</v>
      </c>
      <c r="J499" s="202">
        <f t="shared" si="145"/>
        <v>-644.73</v>
      </c>
      <c r="K499" s="119">
        <f t="shared" si="145"/>
        <v>0</v>
      </c>
      <c r="L499" s="201">
        <f t="shared" si="145"/>
        <v>14882.84</v>
      </c>
      <c r="M499" s="121">
        <f t="shared" si="145"/>
        <v>0</v>
      </c>
      <c r="N499" s="119">
        <f t="shared" si="145"/>
        <v>0</v>
      </c>
      <c r="O499" s="120">
        <f t="shared" si="145"/>
        <v>0</v>
      </c>
      <c r="P499" s="121">
        <f t="shared" si="145"/>
        <v>0</v>
      </c>
      <c r="Q499" s="120">
        <f t="shared" si="145"/>
        <v>0</v>
      </c>
    </row>
    <row r="500" spans="1:17" ht="12.75">
      <c r="A500" s="45" t="s">
        <v>304</v>
      </c>
      <c r="B500" s="102"/>
      <c r="C500" s="121">
        <v>15000</v>
      </c>
      <c r="D500" s="119"/>
      <c r="E500" s="119"/>
      <c r="F500" s="120">
        <f t="shared" si="133"/>
        <v>15000</v>
      </c>
      <c r="G500" s="202">
        <f>517.57</f>
        <v>517.57</v>
      </c>
      <c r="H500" s="203"/>
      <c r="I500" s="201">
        <f>F500+G500+H500</f>
        <v>15517.57</v>
      </c>
      <c r="J500" s="202">
        <f>-644.73</f>
        <v>-644.73</v>
      </c>
      <c r="K500" s="7"/>
      <c r="L500" s="201">
        <f>I500+J500+K500</f>
        <v>14872.84</v>
      </c>
      <c r="M500" s="29"/>
      <c r="N500" s="7"/>
      <c r="O500" s="30"/>
      <c r="P500" s="85"/>
      <c r="Q500" s="193"/>
    </row>
    <row r="501" spans="1:17" ht="12.75">
      <c r="A501" s="48" t="s">
        <v>305</v>
      </c>
      <c r="B501" s="105"/>
      <c r="C501" s="131"/>
      <c r="D501" s="132">
        <v>10</v>
      </c>
      <c r="E501" s="132"/>
      <c r="F501" s="169">
        <f t="shared" si="133"/>
        <v>10</v>
      </c>
      <c r="G501" s="215"/>
      <c r="H501" s="216"/>
      <c r="I501" s="217">
        <f>F501+G501+H501</f>
        <v>10</v>
      </c>
      <c r="J501" s="215"/>
      <c r="K501" s="10"/>
      <c r="L501" s="217">
        <f>I501+J501+K501</f>
        <v>10</v>
      </c>
      <c r="M501" s="33"/>
      <c r="N501" s="10"/>
      <c r="O501" s="34"/>
      <c r="P501" s="90"/>
      <c r="Q501" s="194"/>
    </row>
    <row r="502" spans="1:17" ht="13.5" thickBot="1">
      <c r="A502" s="59" t="s">
        <v>147</v>
      </c>
      <c r="B502" s="106"/>
      <c r="C502" s="122">
        <v>5900.9</v>
      </c>
      <c r="D502" s="123">
        <f>94.04+141.22</f>
        <v>235.26</v>
      </c>
      <c r="E502" s="123"/>
      <c r="F502" s="124">
        <f t="shared" si="133"/>
        <v>6136.16</v>
      </c>
      <c r="G502" s="206">
        <f>7.6</f>
        <v>7.6</v>
      </c>
      <c r="H502" s="207">
        <f>981.58-0.73</f>
        <v>980.85</v>
      </c>
      <c r="I502" s="208">
        <f>SUM(F502:H502)</f>
        <v>7124.610000000001</v>
      </c>
      <c r="J502" s="206">
        <f>80.89</f>
        <v>80.89</v>
      </c>
      <c r="K502" s="8"/>
      <c r="L502" s="208">
        <f>SUM(I502:K502)</f>
        <v>7205.500000000001</v>
      </c>
      <c r="M502" s="31"/>
      <c r="N502" s="8"/>
      <c r="O502" s="32">
        <f>SUM(L502:N502)</f>
        <v>7205.500000000001</v>
      </c>
      <c r="P502" s="86"/>
      <c r="Q502" s="32">
        <f>O502+P502</f>
        <v>7205.500000000001</v>
      </c>
    </row>
    <row r="503" spans="1:17" ht="14.25" thickBot="1">
      <c r="A503" s="60" t="s">
        <v>148</v>
      </c>
      <c r="B503" s="109"/>
      <c r="C503" s="161">
        <f aca="true" t="shared" si="146" ref="C503:Q503">C103+C120+C138+C157+C167+C185+C197+C221+C265+C288+C364+C390+C412+C419+C448+C452+C502+C426+C309</f>
        <v>3640237.9</v>
      </c>
      <c r="D503" s="151">
        <f t="shared" si="146"/>
        <v>7890707.289999998</v>
      </c>
      <c r="E503" s="151">
        <f t="shared" si="146"/>
        <v>1800</v>
      </c>
      <c r="F503" s="148">
        <f t="shared" si="146"/>
        <v>11532745.190000001</v>
      </c>
      <c r="G503" s="228">
        <f t="shared" si="146"/>
        <v>1025984.0800000001</v>
      </c>
      <c r="H503" s="229">
        <f t="shared" si="146"/>
        <v>51928.81</v>
      </c>
      <c r="I503" s="230">
        <f t="shared" si="146"/>
        <v>12610658.080000002</v>
      </c>
      <c r="J503" s="228">
        <f t="shared" si="146"/>
        <v>632063.86</v>
      </c>
      <c r="K503" s="151">
        <f t="shared" si="146"/>
        <v>0</v>
      </c>
      <c r="L503" s="230">
        <f t="shared" si="146"/>
        <v>13242721.940000003</v>
      </c>
      <c r="M503" s="161">
        <f t="shared" si="146"/>
        <v>0</v>
      </c>
      <c r="N503" s="151">
        <f t="shared" si="146"/>
        <v>-60.6</v>
      </c>
      <c r="O503" s="148">
        <f t="shared" si="146"/>
        <v>9472837.880000003</v>
      </c>
      <c r="P503" s="161">
        <f t="shared" si="146"/>
        <v>0</v>
      </c>
      <c r="Q503" s="148">
        <f t="shared" si="146"/>
        <v>9472837.880000003</v>
      </c>
    </row>
    <row r="504" spans="1:17" ht="13.5" thickBot="1">
      <c r="A504" s="61" t="s">
        <v>149</v>
      </c>
      <c r="B504" s="109"/>
      <c r="C504" s="162">
        <v>-5900.9</v>
      </c>
      <c r="D504" s="152">
        <f>-94.04-141.22</f>
        <v>-235.26</v>
      </c>
      <c r="E504" s="152"/>
      <c r="F504" s="142">
        <f>SUM(C504:E504)</f>
        <v>-6136.16</v>
      </c>
      <c r="G504" s="231">
        <f>-7.6</f>
        <v>-7.6</v>
      </c>
      <c r="H504" s="232"/>
      <c r="I504" s="233">
        <f>SUM(F504:H504)</f>
        <v>-6143.76</v>
      </c>
      <c r="J504" s="231">
        <f>-80.89</f>
        <v>-80.89</v>
      </c>
      <c r="K504" s="13"/>
      <c r="L504" s="233">
        <f>SUM(I504:K504)</f>
        <v>-6224.650000000001</v>
      </c>
      <c r="M504" s="21"/>
      <c r="N504" s="13"/>
      <c r="O504" s="14">
        <f>SUM(L504:N504)</f>
        <v>-6224.650000000001</v>
      </c>
      <c r="P504" s="85"/>
      <c r="Q504" s="195">
        <f t="shared" si="138"/>
        <v>-6224.650000000001</v>
      </c>
    </row>
    <row r="505" spans="1:17" ht="15.75" thickBot="1">
      <c r="A505" s="62" t="s">
        <v>150</v>
      </c>
      <c r="B505" s="109"/>
      <c r="C505" s="163">
        <f>C503+C504</f>
        <v>3634337</v>
      </c>
      <c r="D505" s="153">
        <f>D503+D504</f>
        <v>7890472.029999998</v>
      </c>
      <c r="E505" s="153">
        <f>E503+E504</f>
        <v>1800</v>
      </c>
      <c r="F505" s="143">
        <f>F503+F504</f>
        <v>11526609.030000001</v>
      </c>
      <c r="G505" s="234">
        <f aca="true" t="shared" si="147" ref="G505:Q505">G503+G504</f>
        <v>1025976.4800000001</v>
      </c>
      <c r="H505" s="235">
        <f t="shared" si="147"/>
        <v>51928.81</v>
      </c>
      <c r="I505" s="236">
        <f t="shared" si="147"/>
        <v>12604514.320000002</v>
      </c>
      <c r="J505" s="234">
        <f t="shared" si="147"/>
        <v>631982.97</v>
      </c>
      <c r="K505" s="153">
        <f t="shared" si="147"/>
        <v>0</v>
      </c>
      <c r="L505" s="236">
        <f t="shared" si="147"/>
        <v>13236497.290000003</v>
      </c>
      <c r="M505" s="163">
        <f t="shared" si="147"/>
        <v>0</v>
      </c>
      <c r="N505" s="153">
        <f t="shared" si="147"/>
        <v>-60.6</v>
      </c>
      <c r="O505" s="143">
        <f t="shared" si="147"/>
        <v>9466613.230000002</v>
      </c>
      <c r="P505" s="163">
        <f t="shared" si="147"/>
        <v>0</v>
      </c>
      <c r="Q505" s="143">
        <f t="shared" si="147"/>
        <v>9466613.230000002</v>
      </c>
    </row>
    <row r="506" spans="1:17" ht="15">
      <c r="A506" s="63" t="s">
        <v>33</v>
      </c>
      <c r="B506" s="110"/>
      <c r="C506" s="164"/>
      <c r="D506" s="154"/>
      <c r="E506" s="154"/>
      <c r="F506" s="144"/>
      <c r="G506" s="237"/>
      <c r="H506" s="238"/>
      <c r="I506" s="239"/>
      <c r="J506" s="237"/>
      <c r="K506" s="15"/>
      <c r="L506" s="239"/>
      <c r="M506" s="17"/>
      <c r="N506" s="15"/>
      <c r="O506" s="16"/>
      <c r="P506" s="85"/>
      <c r="Q506" s="193"/>
    </row>
    <row r="507" spans="1:17" ht="15">
      <c r="A507" s="64" t="s">
        <v>286</v>
      </c>
      <c r="B507" s="111"/>
      <c r="C507" s="165">
        <f aca="true" t="shared" si="148" ref="C507:Q507">C104+C121+C139+C158+C168+C186+C198+C222+C266+C289+C365+C391+C413+C420+C449+C454+C502+C504+C427+C310</f>
        <v>2914638</v>
      </c>
      <c r="D507" s="155">
        <f t="shared" si="148"/>
        <v>6261650.049999999</v>
      </c>
      <c r="E507" s="155">
        <f t="shared" si="148"/>
        <v>4738.1</v>
      </c>
      <c r="F507" s="149">
        <f t="shared" si="148"/>
        <v>9181036.149999999</v>
      </c>
      <c r="G507" s="240">
        <f t="shared" si="148"/>
        <v>375614.62999999995</v>
      </c>
      <c r="H507" s="241">
        <f t="shared" si="148"/>
        <v>19429.809999999998</v>
      </c>
      <c r="I507" s="242">
        <f t="shared" si="148"/>
        <v>9576080.589999998</v>
      </c>
      <c r="J507" s="240">
        <f t="shared" si="148"/>
        <v>288816.11999999994</v>
      </c>
      <c r="K507" s="155">
        <f t="shared" si="148"/>
        <v>0</v>
      </c>
      <c r="L507" s="242">
        <f t="shared" si="148"/>
        <v>9864886.71</v>
      </c>
      <c r="M507" s="165">
        <f t="shared" si="148"/>
        <v>0</v>
      </c>
      <c r="N507" s="155">
        <f t="shared" si="148"/>
        <v>0</v>
      </c>
      <c r="O507" s="149">
        <f t="shared" si="148"/>
        <v>8716132.83</v>
      </c>
      <c r="P507" s="165">
        <f t="shared" si="148"/>
        <v>0</v>
      </c>
      <c r="Q507" s="149">
        <f t="shared" si="148"/>
        <v>8716132.83</v>
      </c>
    </row>
    <row r="508" spans="1:17" ht="15.75" thickBot="1">
      <c r="A508" s="50" t="s">
        <v>287</v>
      </c>
      <c r="B508" s="112"/>
      <c r="C508" s="166">
        <f aca="true" t="shared" si="149" ref="C508:Q508">C114+C134+C148+C163+C180+C191+C214+C258+C281+C303+C385+C403+C416+C455+C441+C334</f>
        <v>719699</v>
      </c>
      <c r="D508" s="156">
        <f t="shared" si="149"/>
        <v>1628821.98</v>
      </c>
      <c r="E508" s="156">
        <f t="shared" si="149"/>
        <v>-2938.1</v>
      </c>
      <c r="F508" s="150">
        <f t="shared" si="149"/>
        <v>2345572.88</v>
      </c>
      <c r="G508" s="243">
        <f t="shared" si="149"/>
        <v>650361.8500000001</v>
      </c>
      <c r="H508" s="244">
        <f t="shared" si="149"/>
        <v>32499</v>
      </c>
      <c r="I508" s="245">
        <f t="shared" si="149"/>
        <v>3028433.7300000004</v>
      </c>
      <c r="J508" s="243">
        <f t="shared" si="149"/>
        <v>343166.85</v>
      </c>
      <c r="K508" s="156">
        <f t="shared" si="149"/>
        <v>0</v>
      </c>
      <c r="L508" s="245">
        <f t="shared" si="149"/>
        <v>3371610.58</v>
      </c>
      <c r="M508" s="166">
        <f t="shared" si="149"/>
        <v>0</v>
      </c>
      <c r="N508" s="156">
        <f t="shared" si="149"/>
        <v>-60.6</v>
      </c>
      <c r="O508" s="150">
        <f t="shared" si="149"/>
        <v>750480.3999999999</v>
      </c>
      <c r="P508" s="166">
        <f t="shared" si="149"/>
        <v>0</v>
      </c>
      <c r="Q508" s="150">
        <f t="shared" si="149"/>
        <v>750480.3999999999</v>
      </c>
    </row>
    <row r="509" spans="1:17" ht="15.75" thickBot="1">
      <c r="A509" s="64" t="s">
        <v>277</v>
      </c>
      <c r="B509" s="111"/>
      <c r="C509" s="161">
        <f aca="true" t="shared" si="150" ref="C509:Q509">C101-C505</f>
        <v>262500</v>
      </c>
      <c r="D509" s="151">
        <f t="shared" si="150"/>
        <v>-1946909.8299999982</v>
      </c>
      <c r="E509" s="151">
        <f t="shared" si="150"/>
        <v>0</v>
      </c>
      <c r="F509" s="148">
        <f t="shared" si="150"/>
        <v>-1684409.830000002</v>
      </c>
      <c r="G509" s="228">
        <f t="shared" si="150"/>
        <v>-148732.76</v>
      </c>
      <c r="H509" s="229">
        <f t="shared" si="150"/>
        <v>-10915.989999999998</v>
      </c>
      <c r="I509" s="230">
        <f t="shared" si="150"/>
        <v>-1844058.580000002</v>
      </c>
      <c r="J509" s="228">
        <f t="shared" si="150"/>
        <v>0</v>
      </c>
      <c r="K509" s="151">
        <f t="shared" si="150"/>
        <v>0</v>
      </c>
      <c r="L509" s="230">
        <f t="shared" si="150"/>
        <v>-1844058.580000002</v>
      </c>
      <c r="M509" s="161">
        <f t="shared" si="150"/>
        <v>0</v>
      </c>
      <c r="N509" s="151">
        <f t="shared" si="150"/>
        <v>60.6</v>
      </c>
      <c r="O509" s="148">
        <f t="shared" si="150"/>
        <v>-1994632.6700000018</v>
      </c>
      <c r="P509" s="161">
        <f t="shared" si="150"/>
        <v>0</v>
      </c>
      <c r="Q509" s="148">
        <f t="shared" si="150"/>
        <v>-1994632.6700000018</v>
      </c>
    </row>
    <row r="510" spans="1:17" ht="15">
      <c r="A510" s="63" t="s">
        <v>288</v>
      </c>
      <c r="B510" s="110"/>
      <c r="C510" s="167">
        <f>SUM(C512:C515)</f>
        <v>-262500</v>
      </c>
      <c r="D510" s="157">
        <f>SUM(D512:D515)</f>
        <v>1946909.8300000003</v>
      </c>
      <c r="E510" s="157">
        <f>SUM(E512:E515)</f>
        <v>0</v>
      </c>
      <c r="F510" s="145">
        <f>SUM(F512:F515)</f>
        <v>1684409.8300000003</v>
      </c>
      <c r="G510" s="246">
        <f aca="true" t="shared" si="151" ref="G510:Q510">SUM(G512:G515)</f>
        <v>148732.76</v>
      </c>
      <c r="H510" s="247">
        <f t="shared" si="151"/>
        <v>10915.99</v>
      </c>
      <c r="I510" s="248">
        <f t="shared" si="151"/>
        <v>1844058.5800000003</v>
      </c>
      <c r="J510" s="246">
        <f t="shared" si="151"/>
        <v>0</v>
      </c>
      <c r="K510" s="157">
        <f t="shared" si="151"/>
        <v>0</v>
      </c>
      <c r="L510" s="248">
        <f t="shared" si="151"/>
        <v>1844058.5800000003</v>
      </c>
      <c r="M510" s="167">
        <f t="shared" si="151"/>
        <v>0</v>
      </c>
      <c r="N510" s="157">
        <f t="shared" si="151"/>
        <v>0</v>
      </c>
      <c r="O510" s="145">
        <f t="shared" si="151"/>
        <v>1844058.5800000003</v>
      </c>
      <c r="P510" s="167">
        <f t="shared" si="151"/>
        <v>0</v>
      </c>
      <c r="Q510" s="145">
        <f t="shared" si="151"/>
        <v>1844058.5800000003</v>
      </c>
    </row>
    <row r="511" spans="1:17" ht="12.75" customHeight="1">
      <c r="A511" s="65" t="s">
        <v>33</v>
      </c>
      <c r="B511" s="113"/>
      <c r="C511" s="168"/>
      <c r="D511" s="158"/>
      <c r="E511" s="158"/>
      <c r="F511" s="146"/>
      <c r="G511" s="249"/>
      <c r="H511" s="250"/>
      <c r="I511" s="251"/>
      <c r="J511" s="249"/>
      <c r="K511" s="18"/>
      <c r="L511" s="251"/>
      <c r="M511" s="22"/>
      <c r="N511" s="18"/>
      <c r="O511" s="73"/>
      <c r="P511" s="85"/>
      <c r="Q511" s="193"/>
    </row>
    <row r="512" spans="1:17" ht="13.5" hidden="1">
      <c r="A512" s="65" t="s">
        <v>151</v>
      </c>
      <c r="B512" s="113"/>
      <c r="C512" s="181"/>
      <c r="D512" s="182"/>
      <c r="E512" s="182"/>
      <c r="F512" s="183">
        <f>SUM(C512:E512)</f>
        <v>0</v>
      </c>
      <c r="G512" s="252"/>
      <c r="H512" s="253"/>
      <c r="I512" s="251">
        <f>SUM(F512:H512)</f>
        <v>0</v>
      </c>
      <c r="J512" s="252"/>
      <c r="K512" s="19"/>
      <c r="L512" s="251">
        <f>SUM(I512:K512)</f>
        <v>0</v>
      </c>
      <c r="M512" s="23"/>
      <c r="N512" s="19"/>
      <c r="O512" s="73">
        <f>SUM(L512:N512)</f>
        <v>0</v>
      </c>
      <c r="P512" s="85"/>
      <c r="Q512" s="193">
        <f t="shared" si="138"/>
        <v>0</v>
      </c>
    </row>
    <row r="513" spans="1:17" ht="13.5">
      <c r="A513" s="66" t="s">
        <v>158</v>
      </c>
      <c r="B513" s="113"/>
      <c r="C513" s="181">
        <v>-262500</v>
      </c>
      <c r="D513" s="182"/>
      <c r="E513" s="182"/>
      <c r="F513" s="183">
        <f>SUM(C513:E513)</f>
        <v>-262500</v>
      </c>
      <c r="G513" s="255">
        <f>100000</f>
        <v>100000</v>
      </c>
      <c r="H513" s="253"/>
      <c r="I513" s="183">
        <f>SUM(F513:H513)</f>
        <v>-162500</v>
      </c>
      <c r="J513" s="252"/>
      <c r="K513" s="19"/>
      <c r="L513" s="251">
        <f>SUM(I513:K513)</f>
        <v>-162500</v>
      </c>
      <c r="M513" s="23"/>
      <c r="N513" s="19"/>
      <c r="O513" s="73">
        <f>SUM(L513:N513)</f>
        <v>-162500</v>
      </c>
      <c r="P513" s="85"/>
      <c r="Q513" s="193">
        <f t="shared" si="138"/>
        <v>-162500</v>
      </c>
    </row>
    <row r="514" spans="1:17" ht="14.25" thickBot="1">
      <c r="A514" s="66" t="s">
        <v>152</v>
      </c>
      <c r="B514" s="113"/>
      <c r="C514" s="181"/>
      <c r="D514" s="182">
        <f>8552.18+5904.26+221084+537+841+291047.34+5560+35176.21+738685.02+10+73.37+15403.87+2205.35+7279.26+1042+20072.43+658.97+590.5+4465.69+7976.61+200+2736.03+349.73+1053.69+526367.02+1691.85+47346.45</f>
        <v>1946909.8300000003</v>
      </c>
      <c r="E514" s="182"/>
      <c r="F514" s="183">
        <f>SUM(C514:E514)</f>
        <v>1946909.8300000003</v>
      </c>
      <c r="G514" s="255">
        <f>6592.75+2699.54+39440.47</f>
        <v>48732.76</v>
      </c>
      <c r="H514" s="257">
        <f>9935.14</f>
        <v>9935.14</v>
      </c>
      <c r="I514" s="183">
        <f>SUM(F514:H514)</f>
        <v>2005577.7300000002</v>
      </c>
      <c r="J514" s="252"/>
      <c r="K514" s="19"/>
      <c r="L514" s="251">
        <f>SUM(I514:K514)</f>
        <v>2005577.7300000002</v>
      </c>
      <c r="M514" s="77"/>
      <c r="N514" s="20"/>
      <c r="O514" s="75">
        <f>SUM(L514:N514)</f>
        <v>2005577.7300000002</v>
      </c>
      <c r="P514" s="89"/>
      <c r="Q514" s="196">
        <f t="shared" si="138"/>
        <v>2005577.7300000002</v>
      </c>
    </row>
    <row r="515" spans="1:17" ht="14.25" thickBot="1">
      <c r="A515" s="78" t="s">
        <v>178</v>
      </c>
      <c r="B515" s="114"/>
      <c r="C515" s="186"/>
      <c r="D515" s="184" t="s">
        <v>247</v>
      </c>
      <c r="E515" s="184"/>
      <c r="F515" s="185">
        <f>SUM(C515:E515)</f>
        <v>0</v>
      </c>
      <c r="G515" s="258"/>
      <c r="H515" s="259">
        <v>980.85</v>
      </c>
      <c r="I515" s="260">
        <f>SUM(F515:H515)</f>
        <v>980.85</v>
      </c>
      <c r="J515" s="262">
        <v>0</v>
      </c>
      <c r="K515" s="20">
        <v>0</v>
      </c>
      <c r="L515" s="261">
        <f>SUM(I515:K515)</f>
        <v>980.85</v>
      </c>
      <c r="M515" s="77"/>
      <c r="N515" s="20"/>
      <c r="O515" s="75">
        <f>SUM(L515:N515)</f>
        <v>980.85</v>
      </c>
      <c r="P515" s="89"/>
      <c r="Q515" s="84">
        <f t="shared" si="138"/>
        <v>980.85</v>
      </c>
    </row>
    <row r="516" spans="2:17" ht="12.75">
      <c r="B516" s="115"/>
      <c r="C516" s="147">
        <f aca="true" t="shared" si="152" ref="C516:Q516">C101+C510-C505</f>
        <v>0</v>
      </c>
      <c r="D516" s="147">
        <f t="shared" si="152"/>
        <v>0</v>
      </c>
      <c r="E516" s="147">
        <f t="shared" si="152"/>
        <v>0</v>
      </c>
      <c r="F516" s="147">
        <f t="shared" si="152"/>
        <v>0</v>
      </c>
      <c r="G516" s="177">
        <f t="shared" si="152"/>
        <v>0</v>
      </c>
      <c r="H516" s="177">
        <f t="shared" si="152"/>
        <v>0</v>
      </c>
      <c r="I516" s="177">
        <f t="shared" si="152"/>
        <v>0</v>
      </c>
      <c r="J516" s="177">
        <f t="shared" si="152"/>
        <v>0</v>
      </c>
      <c r="K516" s="76">
        <f t="shared" si="152"/>
        <v>0</v>
      </c>
      <c r="L516" s="177">
        <f t="shared" si="152"/>
        <v>0</v>
      </c>
      <c r="M516" s="76">
        <f t="shared" si="152"/>
        <v>0</v>
      </c>
      <c r="N516" s="76">
        <f t="shared" si="152"/>
        <v>60.6</v>
      </c>
      <c r="O516" s="76">
        <f t="shared" si="152"/>
        <v>-150574.0900000017</v>
      </c>
      <c r="P516" s="76">
        <f t="shared" si="152"/>
        <v>0</v>
      </c>
      <c r="Q516" s="76">
        <f t="shared" si="152"/>
        <v>-150574.0900000017</v>
      </c>
    </row>
    <row r="517" spans="2:16" ht="12.75">
      <c r="B517" s="115"/>
      <c r="J517" s="177"/>
      <c r="P517" s="76"/>
    </row>
    <row r="518" spans="2:16" ht="12.75">
      <c r="B518" s="115"/>
      <c r="D518" s="177"/>
      <c r="J518" s="177"/>
      <c r="P518" s="76"/>
    </row>
    <row r="519" spans="2:16" ht="12.75">
      <c r="B519" s="115"/>
      <c r="J519" s="177"/>
      <c r="P519" s="76"/>
    </row>
    <row r="520" spans="2:16" ht="12.75">
      <c r="B520" s="115"/>
      <c r="P520" s="76"/>
    </row>
    <row r="521" spans="2:16" ht="12.75">
      <c r="B521" s="115"/>
      <c r="P521" s="76"/>
    </row>
    <row r="522" spans="2:16" ht="12.75">
      <c r="B522" s="115"/>
      <c r="P522" s="76"/>
    </row>
    <row r="523" spans="2:16" ht="12.75">
      <c r="B523" s="115"/>
      <c r="P523" s="76"/>
    </row>
    <row r="524" spans="2:16" ht="12.75">
      <c r="B524" s="115"/>
      <c r="P524" s="76"/>
    </row>
    <row r="525" spans="2:16" ht="12.75">
      <c r="B525" s="115"/>
      <c r="P525" s="76"/>
    </row>
    <row r="526" spans="2:16" ht="12.75">
      <c r="B526" s="115"/>
      <c r="P526" s="76"/>
    </row>
    <row r="527" spans="2:16" ht="12.75">
      <c r="B527" s="115"/>
      <c r="P527" s="76"/>
    </row>
    <row r="528" spans="2:16" ht="12.75">
      <c r="B528" s="115"/>
      <c r="P528" s="76"/>
    </row>
    <row r="529" spans="2:16" ht="12.75">
      <c r="B529" s="115"/>
      <c r="P529" s="76"/>
    </row>
    <row r="530" spans="2:16" ht="12.75">
      <c r="B530" s="115"/>
      <c r="P530" s="76"/>
    </row>
    <row r="531" spans="2:16" ht="12.75">
      <c r="B531" s="115"/>
      <c r="P531" s="76"/>
    </row>
    <row r="532" spans="2:16" ht="12.75">
      <c r="B532" s="115"/>
      <c r="P532" s="76"/>
    </row>
    <row r="533" spans="2:16" ht="12.75">
      <c r="B533" s="115"/>
      <c r="P533" s="76"/>
    </row>
    <row r="534" spans="2:16" ht="12.75">
      <c r="B534" s="115"/>
      <c r="P534" s="76"/>
    </row>
    <row r="535" spans="2:16" ht="12.75">
      <c r="B535" s="115"/>
      <c r="P535" s="76"/>
    </row>
    <row r="536" ht="12.75">
      <c r="P536" s="76"/>
    </row>
    <row r="537" ht="12.75">
      <c r="P537" s="76"/>
    </row>
    <row r="538" ht="12.75">
      <c r="P538" s="76"/>
    </row>
    <row r="539" ht="12.75">
      <c r="P539" s="76"/>
    </row>
    <row r="540" ht="12.75">
      <c r="P540" s="76"/>
    </row>
    <row r="541" ht="12.75">
      <c r="P541" s="76"/>
    </row>
    <row r="542" ht="12.75">
      <c r="P542" s="76"/>
    </row>
    <row r="543" ht="12.75">
      <c r="P543" s="76"/>
    </row>
    <row r="544" ht="12.75">
      <c r="P544" s="76"/>
    </row>
    <row r="545" ht="12.75">
      <c r="P545" s="76"/>
    </row>
    <row r="546" ht="12.75">
      <c r="P546" s="76"/>
    </row>
    <row r="547" ht="12.75">
      <c r="P547" s="76"/>
    </row>
    <row r="548" ht="12.75">
      <c r="P548" s="76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086614173228347" bottom="0.3937007874015748" header="0.5118110236220472" footer="0.11811023622047245"/>
  <pageSetup horizontalDpi="600" verticalDpi="600" orientation="portrait" paperSize="9" scale="87" r:id="rId1"/>
  <headerFooter alignWithMargins="0">
    <oddFooter>&amp;CStránka &amp;P</oddFooter>
  </headerFooter>
  <rowBreaks count="5" manualBreakCount="5">
    <brk id="101" max="8" man="1"/>
    <brk id="184" max="8" man="1"/>
    <brk id="277" max="11" man="1"/>
    <brk id="363" max="11" man="1"/>
    <brk id="44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48"/>
  <sheetViews>
    <sheetView tabSelected="1" zoomScaleSheetLayoutView="69" zoomScalePageLayoutView="0" workbookViewId="0" topLeftCell="A1">
      <pane xSplit="1" ySplit="9" topLeftCell="C20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24" sqref="I224"/>
    </sheetView>
  </sheetViews>
  <sheetFormatPr defaultColWidth="9.00390625" defaultRowHeight="12.75"/>
  <cols>
    <col min="1" max="1" width="48.375" style="0" customWidth="1"/>
    <col min="2" max="2" width="10.00390625" style="0" hidden="1" customWidth="1"/>
    <col min="3" max="3" width="15.375" style="0" customWidth="1"/>
    <col min="4" max="4" width="15.125" style="0" hidden="1" customWidth="1"/>
    <col min="5" max="5" width="12.875" style="0" hidden="1" customWidth="1"/>
    <col min="6" max="6" width="16.375" style="0" hidden="1" customWidth="1"/>
    <col min="7" max="7" width="14.50390625" style="0" hidden="1" customWidth="1"/>
    <col min="8" max="8" width="12.625" style="0" hidden="1" customWidth="1"/>
    <col min="9" max="9" width="15.50390625" style="0" customWidth="1"/>
    <col min="10" max="10" width="12.875" style="0" customWidth="1"/>
    <col min="11" max="11" width="12.375" style="0" customWidth="1"/>
    <col min="12" max="12" width="15.50390625" style="0" customWidth="1"/>
    <col min="13" max="13" width="11.875" style="0" hidden="1" customWidth="1"/>
    <col min="14" max="14" width="13.50390625" style="0" hidden="1" customWidth="1"/>
    <col min="15" max="15" width="15.00390625" style="0" hidden="1" customWidth="1"/>
    <col min="16" max="16" width="13.375" style="0" hidden="1" customWidth="1"/>
    <col min="17" max="17" width="0.6171875" style="0" hidden="1" customWidth="1"/>
    <col min="18" max="18" width="0" style="0" hidden="1" customWidth="1"/>
    <col min="20" max="20" width="13.00390625" style="0" customWidth="1"/>
  </cols>
  <sheetData>
    <row r="1" spans="3:17" ht="12.75">
      <c r="C1" s="1"/>
      <c r="D1" s="1"/>
      <c r="E1" s="1"/>
      <c r="F1" s="2"/>
      <c r="I1" s="2"/>
      <c r="L1" s="2" t="s">
        <v>155</v>
      </c>
      <c r="O1" s="2"/>
      <c r="Q1" s="2" t="s">
        <v>155</v>
      </c>
    </row>
    <row r="2" spans="3:6" ht="9.75" customHeight="1">
      <c r="C2" s="1"/>
      <c r="D2" s="1"/>
      <c r="E2" s="1"/>
      <c r="F2" s="2"/>
    </row>
    <row r="3" spans="1:17" ht="15">
      <c r="A3" s="269" t="s">
        <v>326</v>
      </c>
      <c r="B3" s="269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ht="15">
      <c r="A4" s="271" t="s">
        <v>281</v>
      </c>
      <c r="B4" s="271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 ht="13.5">
      <c r="A5" s="272" t="s">
        <v>0</v>
      </c>
      <c r="B5" s="272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7" ht="12.75">
      <c r="A6" s="273" t="s">
        <v>1</v>
      </c>
      <c r="B6" s="273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</row>
    <row r="7" spans="1:13" ht="18" customHeight="1" thickBot="1">
      <c r="A7" s="3"/>
      <c r="B7" s="3"/>
      <c r="C7" s="4"/>
      <c r="D7" s="170"/>
      <c r="E7" s="4"/>
      <c r="F7" s="4"/>
      <c r="J7" s="80"/>
      <c r="M7" s="74"/>
    </row>
    <row r="8" spans="1:17" ht="12.75">
      <c r="A8" s="274" t="s">
        <v>2</v>
      </c>
      <c r="B8" s="92" t="s">
        <v>295</v>
      </c>
      <c r="C8" s="24" t="s">
        <v>3</v>
      </c>
      <c r="D8" s="25" t="s">
        <v>4</v>
      </c>
      <c r="E8" s="25" t="s">
        <v>5</v>
      </c>
      <c r="F8" s="26" t="s">
        <v>6</v>
      </c>
      <c r="G8" s="24" t="s">
        <v>7</v>
      </c>
      <c r="H8" s="25" t="s">
        <v>5</v>
      </c>
      <c r="I8" s="26" t="s">
        <v>6</v>
      </c>
      <c r="J8" s="24" t="s">
        <v>8</v>
      </c>
      <c r="K8" s="25" t="s">
        <v>5</v>
      </c>
      <c r="L8" s="26" t="s">
        <v>6</v>
      </c>
      <c r="M8" s="24" t="s">
        <v>9</v>
      </c>
      <c r="N8" s="25" t="s">
        <v>5</v>
      </c>
      <c r="O8" s="26" t="s">
        <v>6</v>
      </c>
      <c r="P8" s="24" t="s">
        <v>190</v>
      </c>
      <c r="Q8" s="26" t="s">
        <v>6</v>
      </c>
    </row>
    <row r="9" spans="1:24" ht="13.5" thickBot="1">
      <c r="A9" s="275"/>
      <c r="B9" s="179" t="s">
        <v>214</v>
      </c>
      <c r="C9" s="70" t="s">
        <v>10</v>
      </c>
      <c r="D9" s="71" t="s">
        <v>11</v>
      </c>
      <c r="E9" s="71" t="s">
        <v>12</v>
      </c>
      <c r="F9" s="72" t="s">
        <v>13</v>
      </c>
      <c r="G9" s="70" t="s">
        <v>11</v>
      </c>
      <c r="H9" s="71" t="s">
        <v>12</v>
      </c>
      <c r="I9" s="72" t="s">
        <v>14</v>
      </c>
      <c r="J9" s="70" t="s">
        <v>11</v>
      </c>
      <c r="K9" s="71" t="s">
        <v>12</v>
      </c>
      <c r="L9" s="72" t="s">
        <v>15</v>
      </c>
      <c r="M9" s="70" t="s">
        <v>11</v>
      </c>
      <c r="N9" s="71" t="s">
        <v>12</v>
      </c>
      <c r="O9" s="72" t="s">
        <v>16</v>
      </c>
      <c r="P9" s="70" t="s">
        <v>11</v>
      </c>
      <c r="Q9" s="72" t="s">
        <v>191</v>
      </c>
      <c r="W9" s="254"/>
      <c r="X9" s="254"/>
    </row>
    <row r="10" spans="1:17" ht="15.75" customHeight="1">
      <c r="A10" s="68" t="s">
        <v>17</v>
      </c>
      <c r="B10" s="93"/>
      <c r="C10" s="39"/>
      <c r="D10" s="5"/>
      <c r="E10" s="5"/>
      <c r="F10" s="69"/>
      <c r="G10" s="39"/>
      <c r="H10" s="5"/>
      <c r="I10" s="69"/>
      <c r="J10" s="39"/>
      <c r="K10" s="5"/>
      <c r="L10" s="69"/>
      <c r="M10" s="39"/>
      <c r="N10" s="5"/>
      <c r="O10" s="69"/>
      <c r="P10" s="83"/>
      <c r="Q10" s="191"/>
    </row>
    <row r="11" spans="1:17" ht="12.75">
      <c r="A11" s="42" t="s">
        <v>282</v>
      </c>
      <c r="B11" s="94"/>
      <c r="C11" s="116">
        <f>C13+C14+C15</f>
        <v>3575069</v>
      </c>
      <c r="D11" s="117">
        <f>D13+D14+D15</f>
        <v>27664.74</v>
      </c>
      <c r="E11" s="117">
        <f>E13+E14+E15</f>
        <v>0</v>
      </c>
      <c r="F11" s="118">
        <f>F13+F14+F15</f>
        <v>3602733.74</v>
      </c>
      <c r="G11" s="198">
        <f aca="true" t="shared" si="0" ref="G11:Q11">G13+G14+G15</f>
        <v>141976.66999999998</v>
      </c>
      <c r="H11" s="199">
        <f t="shared" si="0"/>
        <v>40984.47</v>
      </c>
      <c r="I11" s="200">
        <f t="shared" si="0"/>
        <v>3785694.8800000004</v>
      </c>
      <c r="J11" s="198">
        <f t="shared" si="0"/>
        <v>126928.71</v>
      </c>
      <c r="K11" s="117">
        <f t="shared" si="0"/>
        <v>16652.77</v>
      </c>
      <c r="L11" s="200">
        <f t="shared" si="0"/>
        <v>3929276.3600000003</v>
      </c>
      <c r="M11" s="116">
        <f t="shared" si="0"/>
        <v>0</v>
      </c>
      <c r="N11" s="117">
        <f t="shared" si="0"/>
        <v>0</v>
      </c>
      <c r="O11" s="118">
        <f t="shared" si="0"/>
        <v>21194.74</v>
      </c>
      <c r="P11" s="116">
        <f t="shared" si="0"/>
        <v>0</v>
      </c>
      <c r="Q11" s="118">
        <f t="shared" si="0"/>
        <v>21194.74</v>
      </c>
    </row>
    <row r="12" spans="1:17" ht="12.75">
      <c r="A12" s="43" t="s">
        <v>18</v>
      </c>
      <c r="B12" s="95"/>
      <c r="C12" s="116"/>
      <c r="D12" s="117"/>
      <c r="E12" s="117"/>
      <c r="F12" s="118"/>
      <c r="G12" s="198"/>
      <c r="H12" s="199"/>
      <c r="I12" s="200"/>
      <c r="J12" s="198"/>
      <c r="K12" s="6"/>
      <c r="L12" s="200"/>
      <c r="M12" s="27"/>
      <c r="N12" s="6"/>
      <c r="O12" s="28"/>
      <c r="P12" s="85"/>
      <c r="Q12" s="193"/>
    </row>
    <row r="13" spans="1:17" ht="12.75">
      <c r="A13" s="103" t="s">
        <v>289</v>
      </c>
      <c r="B13" s="95"/>
      <c r="C13" s="121">
        <v>3574869</v>
      </c>
      <c r="D13" s="119">
        <f>6470</f>
        <v>6470</v>
      </c>
      <c r="E13" s="117"/>
      <c r="F13" s="120">
        <f>C13+D13+E13</f>
        <v>3581339</v>
      </c>
      <c r="G13" s="202">
        <f>16000+21765+104211.67</f>
        <v>141976.66999999998</v>
      </c>
      <c r="H13" s="203">
        <f>238+18746.47+22000</f>
        <v>40984.47</v>
      </c>
      <c r="I13" s="201">
        <f>F13+G13+H13</f>
        <v>3764300.14</v>
      </c>
      <c r="J13" s="202">
        <f>125932.16</f>
        <v>125932.16</v>
      </c>
      <c r="K13" s="119">
        <f>16652.77</f>
        <v>16652.77</v>
      </c>
      <c r="L13" s="201">
        <f>I13+J13+K13</f>
        <v>3906885.0700000003</v>
      </c>
      <c r="M13" s="27"/>
      <c r="N13" s="6"/>
      <c r="O13" s="28"/>
      <c r="P13" s="85"/>
      <c r="Q13" s="193"/>
    </row>
    <row r="14" spans="1:17" ht="12.75">
      <c r="A14" s="44" t="s">
        <v>19</v>
      </c>
      <c r="B14" s="96"/>
      <c r="C14" s="121"/>
      <c r="D14" s="136">
        <f>21194.74</f>
        <v>21194.74</v>
      </c>
      <c r="E14" s="119"/>
      <c r="F14" s="120">
        <f>C14+D14+E14</f>
        <v>21194.74</v>
      </c>
      <c r="G14" s="202"/>
      <c r="H14" s="199"/>
      <c r="I14" s="201">
        <f>F14+G14+H14</f>
        <v>21194.74</v>
      </c>
      <c r="J14" s="202"/>
      <c r="K14" s="6"/>
      <c r="L14" s="201">
        <f>I14+J14+K14</f>
        <v>21194.74</v>
      </c>
      <c r="M14" s="29"/>
      <c r="N14" s="6"/>
      <c r="O14" s="30">
        <f>L14+M14+N14</f>
        <v>21194.74</v>
      </c>
      <c r="P14" s="85"/>
      <c r="Q14" s="193">
        <f aca="true" t="shared" si="1" ref="Q14:Q86">O14+P14</f>
        <v>21194.74</v>
      </c>
    </row>
    <row r="15" spans="1:17" ht="12.75">
      <c r="A15" s="103" t="s">
        <v>356</v>
      </c>
      <c r="B15" s="96"/>
      <c r="C15" s="121">
        <v>200</v>
      </c>
      <c r="D15" s="136"/>
      <c r="E15" s="119"/>
      <c r="F15" s="120">
        <f>C15+D15+E15</f>
        <v>200</v>
      </c>
      <c r="G15" s="202"/>
      <c r="H15" s="199"/>
      <c r="I15" s="201">
        <f>F15+G15+H15</f>
        <v>200</v>
      </c>
      <c r="J15" s="202">
        <f>996.55</f>
        <v>996.55</v>
      </c>
      <c r="K15" s="6"/>
      <c r="L15" s="201">
        <f>I15+J15+K15</f>
        <v>1196.55</v>
      </c>
      <c r="M15" s="29"/>
      <c r="N15" s="6"/>
      <c r="O15" s="30"/>
      <c r="P15" s="85"/>
      <c r="Q15" s="193"/>
    </row>
    <row r="16" spans="1:17" ht="12.75">
      <c r="A16" s="42" t="s">
        <v>283</v>
      </c>
      <c r="B16" s="94"/>
      <c r="C16" s="116">
        <f aca="true" t="shared" si="2" ref="C16:Q16">SUM(C18:C39)+C46</f>
        <v>226820.6</v>
      </c>
      <c r="D16" s="117">
        <f t="shared" si="2"/>
        <v>14928.48</v>
      </c>
      <c r="E16" s="117">
        <f t="shared" si="2"/>
        <v>1800</v>
      </c>
      <c r="F16" s="118">
        <f t="shared" si="2"/>
        <v>243549.08000000002</v>
      </c>
      <c r="G16" s="198">
        <f t="shared" si="2"/>
        <v>15078.990000000002</v>
      </c>
      <c r="H16" s="199">
        <f t="shared" si="2"/>
        <v>28.35</v>
      </c>
      <c r="I16" s="200">
        <f t="shared" si="2"/>
        <v>258656.41999999998</v>
      </c>
      <c r="J16" s="198">
        <f t="shared" si="2"/>
        <v>14368.560000000001</v>
      </c>
      <c r="K16" s="117">
        <f t="shared" si="2"/>
        <v>0</v>
      </c>
      <c r="L16" s="200">
        <f t="shared" si="2"/>
        <v>273024.98000000004</v>
      </c>
      <c r="M16" s="116">
        <f t="shared" si="2"/>
        <v>0</v>
      </c>
      <c r="N16" s="117">
        <f t="shared" si="2"/>
        <v>0</v>
      </c>
      <c r="O16" s="118">
        <f t="shared" si="2"/>
        <v>243995.68000000002</v>
      </c>
      <c r="P16" s="116">
        <f t="shared" si="2"/>
        <v>0</v>
      </c>
      <c r="Q16" s="118">
        <f t="shared" si="2"/>
        <v>243995.68000000002</v>
      </c>
    </row>
    <row r="17" spans="1:17" ht="10.5" customHeight="1">
      <c r="A17" s="43" t="s">
        <v>20</v>
      </c>
      <c r="B17" s="95"/>
      <c r="C17" s="116"/>
      <c r="D17" s="117"/>
      <c r="E17" s="117"/>
      <c r="F17" s="118"/>
      <c r="G17" s="198"/>
      <c r="H17" s="199"/>
      <c r="I17" s="200"/>
      <c r="J17" s="198"/>
      <c r="K17" s="6"/>
      <c r="L17" s="200"/>
      <c r="M17" s="27"/>
      <c r="N17" s="6"/>
      <c r="O17" s="28"/>
      <c r="P17" s="85"/>
      <c r="Q17" s="193"/>
    </row>
    <row r="18" spans="1:17" ht="12.75">
      <c r="A18" s="44" t="s">
        <v>21</v>
      </c>
      <c r="B18" s="96"/>
      <c r="C18" s="121">
        <v>1500</v>
      </c>
      <c r="D18" s="119"/>
      <c r="E18" s="119"/>
      <c r="F18" s="120">
        <f>C18+D18+E18</f>
        <v>1500</v>
      </c>
      <c r="G18" s="202"/>
      <c r="H18" s="203"/>
      <c r="I18" s="201">
        <f>F18+G18+H18</f>
        <v>1500</v>
      </c>
      <c r="J18" s="202"/>
      <c r="K18" s="7"/>
      <c r="L18" s="201">
        <f>I18+J18+K18</f>
        <v>1500</v>
      </c>
      <c r="M18" s="29"/>
      <c r="N18" s="7"/>
      <c r="O18" s="30">
        <f>L18+M18+N18</f>
        <v>1500</v>
      </c>
      <c r="P18" s="85"/>
      <c r="Q18" s="193">
        <f t="shared" si="1"/>
        <v>1500</v>
      </c>
    </row>
    <row r="19" spans="1:17" ht="12.75" hidden="1">
      <c r="A19" s="44" t="s">
        <v>22</v>
      </c>
      <c r="B19" s="96"/>
      <c r="C19" s="121"/>
      <c r="D19" s="119"/>
      <c r="E19" s="119"/>
      <c r="F19" s="120">
        <f aca="true" t="shared" si="3" ref="F19:F46">C19+D19+E19</f>
        <v>0</v>
      </c>
      <c r="G19" s="202"/>
      <c r="H19" s="203"/>
      <c r="I19" s="201">
        <f aca="true" t="shared" si="4" ref="I19:I38">F19+G19+H19</f>
        <v>0</v>
      </c>
      <c r="J19" s="202"/>
      <c r="K19" s="7"/>
      <c r="L19" s="201">
        <f aca="true" t="shared" si="5" ref="L19:L38">I19+J19+K19</f>
        <v>0</v>
      </c>
      <c r="M19" s="29"/>
      <c r="N19" s="7"/>
      <c r="O19" s="30">
        <f aca="true" t="shared" si="6" ref="O19:O38">L19+M19+N19</f>
        <v>0</v>
      </c>
      <c r="P19" s="85"/>
      <c r="Q19" s="193">
        <f t="shared" si="1"/>
        <v>0</v>
      </c>
    </row>
    <row r="20" spans="1:17" ht="12.75" hidden="1">
      <c r="A20" s="44" t="s">
        <v>23</v>
      </c>
      <c r="B20" s="96"/>
      <c r="C20" s="121"/>
      <c r="D20" s="119"/>
      <c r="E20" s="119"/>
      <c r="F20" s="120">
        <f t="shared" si="3"/>
        <v>0</v>
      </c>
      <c r="G20" s="202"/>
      <c r="H20" s="203"/>
      <c r="I20" s="201">
        <f t="shared" si="4"/>
        <v>0</v>
      </c>
      <c r="J20" s="202"/>
      <c r="K20" s="7"/>
      <c r="L20" s="201">
        <f t="shared" si="5"/>
        <v>0</v>
      </c>
      <c r="M20" s="29"/>
      <c r="N20" s="7"/>
      <c r="O20" s="30">
        <f t="shared" si="6"/>
        <v>0</v>
      </c>
      <c r="P20" s="85"/>
      <c r="Q20" s="193">
        <f t="shared" si="1"/>
        <v>0</v>
      </c>
    </row>
    <row r="21" spans="1:17" ht="12.75">
      <c r="A21" s="103" t="s">
        <v>298</v>
      </c>
      <c r="B21" s="96"/>
      <c r="C21" s="121"/>
      <c r="D21" s="119"/>
      <c r="E21" s="119"/>
      <c r="F21" s="120">
        <f t="shared" si="3"/>
        <v>0</v>
      </c>
      <c r="G21" s="202">
        <f>60.5</f>
        <v>60.5</v>
      </c>
      <c r="H21" s="203"/>
      <c r="I21" s="201">
        <f t="shared" si="4"/>
        <v>60.5</v>
      </c>
      <c r="J21" s="202">
        <f>728.31</f>
        <v>728.31</v>
      </c>
      <c r="K21" s="7"/>
      <c r="L21" s="201">
        <f t="shared" si="5"/>
        <v>788.81</v>
      </c>
      <c r="M21" s="29"/>
      <c r="N21" s="7"/>
      <c r="O21" s="30">
        <f t="shared" si="6"/>
        <v>788.81</v>
      </c>
      <c r="P21" s="85"/>
      <c r="Q21" s="193">
        <f t="shared" si="1"/>
        <v>788.81</v>
      </c>
    </row>
    <row r="22" spans="1:17" ht="12.75">
      <c r="A22" s="44" t="s">
        <v>24</v>
      </c>
      <c r="B22" s="96"/>
      <c r="C22" s="121">
        <v>45000</v>
      </c>
      <c r="D22" s="119"/>
      <c r="E22" s="119"/>
      <c r="F22" s="120">
        <f t="shared" si="3"/>
        <v>45000</v>
      </c>
      <c r="G22" s="202"/>
      <c r="H22" s="203"/>
      <c r="I22" s="201">
        <f t="shared" si="4"/>
        <v>45000</v>
      </c>
      <c r="J22" s="202"/>
      <c r="K22" s="7"/>
      <c r="L22" s="201">
        <f t="shared" si="5"/>
        <v>45000</v>
      </c>
      <c r="M22" s="29"/>
      <c r="N22" s="7"/>
      <c r="O22" s="30">
        <f t="shared" si="6"/>
        <v>45000</v>
      </c>
      <c r="P22" s="85"/>
      <c r="Q22" s="193">
        <f t="shared" si="1"/>
        <v>45000</v>
      </c>
    </row>
    <row r="23" spans="1:17" ht="12.75" hidden="1">
      <c r="A23" s="44" t="s">
        <v>26</v>
      </c>
      <c r="B23" s="96"/>
      <c r="C23" s="121"/>
      <c r="D23" s="119"/>
      <c r="E23" s="119"/>
      <c r="F23" s="120">
        <f t="shared" si="3"/>
        <v>0</v>
      </c>
      <c r="G23" s="202"/>
      <c r="H23" s="203"/>
      <c r="I23" s="201">
        <f t="shared" si="4"/>
        <v>0</v>
      </c>
      <c r="J23" s="202"/>
      <c r="K23" s="7"/>
      <c r="L23" s="201">
        <f t="shared" si="5"/>
        <v>0</v>
      </c>
      <c r="M23" s="29"/>
      <c r="N23" s="7"/>
      <c r="O23" s="30">
        <f t="shared" si="6"/>
        <v>0</v>
      </c>
      <c r="P23" s="85"/>
      <c r="Q23" s="193">
        <f t="shared" si="1"/>
        <v>0</v>
      </c>
    </row>
    <row r="24" spans="1:17" ht="12.75">
      <c r="A24" s="45" t="s">
        <v>162</v>
      </c>
      <c r="B24" s="97"/>
      <c r="C24" s="121">
        <v>21583.8</v>
      </c>
      <c r="D24" s="119"/>
      <c r="E24" s="119"/>
      <c r="F24" s="120">
        <f t="shared" si="3"/>
        <v>21583.8</v>
      </c>
      <c r="G24" s="202"/>
      <c r="H24" s="203"/>
      <c r="I24" s="201">
        <f t="shared" si="4"/>
        <v>21583.8</v>
      </c>
      <c r="J24" s="202">
        <f>1136.24</f>
        <v>1136.24</v>
      </c>
      <c r="K24" s="7"/>
      <c r="L24" s="201">
        <f t="shared" si="5"/>
        <v>22720.04</v>
      </c>
      <c r="M24" s="29"/>
      <c r="N24" s="7"/>
      <c r="O24" s="30">
        <f t="shared" si="6"/>
        <v>22720.04</v>
      </c>
      <c r="P24" s="85"/>
      <c r="Q24" s="193">
        <f t="shared" si="1"/>
        <v>22720.04</v>
      </c>
    </row>
    <row r="25" spans="1:17" ht="12.75">
      <c r="A25" s="45" t="s">
        <v>168</v>
      </c>
      <c r="B25" s="97"/>
      <c r="C25" s="121">
        <v>40000</v>
      </c>
      <c r="D25" s="119">
        <f>10000</f>
        <v>10000</v>
      </c>
      <c r="E25" s="119"/>
      <c r="F25" s="120">
        <f t="shared" si="3"/>
        <v>50000</v>
      </c>
      <c r="G25" s="202"/>
      <c r="H25" s="203"/>
      <c r="I25" s="201">
        <f t="shared" si="4"/>
        <v>50000</v>
      </c>
      <c r="J25" s="202"/>
      <c r="K25" s="7"/>
      <c r="L25" s="201">
        <f t="shared" si="5"/>
        <v>50000</v>
      </c>
      <c r="M25" s="29"/>
      <c r="N25" s="7"/>
      <c r="O25" s="30">
        <f t="shared" si="6"/>
        <v>50000</v>
      </c>
      <c r="P25" s="85"/>
      <c r="Q25" s="193">
        <f t="shared" si="1"/>
        <v>50000</v>
      </c>
    </row>
    <row r="26" spans="1:17" ht="12.75">
      <c r="A26" s="45" t="s">
        <v>350</v>
      </c>
      <c r="B26" s="97"/>
      <c r="C26" s="121"/>
      <c r="D26" s="119"/>
      <c r="E26" s="119"/>
      <c r="F26" s="120"/>
      <c r="G26" s="202"/>
      <c r="H26" s="203"/>
      <c r="I26" s="201">
        <f t="shared" si="4"/>
        <v>0</v>
      </c>
      <c r="J26" s="202">
        <f>4250</f>
        <v>4250</v>
      </c>
      <c r="K26" s="7"/>
      <c r="L26" s="201">
        <f>I26+J26+K26</f>
        <v>4250</v>
      </c>
      <c r="M26" s="29"/>
      <c r="N26" s="7"/>
      <c r="O26" s="30"/>
      <c r="P26" s="85"/>
      <c r="Q26" s="193"/>
    </row>
    <row r="27" spans="1:17" ht="12.75">
      <c r="A27" s="45" t="s">
        <v>248</v>
      </c>
      <c r="B27" s="97"/>
      <c r="C27" s="121"/>
      <c r="D27" s="119"/>
      <c r="E27" s="119"/>
      <c r="F27" s="120">
        <f t="shared" si="3"/>
        <v>0</v>
      </c>
      <c r="G27" s="202">
        <f>1232.13</f>
        <v>1232.13</v>
      </c>
      <c r="H27" s="203"/>
      <c r="I27" s="201">
        <f t="shared" si="4"/>
        <v>1232.13</v>
      </c>
      <c r="J27" s="202"/>
      <c r="K27" s="7"/>
      <c r="L27" s="201">
        <f>I27+J27+K27</f>
        <v>1232.13</v>
      </c>
      <c r="M27" s="29"/>
      <c r="N27" s="7"/>
      <c r="O27" s="30"/>
      <c r="P27" s="85"/>
      <c r="Q27" s="193"/>
    </row>
    <row r="28" spans="1:17" ht="12.75">
      <c r="A28" s="45" t="s">
        <v>25</v>
      </c>
      <c r="B28" s="97"/>
      <c r="C28" s="121"/>
      <c r="D28" s="119"/>
      <c r="E28" s="119"/>
      <c r="F28" s="120">
        <f t="shared" si="3"/>
        <v>0</v>
      </c>
      <c r="G28" s="202">
        <f>4.43+0.8</f>
        <v>5.2299999999999995</v>
      </c>
      <c r="H28" s="203"/>
      <c r="I28" s="201">
        <f t="shared" si="4"/>
        <v>5.2299999999999995</v>
      </c>
      <c r="J28" s="202">
        <f>445.73</f>
        <v>445.73</v>
      </c>
      <c r="K28" s="7"/>
      <c r="L28" s="201">
        <f t="shared" si="5"/>
        <v>450.96000000000004</v>
      </c>
      <c r="M28" s="40"/>
      <c r="N28" s="7"/>
      <c r="O28" s="30">
        <f t="shared" si="6"/>
        <v>450.96000000000004</v>
      </c>
      <c r="P28" s="85"/>
      <c r="Q28" s="193">
        <f t="shared" si="1"/>
        <v>450.96000000000004</v>
      </c>
    </row>
    <row r="29" spans="1:17" ht="12.75">
      <c r="A29" s="45" t="s">
        <v>323</v>
      </c>
      <c r="B29" s="97"/>
      <c r="C29" s="121"/>
      <c r="D29" s="119">
        <f>515.32</f>
        <v>515.32</v>
      </c>
      <c r="E29" s="119"/>
      <c r="F29" s="120">
        <f t="shared" si="3"/>
        <v>515.32</v>
      </c>
      <c r="G29" s="202">
        <f>-515.32+4.98</f>
        <v>-510.34000000000003</v>
      </c>
      <c r="H29" s="203"/>
      <c r="I29" s="201">
        <f t="shared" si="4"/>
        <v>4.980000000000018</v>
      </c>
      <c r="J29" s="202">
        <f>168.99</f>
        <v>168.99</v>
      </c>
      <c r="K29" s="7"/>
      <c r="L29" s="201">
        <f t="shared" si="5"/>
        <v>173.97000000000003</v>
      </c>
      <c r="M29" s="29"/>
      <c r="N29" s="7"/>
      <c r="O29" s="30"/>
      <c r="P29" s="85"/>
      <c r="Q29" s="193"/>
    </row>
    <row r="30" spans="1:17" ht="12.75">
      <c r="A30" s="45" t="s">
        <v>317</v>
      </c>
      <c r="B30" s="97"/>
      <c r="C30" s="121"/>
      <c r="D30" s="119">
        <v>43.5</v>
      </c>
      <c r="E30" s="119"/>
      <c r="F30" s="120">
        <f t="shared" si="3"/>
        <v>43.5</v>
      </c>
      <c r="G30" s="202"/>
      <c r="H30" s="203"/>
      <c r="I30" s="201">
        <f t="shared" si="4"/>
        <v>43.5</v>
      </c>
      <c r="J30" s="202"/>
      <c r="K30" s="7"/>
      <c r="L30" s="201">
        <f t="shared" si="5"/>
        <v>43.5</v>
      </c>
      <c r="M30" s="29"/>
      <c r="N30" s="7"/>
      <c r="O30" s="30"/>
      <c r="P30" s="85"/>
      <c r="Q30" s="193"/>
    </row>
    <row r="31" spans="1:17" ht="12.75" hidden="1">
      <c r="A31" s="45" t="s">
        <v>169</v>
      </c>
      <c r="B31" s="97"/>
      <c r="C31" s="121"/>
      <c r="D31" s="119"/>
      <c r="E31" s="119"/>
      <c r="F31" s="120">
        <f t="shared" si="3"/>
        <v>0</v>
      </c>
      <c r="G31" s="202"/>
      <c r="H31" s="203"/>
      <c r="I31" s="201">
        <f t="shared" si="4"/>
        <v>0</v>
      </c>
      <c r="J31" s="202"/>
      <c r="K31" s="7"/>
      <c r="L31" s="201">
        <f t="shared" si="5"/>
        <v>0</v>
      </c>
      <c r="M31" s="29"/>
      <c r="N31" s="7"/>
      <c r="O31" s="30">
        <f t="shared" si="6"/>
        <v>0</v>
      </c>
      <c r="P31" s="85"/>
      <c r="Q31" s="193">
        <f t="shared" si="1"/>
        <v>0</v>
      </c>
    </row>
    <row r="32" spans="1:17" ht="12.75" hidden="1">
      <c r="A32" s="45" t="s">
        <v>170</v>
      </c>
      <c r="B32" s="97"/>
      <c r="C32" s="121"/>
      <c r="D32" s="119"/>
      <c r="E32" s="119"/>
      <c r="F32" s="120">
        <f t="shared" si="3"/>
        <v>0</v>
      </c>
      <c r="G32" s="202"/>
      <c r="H32" s="203"/>
      <c r="I32" s="201">
        <f t="shared" si="4"/>
        <v>0</v>
      </c>
      <c r="J32" s="202"/>
      <c r="K32" s="7"/>
      <c r="L32" s="201">
        <f t="shared" si="5"/>
        <v>0</v>
      </c>
      <c r="M32" s="29"/>
      <c r="N32" s="7"/>
      <c r="O32" s="30">
        <f t="shared" si="6"/>
        <v>0</v>
      </c>
      <c r="P32" s="85"/>
      <c r="Q32" s="193">
        <f t="shared" si="1"/>
        <v>0</v>
      </c>
    </row>
    <row r="33" spans="1:17" ht="12.75">
      <c r="A33" s="45" t="s">
        <v>341</v>
      </c>
      <c r="B33" s="97"/>
      <c r="C33" s="121"/>
      <c r="D33" s="119">
        <f>719.88</f>
        <v>719.88</v>
      </c>
      <c r="E33" s="119"/>
      <c r="F33" s="120">
        <f t="shared" si="3"/>
        <v>719.88</v>
      </c>
      <c r="G33" s="202">
        <f>15</f>
        <v>15</v>
      </c>
      <c r="H33" s="203">
        <f>22.96</f>
        <v>22.96</v>
      </c>
      <c r="I33" s="201">
        <f t="shared" si="4"/>
        <v>757.84</v>
      </c>
      <c r="J33" s="202">
        <f>25.29+286</f>
        <v>311.29</v>
      </c>
      <c r="K33" s="7"/>
      <c r="L33" s="201">
        <f t="shared" si="5"/>
        <v>1069.13</v>
      </c>
      <c r="M33" s="29"/>
      <c r="N33" s="7"/>
      <c r="O33" s="30">
        <f t="shared" si="6"/>
        <v>1069.13</v>
      </c>
      <c r="P33" s="85"/>
      <c r="Q33" s="193">
        <f t="shared" si="1"/>
        <v>1069.13</v>
      </c>
    </row>
    <row r="34" spans="1:17" ht="12.75">
      <c r="A34" s="45" t="s">
        <v>171</v>
      </c>
      <c r="B34" s="97"/>
      <c r="C34" s="121"/>
      <c r="D34" s="119">
        <f>2400+7.1</f>
        <v>2407.1</v>
      </c>
      <c r="E34" s="119"/>
      <c r="F34" s="120">
        <f t="shared" si="3"/>
        <v>2407.1</v>
      </c>
      <c r="G34" s="202">
        <f>-2400+7.27</f>
        <v>-2392.73</v>
      </c>
      <c r="H34" s="203"/>
      <c r="I34" s="201">
        <f t="shared" si="4"/>
        <v>14.36999999999989</v>
      </c>
      <c r="J34" s="202">
        <f>218.9+438.48</f>
        <v>657.38</v>
      </c>
      <c r="K34" s="7"/>
      <c r="L34" s="201">
        <f t="shared" si="5"/>
        <v>671.7499999999999</v>
      </c>
      <c r="M34" s="29"/>
      <c r="N34" s="7"/>
      <c r="O34" s="30">
        <f t="shared" si="6"/>
        <v>671.7499999999999</v>
      </c>
      <c r="P34" s="85"/>
      <c r="Q34" s="193">
        <f t="shared" si="1"/>
        <v>671.7499999999999</v>
      </c>
    </row>
    <row r="35" spans="1:17" ht="12.75" hidden="1">
      <c r="A35" s="45" t="s">
        <v>164</v>
      </c>
      <c r="B35" s="97"/>
      <c r="C35" s="121"/>
      <c r="D35" s="119"/>
      <c r="E35" s="119"/>
      <c r="F35" s="120">
        <f t="shared" si="3"/>
        <v>0</v>
      </c>
      <c r="G35" s="202"/>
      <c r="H35" s="203"/>
      <c r="I35" s="201">
        <f t="shared" si="4"/>
        <v>0</v>
      </c>
      <c r="J35" s="202"/>
      <c r="K35" s="7"/>
      <c r="L35" s="201">
        <f t="shared" si="5"/>
        <v>0</v>
      </c>
      <c r="M35" s="29"/>
      <c r="N35" s="7"/>
      <c r="O35" s="30">
        <f t="shared" si="6"/>
        <v>0</v>
      </c>
      <c r="P35" s="85"/>
      <c r="Q35" s="193">
        <f t="shared" si="1"/>
        <v>0</v>
      </c>
    </row>
    <row r="36" spans="1:17" ht="12.75" hidden="1">
      <c r="A36" s="45" t="s">
        <v>172</v>
      </c>
      <c r="B36" s="97"/>
      <c r="C36" s="121"/>
      <c r="D36" s="119"/>
      <c r="E36" s="119"/>
      <c r="F36" s="120">
        <f t="shared" si="3"/>
        <v>0</v>
      </c>
      <c r="G36" s="202"/>
      <c r="H36" s="203"/>
      <c r="I36" s="201">
        <f t="shared" si="4"/>
        <v>0</v>
      </c>
      <c r="J36" s="202"/>
      <c r="K36" s="7"/>
      <c r="L36" s="201">
        <f t="shared" si="5"/>
        <v>0</v>
      </c>
      <c r="M36" s="29"/>
      <c r="N36" s="7"/>
      <c r="O36" s="30">
        <f t="shared" si="6"/>
        <v>0</v>
      </c>
      <c r="P36" s="85"/>
      <c r="Q36" s="193">
        <f t="shared" si="1"/>
        <v>0</v>
      </c>
    </row>
    <row r="37" spans="1:17" ht="12.75">
      <c r="A37" s="45" t="s">
        <v>334</v>
      </c>
      <c r="B37" s="97"/>
      <c r="C37" s="121"/>
      <c r="D37" s="119"/>
      <c r="E37" s="119"/>
      <c r="F37" s="120">
        <f t="shared" si="3"/>
        <v>0</v>
      </c>
      <c r="G37" s="202">
        <f>465.95</f>
        <v>465.95</v>
      </c>
      <c r="H37" s="203"/>
      <c r="I37" s="201">
        <f t="shared" si="4"/>
        <v>465.95</v>
      </c>
      <c r="J37" s="202">
        <f>38.2</f>
        <v>38.2</v>
      </c>
      <c r="K37" s="7"/>
      <c r="L37" s="201">
        <f t="shared" si="5"/>
        <v>504.15</v>
      </c>
      <c r="M37" s="29"/>
      <c r="N37" s="7"/>
      <c r="O37" s="30"/>
      <c r="P37" s="85"/>
      <c r="Q37" s="193"/>
    </row>
    <row r="38" spans="1:17" ht="12.75">
      <c r="A38" s="45" t="s">
        <v>173</v>
      </c>
      <c r="B38" s="97"/>
      <c r="C38" s="121"/>
      <c r="D38" s="119"/>
      <c r="E38" s="119"/>
      <c r="F38" s="120">
        <f t="shared" si="3"/>
        <v>0</v>
      </c>
      <c r="G38" s="202">
        <f>1396.19</f>
        <v>1396.19</v>
      </c>
      <c r="H38" s="203"/>
      <c r="I38" s="201">
        <f t="shared" si="4"/>
        <v>1396.19</v>
      </c>
      <c r="J38" s="202"/>
      <c r="K38" s="7"/>
      <c r="L38" s="201">
        <f t="shared" si="5"/>
        <v>1396.19</v>
      </c>
      <c r="M38" s="29"/>
      <c r="N38" s="7"/>
      <c r="O38" s="30">
        <f t="shared" si="6"/>
        <v>1396.19</v>
      </c>
      <c r="P38" s="85"/>
      <c r="Q38" s="193">
        <f t="shared" si="1"/>
        <v>1396.19</v>
      </c>
    </row>
    <row r="39" spans="1:17" ht="12.75">
      <c r="A39" s="44" t="s">
        <v>27</v>
      </c>
      <c r="B39" s="96"/>
      <c r="C39" s="121">
        <f>SUM(C40:C45)</f>
        <v>118736.8</v>
      </c>
      <c r="D39" s="119">
        <f>SUM(D40:D45)</f>
        <v>-752.1000000000001</v>
      </c>
      <c r="E39" s="119">
        <f>SUM(E40:E45)</f>
        <v>1800</v>
      </c>
      <c r="F39" s="120">
        <f>SUM(F40:F45)</f>
        <v>119784.7</v>
      </c>
      <c r="G39" s="202">
        <f aca="true" t="shared" si="7" ref="G39:Q39">SUM(G40:G45)</f>
        <v>353.7</v>
      </c>
      <c r="H39" s="203">
        <f t="shared" si="7"/>
        <v>0</v>
      </c>
      <c r="I39" s="201">
        <f t="shared" si="7"/>
        <v>120138.4</v>
      </c>
      <c r="J39" s="202">
        <f t="shared" si="7"/>
        <v>260.4</v>
      </c>
      <c r="K39" s="119">
        <f t="shared" si="7"/>
        <v>0</v>
      </c>
      <c r="L39" s="201">
        <f t="shared" si="7"/>
        <v>120398.8</v>
      </c>
      <c r="M39" s="121">
        <f t="shared" si="7"/>
        <v>0</v>
      </c>
      <c r="N39" s="119">
        <f t="shared" si="7"/>
        <v>0</v>
      </c>
      <c r="O39" s="120">
        <f t="shared" si="7"/>
        <v>120398.8</v>
      </c>
      <c r="P39" s="121">
        <f t="shared" si="7"/>
        <v>0</v>
      </c>
      <c r="Q39" s="120">
        <f t="shared" si="7"/>
        <v>120398.8</v>
      </c>
    </row>
    <row r="40" spans="1:17" ht="12.75">
      <c r="A40" s="44" t="s">
        <v>28</v>
      </c>
      <c r="B40" s="96"/>
      <c r="C40" s="121">
        <v>42996</v>
      </c>
      <c r="D40" s="119">
        <f>330.3</f>
        <v>330.3</v>
      </c>
      <c r="E40" s="119"/>
      <c r="F40" s="120">
        <f t="shared" si="3"/>
        <v>43326.3</v>
      </c>
      <c r="G40" s="202">
        <f>125.6</f>
        <v>125.6</v>
      </c>
      <c r="H40" s="203"/>
      <c r="I40" s="201">
        <f aca="true" t="shared" si="8" ref="I40:I46">F40+G40+H40</f>
        <v>43451.9</v>
      </c>
      <c r="J40" s="202">
        <f>26.9+233.5</f>
        <v>260.4</v>
      </c>
      <c r="K40" s="7"/>
      <c r="L40" s="201">
        <f aca="true" t="shared" si="9" ref="L40:L46">I40+J40+K40</f>
        <v>43712.3</v>
      </c>
      <c r="M40" s="29"/>
      <c r="N40" s="7"/>
      <c r="O40" s="30">
        <f aca="true" t="shared" si="10" ref="O40:O45">L40+M40+N40</f>
        <v>43712.3</v>
      </c>
      <c r="P40" s="85"/>
      <c r="Q40" s="193">
        <f t="shared" si="1"/>
        <v>43712.3</v>
      </c>
    </row>
    <row r="41" spans="1:17" ht="12.75">
      <c r="A41" s="45" t="s">
        <v>174</v>
      </c>
      <c r="B41" s="97"/>
      <c r="C41" s="121">
        <v>8354.5</v>
      </c>
      <c r="D41" s="119"/>
      <c r="E41" s="119"/>
      <c r="F41" s="120">
        <f t="shared" si="3"/>
        <v>8354.5</v>
      </c>
      <c r="G41" s="202"/>
      <c r="H41" s="203"/>
      <c r="I41" s="201">
        <f t="shared" si="8"/>
        <v>8354.5</v>
      </c>
      <c r="J41" s="202"/>
      <c r="K41" s="7"/>
      <c r="L41" s="201">
        <f t="shared" si="9"/>
        <v>8354.5</v>
      </c>
      <c r="M41" s="29"/>
      <c r="N41" s="7"/>
      <c r="O41" s="30">
        <f t="shared" si="10"/>
        <v>8354.5</v>
      </c>
      <c r="P41" s="85"/>
      <c r="Q41" s="193">
        <f t="shared" si="1"/>
        <v>8354.5</v>
      </c>
    </row>
    <row r="42" spans="1:17" ht="12.75">
      <c r="A42" s="44" t="s">
        <v>29</v>
      </c>
      <c r="B42" s="96"/>
      <c r="C42" s="121">
        <v>22167</v>
      </c>
      <c r="D42" s="119"/>
      <c r="E42" s="119">
        <v>1800</v>
      </c>
      <c r="F42" s="120">
        <f t="shared" si="3"/>
        <v>23967</v>
      </c>
      <c r="G42" s="202"/>
      <c r="H42" s="203"/>
      <c r="I42" s="201">
        <f t="shared" si="8"/>
        <v>23967</v>
      </c>
      <c r="J42" s="202"/>
      <c r="K42" s="7"/>
      <c r="L42" s="201">
        <f t="shared" si="9"/>
        <v>23967</v>
      </c>
      <c r="M42" s="29"/>
      <c r="N42" s="7"/>
      <c r="O42" s="30">
        <f t="shared" si="10"/>
        <v>23967</v>
      </c>
      <c r="P42" s="85"/>
      <c r="Q42" s="193">
        <f t="shared" si="1"/>
        <v>23967</v>
      </c>
    </row>
    <row r="43" spans="1:17" ht="12.75">
      <c r="A43" s="45" t="s">
        <v>175</v>
      </c>
      <c r="B43" s="97"/>
      <c r="C43" s="121">
        <v>11173.3</v>
      </c>
      <c r="D43" s="119">
        <f>-1082.4</f>
        <v>-1082.4</v>
      </c>
      <c r="E43" s="119"/>
      <c r="F43" s="120">
        <f t="shared" si="3"/>
        <v>10090.9</v>
      </c>
      <c r="G43" s="202">
        <f>228.1</f>
        <v>228.1</v>
      </c>
      <c r="H43" s="203"/>
      <c r="I43" s="201">
        <f t="shared" si="8"/>
        <v>10319</v>
      </c>
      <c r="J43" s="202"/>
      <c r="K43" s="7"/>
      <c r="L43" s="201">
        <f t="shared" si="9"/>
        <v>10319</v>
      </c>
      <c r="M43" s="29"/>
      <c r="N43" s="7"/>
      <c r="O43" s="30">
        <f t="shared" si="10"/>
        <v>10319</v>
      </c>
      <c r="P43" s="85"/>
      <c r="Q43" s="193">
        <f t="shared" si="1"/>
        <v>10319</v>
      </c>
    </row>
    <row r="44" spans="1:17" ht="12.75">
      <c r="A44" s="45" t="s">
        <v>268</v>
      </c>
      <c r="B44" s="97"/>
      <c r="C44" s="121">
        <v>350</v>
      </c>
      <c r="D44" s="119"/>
      <c r="E44" s="119"/>
      <c r="F44" s="120">
        <f t="shared" si="3"/>
        <v>350</v>
      </c>
      <c r="G44" s="202"/>
      <c r="H44" s="203"/>
      <c r="I44" s="201">
        <f t="shared" si="8"/>
        <v>350</v>
      </c>
      <c r="J44" s="202"/>
      <c r="K44" s="7"/>
      <c r="L44" s="201">
        <f t="shared" si="9"/>
        <v>350</v>
      </c>
      <c r="M44" s="29"/>
      <c r="N44" s="7"/>
      <c r="O44" s="30">
        <f t="shared" si="10"/>
        <v>350</v>
      </c>
      <c r="P44" s="85"/>
      <c r="Q44" s="193">
        <f t="shared" si="1"/>
        <v>350</v>
      </c>
    </row>
    <row r="45" spans="1:17" ht="12.75">
      <c r="A45" s="45" t="s">
        <v>176</v>
      </c>
      <c r="B45" s="97"/>
      <c r="C45" s="121">
        <v>33696</v>
      </c>
      <c r="D45" s="119"/>
      <c r="E45" s="119"/>
      <c r="F45" s="120">
        <f t="shared" si="3"/>
        <v>33696</v>
      </c>
      <c r="G45" s="202"/>
      <c r="H45" s="203"/>
      <c r="I45" s="201">
        <f t="shared" si="8"/>
        <v>33696</v>
      </c>
      <c r="J45" s="202"/>
      <c r="K45" s="7"/>
      <c r="L45" s="201">
        <f t="shared" si="9"/>
        <v>33696</v>
      </c>
      <c r="M45" s="29"/>
      <c r="N45" s="7"/>
      <c r="O45" s="30">
        <f t="shared" si="10"/>
        <v>33696</v>
      </c>
      <c r="P45" s="85"/>
      <c r="Q45" s="193">
        <f>O45+P45</f>
        <v>33696</v>
      </c>
    </row>
    <row r="46" spans="1:17" ht="12.75">
      <c r="A46" s="45" t="s">
        <v>236</v>
      </c>
      <c r="B46" s="97"/>
      <c r="C46" s="121"/>
      <c r="D46" s="171">
        <f>39.51+246.77+856.59+843.91+8</f>
        <v>1994.7800000000002</v>
      </c>
      <c r="E46" s="119"/>
      <c r="F46" s="120">
        <f t="shared" si="3"/>
        <v>1994.7800000000002</v>
      </c>
      <c r="G46" s="204">
        <f>82.55+1972+5000+5160.95+2237.86</f>
        <v>14453.36</v>
      </c>
      <c r="H46" s="205">
        <f>5.39</f>
        <v>5.39</v>
      </c>
      <c r="I46" s="201">
        <f t="shared" si="8"/>
        <v>16453.53</v>
      </c>
      <c r="J46" s="204">
        <f>5+1172.39+1000+1794.63+2200+200</f>
        <v>6372.02</v>
      </c>
      <c r="K46" s="190"/>
      <c r="L46" s="201">
        <f t="shared" si="9"/>
        <v>22825.55</v>
      </c>
      <c r="M46" s="83"/>
      <c r="N46" s="190"/>
      <c r="O46" s="191"/>
      <c r="P46" s="83"/>
      <c r="Q46" s="191"/>
    </row>
    <row r="47" spans="1:17" ht="12.75">
      <c r="A47" s="46" t="s">
        <v>284</v>
      </c>
      <c r="B47" s="98"/>
      <c r="C47" s="122">
        <f>SUM(C49:C52)</f>
        <v>15000</v>
      </c>
      <c r="D47" s="123">
        <f>SUM(D49:D52)</f>
        <v>0</v>
      </c>
      <c r="E47" s="123">
        <f>SUM(E49:E52)</f>
        <v>0</v>
      </c>
      <c r="F47" s="124">
        <f>SUM(F49:F52)</f>
        <v>15000</v>
      </c>
      <c r="G47" s="206">
        <f aca="true" t="shared" si="11" ref="G47:Q47">SUM(G49:G52)</f>
        <v>0</v>
      </c>
      <c r="H47" s="207">
        <f t="shared" si="11"/>
        <v>0</v>
      </c>
      <c r="I47" s="208">
        <f t="shared" si="11"/>
        <v>15000</v>
      </c>
      <c r="J47" s="206">
        <f t="shared" si="11"/>
        <v>0</v>
      </c>
      <c r="K47" s="123">
        <f t="shared" si="11"/>
        <v>0</v>
      </c>
      <c r="L47" s="208">
        <f t="shared" si="11"/>
        <v>15000</v>
      </c>
      <c r="M47" s="122">
        <f t="shared" si="11"/>
        <v>0</v>
      </c>
      <c r="N47" s="123">
        <f t="shared" si="11"/>
        <v>0</v>
      </c>
      <c r="O47" s="124">
        <f t="shared" si="11"/>
        <v>15000</v>
      </c>
      <c r="P47" s="122">
        <f t="shared" si="11"/>
        <v>0</v>
      </c>
      <c r="Q47" s="124">
        <f t="shared" si="11"/>
        <v>15000</v>
      </c>
    </row>
    <row r="48" spans="1:17" ht="11.25" customHeight="1">
      <c r="A48" s="43" t="s">
        <v>20</v>
      </c>
      <c r="B48" s="95"/>
      <c r="C48" s="121"/>
      <c r="D48" s="119"/>
      <c r="E48" s="119"/>
      <c r="F48" s="120"/>
      <c r="G48" s="202"/>
      <c r="H48" s="203"/>
      <c r="I48" s="201"/>
      <c r="J48" s="202"/>
      <c r="K48" s="7"/>
      <c r="L48" s="201"/>
      <c r="M48" s="29"/>
      <c r="N48" s="7"/>
      <c r="O48" s="30"/>
      <c r="P48" s="85"/>
      <c r="Q48" s="193"/>
    </row>
    <row r="49" spans="1:17" ht="12.75">
      <c r="A49" s="44" t="s">
        <v>30</v>
      </c>
      <c r="B49" s="96"/>
      <c r="C49" s="121"/>
      <c r="D49" s="119"/>
      <c r="E49" s="119"/>
      <c r="F49" s="120">
        <f>C49+D49+E49</f>
        <v>0</v>
      </c>
      <c r="G49" s="202"/>
      <c r="H49" s="203"/>
      <c r="I49" s="201">
        <f>F49+G49+H49</f>
        <v>0</v>
      </c>
      <c r="J49" s="202">
        <f>430</f>
        <v>430</v>
      </c>
      <c r="K49" s="7"/>
      <c r="L49" s="201">
        <f>I49+J49+K49</f>
        <v>430</v>
      </c>
      <c r="M49" s="29"/>
      <c r="N49" s="7"/>
      <c r="O49" s="30">
        <f>L49+M49+N49</f>
        <v>430</v>
      </c>
      <c r="P49" s="85"/>
      <c r="Q49" s="193">
        <f t="shared" si="1"/>
        <v>430</v>
      </c>
    </row>
    <row r="50" spans="1:17" ht="12.75">
      <c r="A50" s="45" t="s">
        <v>177</v>
      </c>
      <c r="B50" s="97"/>
      <c r="C50" s="121"/>
      <c r="D50" s="119"/>
      <c r="E50" s="119"/>
      <c r="F50" s="120">
        <f>C50+D50+E50</f>
        <v>0</v>
      </c>
      <c r="G50" s="202"/>
      <c r="H50" s="203"/>
      <c r="I50" s="201">
        <f>F50+G50+H50</f>
        <v>0</v>
      </c>
      <c r="J50" s="222">
        <f>214.73</f>
        <v>214.73</v>
      </c>
      <c r="K50" s="7"/>
      <c r="L50" s="201">
        <f>I50+J50+K50</f>
        <v>214.73</v>
      </c>
      <c r="M50" s="40"/>
      <c r="N50" s="7"/>
      <c r="O50" s="30">
        <f>L50+M50+N50</f>
        <v>214.73</v>
      </c>
      <c r="P50" s="85"/>
      <c r="Q50" s="193">
        <f t="shared" si="1"/>
        <v>214.73</v>
      </c>
    </row>
    <row r="51" spans="1:17" ht="12.75">
      <c r="A51" s="45" t="s">
        <v>237</v>
      </c>
      <c r="B51" s="97"/>
      <c r="C51" s="121">
        <v>15000</v>
      </c>
      <c r="D51" s="119"/>
      <c r="E51" s="119"/>
      <c r="F51" s="120">
        <f>C51+D51+E51</f>
        <v>15000</v>
      </c>
      <c r="G51" s="202"/>
      <c r="H51" s="203"/>
      <c r="I51" s="201">
        <f>F51+G51+H51</f>
        <v>15000</v>
      </c>
      <c r="J51" s="222">
        <f>-644.73</f>
        <v>-644.73</v>
      </c>
      <c r="K51" s="7"/>
      <c r="L51" s="201">
        <f>I51+J51+K51</f>
        <v>14355.27</v>
      </c>
      <c r="M51" s="40"/>
      <c r="N51" s="7"/>
      <c r="O51" s="30">
        <f>L51+M51+N51</f>
        <v>14355.27</v>
      </c>
      <c r="P51" s="85"/>
      <c r="Q51" s="193">
        <f t="shared" si="1"/>
        <v>14355.27</v>
      </c>
    </row>
    <row r="52" spans="1:17" ht="12.75" hidden="1">
      <c r="A52" s="44" t="s">
        <v>31</v>
      </c>
      <c r="B52" s="96"/>
      <c r="C52" s="121"/>
      <c r="D52" s="119"/>
      <c r="E52" s="119"/>
      <c r="F52" s="120">
        <f>C52+D52+E52</f>
        <v>0</v>
      </c>
      <c r="G52" s="202"/>
      <c r="H52" s="203"/>
      <c r="I52" s="201">
        <f>F52+G52+H52</f>
        <v>0</v>
      </c>
      <c r="J52" s="202"/>
      <c r="K52" s="7"/>
      <c r="L52" s="201">
        <f>I52+J52+K52</f>
        <v>0</v>
      </c>
      <c r="M52" s="29"/>
      <c r="N52" s="7"/>
      <c r="O52" s="30">
        <f>L52+M52+N52</f>
        <v>0</v>
      </c>
      <c r="P52" s="85"/>
      <c r="Q52" s="193">
        <f t="shared" si="1"/>
        <v>0</v>
      </c>
    </row>
    <row r="53" spans="1:17" ht="12.75">
      <c r="A53" s="46" t="s">
        <v>285</v>
      </c>
      <c r="B53" s="96"/>
      <c r="C53" s="121"/>
      <c r="D53" s="119"/>
      <c r="E53" s="119"/>
      <c r="F53" s="120"/>
      <c r="G53" s="202"/>
      <c r="H53" s="203"/>
      <c r="I53" s="201"/>
      <c r="J53" s="202"/>
      <c r="K53" s="7"/>
      <c r="L53" s="201"/>
      <c r="M53" s="29"/>
      <c r="N53" s="7"/>
      <c r="O53" s="30"/>
      <c r="P53" s="85"/>
      <c r="Q53" s="193"/>
    </row>
    <row r="54" spans="1:17" ht="12.75">
      <c r="A54" s="42" t="s">
        <v>32</v>
      </c>
      <c r="B54" s="94"/>
      <c r="C54" s="116">
        <f>SUM(C56:C75)</f>
        <v>79947.4</v>
      </c>
      <c r="D54" s="117">
        <f>SUM(D56:D75)</f>
        <v>5755826.28</v>
      </c>
      <c r="E54" s="117">
        <f>SUM(E56:E75)</f>
        <v>0</v>
      </c>
      <c r="F54" s="118">
        <f>SUM(F56:F75)</f>
        <v>5835773.680000001</v>
      </c>
      <c r="G54" s="198">
        <f aca="true" t="shared" si="12" ref="G54:Q54">SUM(G56:G75)</f>
        <v>374844.64</v>
      </c>
      <c r="H54" s="199">
        <f t="shared" si="12"/>
        <v>0</v>
      </c>
      <c r="I54" s="200">
        <f t="shared" si="12"/>
        <v>6210618.32</v>
      </c>
      <c r="J54" s="198">
        <f t="shared" si="12"/>
        <v>276168.58</v>
      </c>
      <c r="K54" s="117">
        <f t="shared" si="12"/>
        <v>0</v>
      </c>
      <c r="L54" s="200">
        <f t="shared" si="12"/>
        <v>6486786.9</v>
      </c>
      <c r="M54" s="116">
        <f t="shared" si="12"/>
        <v>0</v>
      </c>
      <c r="N54" s="117">
        <f t="shared" si="12"/>
        <v>0</v>
      </c>
      <c r="O54" s="118">
        <f t="shared" si="12"/>
        <v>6486786.9</v>
      </c>
      <c r="P54" s="116">
        <f t="shared" si="12"/>
        <v>0</v>
      </c>
      <c r="Q54" s="118">
        <f t="shared" si="12"/>
        <v>6486786.9</v>
      </c>
    </row>
    <row r="55" spans="1:17" ht="10.5" customHeight="1">
      <c r="A55" s="47" t="s">
        <v>33</v>
      </c>
      <c r="B55" s="99"/>
      <c r="C55" s="121"/>
      <c r="D55" s="119"/>
      <c r="E55" s="119"/>
      <c r="F55" s="120"/>
      <c r="G55" s="202"/>
      <c r="H55" s="203"/>
      <c r="I55" s="201"/>
      <c r="J55" s="202"/>
      <c r="K55" s="7"/>
      <c r="L55" s="201"/>
      <c r="M55" s="29"/>
      <c r="N55" s="7"/>
      <c r="O55" s="30"/>
      <c r="P55" s="85"/>
      <c r="Q55" s="193"/>
    </row>
    <row r="56" spans="1:17" ht="12.75">
      <c r="A56" s="45" t="s">
        <v>34</v>
      </c>
      <c r="B56" s="97"/>
      <c r="C56" s="121">
        <v>79697.4</v>
      </c>
      <c r="D56" s="119"/>
      <c r="E56" s="119"/>
      <c r="F56" s="120">
        <f aca="true" t="shared" si="13" ref="F56:F75">C56+D56+E56</f>
        <v>79697.4</v>
      </c>
      <c r="G56" s="202"/>
      <c r="H56" s="203"/>
      <c r="I56" s="201">
        <f>F56+G56+H56</f>
        <v>79697.4</v>
      </c>
      <c r="J56" s="202"/>
      <c r="K56" s="7"/>
      <c r="L56" s="201">
        <f>I56+J56+K56</f>
        <v>79697.4</v>
      </c>
      <c r="M56" s="29"/>
      <c r="N56" s="7"/>
      <c r="O56" s="30">
        <f>L56+M56+N56</f>
        <v>79697.4</v>
      </c>
      <c r="P56" s="85"/>
      <c r="Q56" s="193">
        <f t="shared" si="1"/>
        <v>79697.4</v>
      </c>
    </row>
    <row r="57" spans="1:17" ht="12.75">
      <c r="A57" s="45" t="s">
        <v>35</v>
      </c>
      <c r="B57" s="97"/>
      <c r="C57" s="121"/>
      <c r="D57" s="119">
        <f>43.5+176.59+186.8</f>
        <v>406.89</v>
      </c>
      <c r="E57" s="119"/>
      <c r="F57" s="120">
        <f t="shared" si="13"/>
        <v>406.89</v>
      </c>
      <c r="G57" s="202">
        <f>15.05+19.89+148.07+180.29</f>
        <v>363.29999999999995</v>
      </c>
      <c r="H57" s="203"/>
      <c r="I57" s="201">
        <f aca="true" t="shared" si="14" ref="I57:I74">F57+G57+H57</f>
        <v>770.1899999999999</v>
      </c>
      <c r="J57" s="202">
        <f>12+181.11+151.5+30</f>
        <v>374.61</v>
      </c>
      <c r="K57" s="7"/>
      <c r="L57" s="201">
        <f aca="true" t="shared" si="15" ref="L57:L75">I57+J57+K57</f>
        <v>1144.8</v>
      </c>
      <c r="M57" s="29"/>
      <c r="N57" s="7"/>
      <c r="O57" s="30">
        <f aca="true" t="shared" si="16" ref="O57:O75">L57+M57+N57</f>
        <v>1144.8</v>
      </c>
      <c r="P57" s="85"/>
      <c r="Q57" s="193">
        <f t="shared" si="1"/>
        <v>1144.8</v>
      </c>
    </row>
    <row r="58" spans="1:17" ht="12.75">
      <c r="A58" s="45" t="s">
        <v>36</v>
      </c>
      <c r="B58" s="97"/>
      <c r="C58" s="121"/>
      <c r="D58" s="119">
        <f>1373+5045968.66+61775.7+8921.07+363.12+8587.89+256.1+984+5144.59+7762.19+8844.48+17565.21+149.6</f>
        <v>5167695.61</v>
      </c>
      <c r="E58" s="119"/>
      <c r="F58" s="120">
        <f t="shared" si="13"/>
        <v>5167695.61</v>
      </c>
      <c r="G58" s="202">
        <f>2066.37+189.46+322.77+60538.18+1171.4+215.47+14589.37+7495.07</f>
        <v>86588.09</v>
      </c>
      <c r="H58" s="203"/>
      <c r="I58" s="201">
        <f t="shared" si="14"/>
        <v>5254283.7</v>
      </c>
      <c r="J58" s="202">
        <f>633.34+10678.94+79.94+62368.6+36489.09+1046.04+2482+908.07+1139.29+311.13+1616.06+1602.75-743.66+971.95-120.38-221.61+1211.93</f>
        <v>120453.47999999998</v>
      </c>
      <c r="K58" s="7"/>
      <c r="L58" s="201">
        <f t="shared" si="15"/>
        <v>5374737.18</v>
      </c>
      <c r="M58" s="29"/>
      <c r="N58" s="7"/>
      <c r="O58" s="30">
        <f t="shared" si="16"/>
        <v>5374737.18</v>
      </c>
      <c r="P58" s="85"/>
      <c r="Q58" s="193">
        <f t="shared" si="1"/>
        <v>5374737.18</v>
      </c>
    </row>
    <row r="59" spans="1:17" ht="12.75">
      <c r="A59" s="45" t="s">
        <v>37</v>
      </c>
      <c r="B59" s="97"/>
      <c r="C59" s="121"/>
      <c r="D59" s="119">
        <f>485940+2500+94024.14+2252.06</f>
        <v>584716.2000000001</v>
      </c>
      <c r="E59" s="119"/>
      <c r="F59" s="120">
        <f t="shared" si="13"/>
        <v>584716.2000000001</v>
      </c>
      <c r="G59" s="202">
        <f>1310.51+2500+367.11+549.91+485.54+1420.05</f>
        <v>6633.12</v>
      </c>
      <c r="H59" s="203"/>
      <c r="I59" s="201">
        <f t="shared" si="14"/>
        <v>591349.3200000001</v>
      </c>
      <c r="J59" s="202">
        <f>1661.33+62790+33033.92+412+3759.58</f>
        <v>101656.83</v>
      </c>
      <c r="K59" s="7"/>
      <c r="L59" s="201">
        <f t="shared" si="15"/>
        <v>693006.15</v>
      </c>
      <c r="M59" s="29"/>
      <c r="N59" s="7"/>
      <c r="O59" s="30">
        <f t="shared" si="16"/>
        <v>693006.15</v>
      </c>
      <c r="P59" s="85"/>
      <c r="Q59" s="193">
        <f t="shared" si="1"/>
        <v>693006.15</v>
      </c>
    </row>
    <row r="60" spans="1:17" ht="12.75">
      <c r="A60" s="45" t="s">
        <v>38</v>
      </c>
      <c r="B60" s="97"/>
      <c r="C60" s="121"/>
      <c r="D60" s="119">
        <f>44.83+27.24+728.31+27.1+44.72</f>
        <v>872.1999999999999</v>
      </c>
      <c r="E60" s="119"/>
      <c r="F60" s="120">
        <f t="shared" si="13"/>
        <v>872.1999999999999</v>
      </c>
      <c r="G60" s="202">
        <f>35.84+41.21+18.22</f>
        <v>95.27000000000001</v>
      </c>
      <c r="H60" s="203"/>
      <c r="I60" s="201">
        <f t="shared" si="14"/>
        <v>967.4699999999999</v>
      </c>
      <c r="J60" s="202">
        <f>824.69+17.36+1315</f>
        <v>2157.05</v>
      </c>
      <c r="K60" s="7"/>
      <c r="L60" s="201">
        <f t="shared" si="15"/>
        <v>3124.52</v>
      </c>
      <c r="M60" s="29"/>
      <c r="N60" s="7"/>
      <c r="O60" s="30">
        <f t="shared" si="16"/>
        <v>3124.52</v>
      </c>
      <c r="P60" s="85"/>
      <c r="Q60" s="193">
        <f t="shared" si="1"/>
        <v>3124.52</v>
      </c>
    </row>
    <row r="61" spans="1:17" ht="12.75">
      <c r="A61" s="45" t="s">
        <v>39</v>
      </c>
      <c r="B61" s="97"/>
      <c r="C61" s="121"/>
      <c r="D61" s="119"/>
      <c r="E61" s="119"/>
      <c r="F61" s="120">
        <f t="shared" si="13"/>
        <v>0</v>
      </c>
      <c r="G61" s="202">
        <f>631</f>
        <v>631</v>
      </c>
      <c r="H61" s="203"/>
      <c r="I61" s="201">
        <f t="shared" si="14"/>
        <v>631</v>
      </c>
      <c r="J61" s="202">
        <f>52+347+77+28+69+130+80+75+126+120</f>
        <v>1104</v>
      </c>
      <c r="K61" s="7"/>
      <c r="L61" s="201">
        <f t="shared" si="15"/>
        <v>1735</v>
      </c>
      <c r="M61" s="29"/>
      <c r="N61" s="7"/>
      <c r="O61" s="30">
        <f t="shared" si="16"/>
        <v>1735</v>
      </c>
      <c r="P61" s="85"/>
      <c r="Q61" s="193">
        <f t="shared" si="1"/>
        <v>1735</v>
      </c>
    </row>
    <row r="62" spans="1:17" ht="12.75">
      <c r="A62" s="45" t="s">
        <v>40</v>
      </c>
      <c r="B62" s="97"/>
      <c r="C62" s="121"/>
      <c r="D62" s="119"/>
      <c r="E62" s="119"/>
      <c r="F62" s="120">
        <f t="shared" si="13"/>
        <v>0</v>
      </c>
      <c r="G62" s="202">
        <f>100+41</f>
        <v>141</v>
      </c>
      <c r="H62" s="203"/>
      <c r="I62" s="201">
        <f t="shared" si="14"/>
        <v>141</v>
      </c>
      <c r="J62" s="202">
        <f>5508.04+16871.35</f>
        <v>22379.39</v>
      </c>
      <c r="K62" s="7"/>
      <c r="L62" s="201">
        <f t="shared" si="15"/>
        <v>22520.39</v>
      </c>
      <c r="M62" s="29"/>
      <c r="N62" s="7"/>
      <c r="O62" s="30">
        <f t="shared" si="16"/>
        <v>22520.39</v>
      </c>
      <c r="P62" s="85"/>
      <c r="Q62" s="193">
        <f t="shared" si="1"/>
        <v>22520.39</v>
      </c>
    </row>
    <row r="63" spans="1:17" ht="12.75">
      <c r="A63" s="45" t="s">
        <v>41</v>
      </c>
      <c r="B63" s="97"/>
      <c r="C63" s="121"/>
      <c r="D63" s="119"/>
      <c r="E63" s="119"/>
      <c r="F63" s="120">
        <f t="shared" si="13"/>
        <v>0</v>
      </c>
      <c r="G63" s="202">
        <f>288</f>
        <v>288</v>
      </c>
      <c r="H63" s="203"/>
      <c r="I63" s="201">
        <f t="shared" si="14"/>
        <v>288</v>
      </c>
      <c r="J63" s="202"/>
      <c r="K63" s="7"/>
      <c r="L63" s="201">
        <f t="shared" si="15"/>
        <v>288</v>
      </c>
      <c r="M63" s="29"/>
      <c r="N63" s="7"/>
      <c r="O63" s="30">
        <f t="shared" si="16"/>
        <v>288</v>
      </c>
      <c r="P63" s="85"/>
      <c r="Q63" s="193">
        <f t="shared" si="1"/>
        <v>288</v>
      </c>
    </row>
    <row r="64" spans="1:17" ht="12.75">
      <c r="A64" s="45" t="s">
        <v>160</v>
      </c>
      <c r="B64" s="97"/>
      <c r="C64" s="121"/>
      <c r="D64" s="119"/>
      <c r="E64" s="119"/>
      <c r="F64" s="120">
        <f t="shared" si="13"/>
        <v>0</v>
      </c>
      <c r="G64" s="202">
        <f>268513.86</f>
        <v>268513.86</v>
      </c>
      <c r="H64" s="203"/>
      <c r="I64" s="201">
        <f t="shared" si="14"/>
        <v>268513.86</v>
      </c>
      <c r="J64" s="202"/>
      <c r="K64" s="7"/>
      <c r="L64" s="201">
        <f t="shared" si="15"/>
        <v>268513.86</v>
      </c>
      <c r="M64" s="29"/>
      <c r="N64" s="7"/>
      <c r="O64" s="30">
        <f t="shared" si="16"/>
        <v>268513.86</v>
      </c>
      <c r="P64" s="85"/>
      <c r="Q64" s="193">
        <f t="shared" si="1"/>
        <v>268513.86</v>
      </c>
    </row>
    <row r="65" spans="1:17" ht="12.75">
      <c r="A65" s="45" t="s">
        <v>182</v>
      </c>
      <c r="B65" s="97"/>
      <c r="C65" s="121"/>
      <c r="D65" s="119">
        <f>2135.38</f>
        <v>2135.38</v>
      </c>
      <c r="E65" s="119"/>
      <c r="F65" s="120">
        <f t="shared" si="13"/>
        <v>2135.38</v>
      </c>
      <c r="G65" s="202">
        <f>857.64</f>
        <v>857.64</v>
      </c>
      <c r="H65" s="203"/>
      <c r="I65" s="201">
        <f t="shared" si="14"/>
        <v>2993.02</v>
      </c>
      <c r="J65" s="202">
        <f>3399.51</f>
        <v>3399.51</v>
      </c>
      <c r="K65" s="7"/>
      <c r="L65" s="201">
        <f t="shared" si="15"/>
        <v>6392.530000000001</v>
      </c>
      <c r="M65" s="29"/>
      <c r="N65" s="7"/>
      <c r="O65" s="30">
        <f t="shared" si="16"/>
        <v>6392.530000000001</v>
      </c>
      <c r="P65" s="85"/>
      <c r="Q65" s="193">
        <f t="shared" si="1"/>
        <v>6392.530000000001</v>
      </c>
    </row>
    <row r="66" spans="1:17" ht="12.75" hidden="1">
      <c r="A66" s="45" t="s">
        <v>42</v>
      </c>
      <c r="B66" s="97"/>
      <c r="C66" s="121"/>
      <c r="D66" s="119"/>
      <c r="E66" s="119"/>
      <c r="F66" s="120">
        <f t="shared" si="13"/>
        <v>0</v>
      </c>
      <c r="G66" s="202"/>
      <c r="H66" s="203"/>
      <c r="I66" s="201">
        <f t="shared" si="14"/>
        <v>0</v>
      </c>
      <c r="J66" s="202"/>
      <c r="K66" s="7"/>
      <c r="L66" s="201">
        <f t="shared" si="15"/>
        <v>0</v>
      </c>
      <c r="M66" s="29"/>
      <c r="N66" s="7"/>
      <c r="O66" s="30">
        <f t="shared" si="16"/>
        <v>0</v>
      </c>
      <c r="P66" s="91"/>
      <c r="Q66" s="193">
        <f t="shared" si="1"/>
        <v>0</v>
      </c>
    </row>
    <row r="67" spans="1:17" ht="12.75">
      <c r="A67" s="45" t="s">
        <v>43</v>
      </c>
      <c r="B67" s="97"/>
      <c r="C67" s="121"/>
      <c r="D67" s="119"/>
      <c r="E67" s="119"/>
      <c r="F67" s="120">
        <f t="shared" si="13"/>
        <v>0</v>
      </c>
      <c r="G67" s="202">
        <f>88+234.2</f>
        <v>322.2</v>
      </c>
      <c r="H67" s="203"/>
      <c r="I67" s="201">
        <f t="shared" si="14"/>
        <v>322.2</v>
      </c>
      <c r="J67" s="222"/>
      <c r="K67" s="7"/>
      <c r="L67" s="201">
        <f t="shared" si="15"/>
        <v>322.2</v>
      </c>
      <c r="M67" s="29"/>
      <c r="N67" s="7"/>
      <c r="O67" s="30">
        <f t="shared" si="16"/>
        <v>322.2</v>
      </c>
      <c r="P67" s="85"/>
      <c r="Q67" s="193">
        <f t="shared" si="1"/>
        <v>322.2</v>
      </c>
    </row>
    <row r="68" spans="1:17" ht="12.75" hidden="1">
      <c r="A68" s="45" t="s">
        <v>249</v>
      </c>
      <c r="B68" s="97"/>
      <c r="C68" s="121"/>
      <c r="D68" s="119"/>
      <c r="E68" s="119"/>
      <c r="F68" s="120">
        <f t="shared" si="13"/>
        <v>0</v>
      </c>
      <c r="G68" s="202"/>
      <c r="H68" s="203"/>
      <c r="I68" s="201">
        <f t="shared" si="14"/>
        <v>0</v>
      </c>
      <c r="J68" s="222"/>
      <c r="K68" s="7"/>
      <c r="L68" s="201"/>
      <c r="M68" s="29"/>
      <c r="N68" s="7"/>
      <c r="O68" s="30"/>
      <c r="P68" s="85"/>
      <c r="Q68" s="193"/>
    </row>
    <row r="69" spans="1:17" ht="12.75" hidden="1">
      <c r="A69" s="45" t="s">
        <v>183</v>
      </c>
      <c r="B69" s="97"/>
      <c r="C69" s="121"/>
      <c r="D69" s="119"/>
      <c r="E69" s="119"/>
      <c r="F69" s="120">
        <f t="shared" si="13"/>
        <v>0</v>
      </c>
      <c r="G69" s="202"/>
      <c r="H69" s="203"/>
      <c r="I69" s="201">
        <f t="shared" si="14"/>
        <v>0</v>
      </c>
      <c r="J69" s="222"/>
      <c r="K69" s="7"/>
      <c r="L69" s="201"/>
      <c r="M69" s="29"/>
      <c r="N69" s="7"/>
      <c r="O69" s="30">
        <f t="shared" si="16"/>
        <v>0</v>
      </c>
      <c r="P69" s="85"/>
      <c r="Q69" s="193">
        <f t="shared" si="1"/>
        <v>0</v>
      </c>
    </row>
    <row r="70" spans="1:17" ht="12.75" hidden="1">
      <c r="A70" s="45" t="s">
        <v>44</v>
      </c>
      <c r="B70" s="97"/>
      <c r="C70" s="121"/>
      <c r="D70" s="119"/>
      <c r="E70" s="119"/>
      <c r="F70" s="120">
        <f t="shared" si="13"/>
        <v>0</v>
      </c>
      <c r="G70" s="202"/>
      <c r="H70" s="203"/>
      <c r="I70" s="201">
        <f t="shared" si="14"/>
        <v>0</v>
      </c>
      <c r="J70" s="202"/>
      <c r="K70" s="7"/>
      <c r="L70" s="201">
        <f t="shared" si="15"/>
        <v>0</v>
      </c>
      <c r="M70" s="29"/>
      <c r="N70" s="7"/>
      <c r="O70" s="30">
        <f t="shared" si="16"/>
        <v>0</v>
      </c>
      <c r="P70" s="85"/>
      <c r="Q70" s="193">
        <f t="shared" si="1"/>
        <v>0</v>
      </c>
    </row>
    <row r="71" spans="1:17" ht="12.75" hidden="1">
      <c r="A71" s="45" t="s">
        <v>55</v>
      </c>
      <c r="B71" s="97"/>
      <c r="C71" s="121"/>
      <c r="D71" s="119"/>
      <c r="E71" s="119"/>
      <c r="F71" s="120">
        <f t="shared" si="13"/>
        <v>0</v>
      </c>
      <c r="G71" s="202"/>
      <c r="H71" s="203"/>
      <c r="I71" s="201">
        <f t="shared" si="14"/>
        <v>0</v>
      </c>
      <c r="J71" s="202"/>
      <c r="K71" s="7"/>
      <c r="L71" s="201">
        <f t="shared" si="15"/>
        <v>0</v>
      </c>
      <c r="M71" s="29"/>
      <c r="N71" s="7"/>
      <c r="O71" s="30">
        <f t="shared" si="16"/>
        <v>0</v>
      </c>
      <c r="P71" s="85"/>
      <c r="Q71" s="193">
        <f t="shared" si="1"/>
        <v>0</v>
      </c>
    </row>
    <row r="72" spans="1:17" ht="12.75">
      <c r="A72" s="45" t="s">
        <v>45</v>
      </c>
      <c r="B72" s="97"/>
      <c r="C72" s="121"/>
      <c r="D72" s="119"/>
      <c r="E72" s="119"/>
      <c r="F72" s="120">
        <f t="shared" si="13"/>
        <v>0</v>
      </c>
      <c r="G72" s="202">
        <f>9200</f>
        <v>9200</v>
      </c>
      <c r="H72" s="203"/>
      <c r="I72" s="201">
        <f t="shared" si="14"/>
        <v>9200</v>
      </c>
      <c r="J72" s="202">
        <f>24230</f>
        <v>24230</v>
      </c>
      <c r="K72" s="7"/>
      <c r="L72" s="201">
        <f t="shared" si="15"/>
        <v>33430</v>
      </c>
      <c r="M72" s="29"/>
      <c r="N72" s="7"/>
      <c r="O72" s="30">
        <f t="shared" si="16"/>
        <v>33430</v>
      </c>
      <c r="P72" s="85"/>
      <c r="Q72" s="193">
        <f t="shared" si="1"/>
        <v>33430</v>
      </c>
    </row>
    <row r="73" spans="1:17" ht="12.75" hidden="1">
      <c r="A73" s="45" t="s">
        <v>46</v>
      </c>
      <c r="B73" s="97"/>
      <c r="C73" s="121"/>
      <c r="D73" s="119"/>
      <c r="E73" s="119"/>
      <c r="F73" s="120">
        <f t="shared" si="13"/>
        <v>0</v>
      </c>
      <c r="G73" s="202"/>
      <c r="H73" s="203"/>
      <c r="I73" s="201">
        <f t="shared" si="14"/>
        <v>0</v>
      </c>
      <c r="J73" s="202"/>
      <c r="K73" s="7"/>
      <c r="L73" s="201">
        <f t="shared" si="15"/>
        <v>0</v>
      </c>
      <c r="M73" s="29"/>
      <c r="N73" s="7"/>
      <c r="O73" s="30">
        <f t="shared" si="16"/>
        <v>0</v>
      </c>
      <c r="P73" s="85"/>
      <c r="Q73" s="193">
        <f t="shared" si="1"/>
        <v>0</v>
      </c>
    </row>
    <row r="74" spans="1:17" ht="12.75">
      <c r="A74" s="45" t="s">
        <v>47</v>
      </c>
      <c r="B74" s="97"/>
      <c r="C74" s="121">
        <v>250</v>
      </c>
      <c r="D74" s="119"/>
      <c r="E74" s="119"/>
      <c r="F74" s="120">
        <f t="shared" si="13"/>
        <v>250</v>
      </c>
      <c r="G74" s="202">
        <f>1211.16</f>
        <v>1211.16</v>
      </c>
      <c r="H74" s="203"/>
      <c r="I74" s="201">
        <f t="shared" si="14"/>
        <v>1461.16</v>
      </c>
      <c r="J74" s="202">
        <f>413.71</f>
        <v>413.71</v>
      </c>
      <c r="K74" s="7"/>
      <c r="L74" s="201">
        <f t="shared" si="15"/>
        <v>1874.8700000000001</v>
      </c>
      <c r="M74" s="29"/>
      <c r="N74" s="7"/>
      <c r="O74" s="30">
        <f t="shared" si="16"/>
        <v>1874.8700000000001</v>
      </c>
      <c r="P74" s="85"/>
      <c r="Q74" s="193">
        <f t="shared" si="1"/>
        <v>1874.8700000000001</v>
      </c>
    </row>
    <row r="75" spans="1:17" ht="12.75" hidden="1">
      <c r="A75" s="45" t="s">
        <v>188</v>
      </c>
      <c r="B75" s="97"/>
      <c r="C75" s="121"/>
      <c r="D75" s="119"/>
      <c r="E75" s="119"/>
      <c r="F75" s="120">
        <f t="shared" si="13"/>
        <v>0</v>
      </c>
      <c r="G75" s="202"/>
      <c r="H75" s="203"/>
      <c r="I75" s="201"/>
      <c r="J75" s="202"/>
      <c r="K75" s="7"/>
      <c r="L75" s="201">
        <f t="shared" si="15"/>
        <v>0</v>
      </c>
      <c r="M75" s="29"/>
      <c r="N75" s="7"/>
      <c r="O75" s="30">
        <f t="shared" si="16"/>
        <v>0</v>
      </c>
      <c r="P75" s="85"/>
      <c r="Q75" s="193">
        <f t="shared" si="1"/>
        <v>0</v>
      </c>
    </row>
    <row r="76" spans="1:17" ht="12.75" hidden="1">
      <c r="A76" s="46" t="s">
        <v>48</v>
      </c>
      <c r="B76" s="98"/>
      <c r="C76" s="122">
        <f>SUM(C78:C80)</f>
        <v>0</v>
      </c>
      <c r="D76" s="123">
        <f>SUM(D78:D80)</f>
        <v>0</v>
      </c>
      <c r="E76" s="123">
        <f>SUM(E78:E80)</f>
        <v>0</v>
      </c>
      <c r="F76" s="124">
        <f>SUM(F78:F80)</f>
        <v>0</v>
      </c>
      <c r="G76" s="206"/>
      <c r="H76" s="207"/>
      <c r="I76" s="208">
        <f>SUM(I78:I80)</f>
        <v>0</v>
      </c>
      <c r="J76" s="206"/>
      <c r="K76" s="8"/>
      <c r="L76" s="208">
        <f>SUM(L78:L80)</f>
        <v>0</v>
      </c>
      <c r="M76" s="31"/>
      <c r="N76" s="8"/>
      <c r="O76" s="32">
        <f>SUM(O78:O80)</f>
        <v>0</v>
      </c>
      <c r="P76" s="86"/>
      <c r="Q76" s="32">
        <f>SUM(Q78:Q80)</f>
        <v>0</v>
      </c>
    </row>
    <row r="77" spans="1:17" ht="12.75" hidden="1">
      <c r="A77" s="43" t="s">
        <v>33</v>
      </c>
      <c r="B77" s="95"/>
      <c r="C77" s="121"/>
      <c r="D77" s="119"/>
      <c r="E77" s="119"/>
      <c r="F77" s="120"/>
      <c r="G77" s="202"/>
      <c r="H77" s="203"/>
      <c r="I77" s="201"/>
      <c r="J77" s="202"/>
      <c r="K77" s="7"/>
      <c r="L77" s="201"/>
      <c r="M77" s="29"/>
      <c r="N77" s="7"/>
      <c r="O77" s="30">
        <f>L77+M77+N77</f>
        <v>0</v>
      </c>
      <c r="P77" s="85"/>
      <c r="Q77" s="193"/>
    </row>
    <row r="78" spans="1:17" ht="12.75" hidden="1">
      <c r="A78" s="45" t="s">
        <v>49</v>
      </c>
      <c r="B78" s="97"/>
      <c r="C78" s="121"/>
      <c r="D78" s="119"/>
      <c r="E78" s="119"/>
      <c r="F78" s="120">
        <f>C78+D78+E78</f>
        <v>0</v>
      </c>
      <c r="G78" s="202"/>
      <c r="H78" s="203"/>
      <c r="I78" s="201">
        <f>F78+G78+H78</f>
        <v>0</v>
      </c>
      <c r="J78" s="202"/>
      <c r="K78" s="7"/>
      <c r="L78" s="201">
        <f>I78+J78+K78</f>
        <v>0</v>
      </c>
      <c r="M78" s="29"/>
      <c r="N78" s="7"/>
      <c r="O78" s="30">
        <f>L78+M78+N78</f>
        <v>0</v>
      </c>
      <c r="P78" s="85"/>
      <c r="Q78" s="193">
        <f t="shared" si="1"/>
        <v>0</v>
      </c>
    </row>
    <row r="79" spans="1:17" ht="12.75" hidden="1">
      <c r="A79" s="45" t="s">
        <v>50</v>
      </c>
      <c r="B79" s="97"/>
      <c r="C79" s="121"/>
      <c r="D79" s="119"/>
      <c r="E79" s="119"/>
      <c r="F79" s="120">
        <f>C79+D79+E79</f>
        <v>0</v>
      </c>
      <c r="G79" s="202"/>
      <c r="H79" s="203"/>
      <c r="I79" s="201">
        <f>F79+G79+H79</f>
        <v>0</v>
      </c>
      <c r="J79" s="202"/>
      <c r="K79" s="7"/>
      <c r="L79" s="201">
        <f>I79+J79+K79</f>
        <v>0</v>
      </c>
      <c r="M79" s="29"/>
      <c r="N79" s="7"/>
      <c r="O79" s="30">
        <f>L79+M79+N79</f>
        <v>0</v>
      </c>
      <c r="P79" s="85"/>
      <c r="Q79" s="193">
        <f t="shared" si="1"/>
        <v>0</v>
      </c>
    </row>
    <row r="80" spans="1:17" ht="12.75" hidden="1">
      <c r="A80" s="45" t="s">
        <v>51</v>
      </c>
      <c r="B80" s="97"/>
      <c r="C80" s="121"/>
      <c r="D80" s="119"/>
      <c r="E80" s="119"/>
      <c r="F80" s="120">
        <f>C80+D80+E80</f>
        <v>0</v>
      </c>
      <c r="G80" s="202"/>
      <c r="H80" s="203"/>
      <c r="I80" s="201">
        <f>F80+G80+H80</f>
        <v>0</v>
      </c>
      <c r="J80" s="202"/>
      <c r="K80" s="7"/>
      <c r="L80" s="201">
        <f>I80+J80+K80</f>
        <v>0</v>
      </c>
      <c r="M80" s="29"/>
      <c r="N80" s="7"/>
      <c r="O80" s="30">
        <f>L80+M80+N80</f>
        <v>0</v>
      </c>
      <c r="P80" s="85"/>
      <c r="Q80" s="193">
        <f t="shared" si="1"/>
        <v>0</v>
      </c>
    </row>
    <row r="81" spans="1:17" ht="12.75">
      <c r="A81" s="42" t="s">
        <v>52</v>
      </c>
      <c r="B81" s="94"/>
      <c r="C81" s="116">
        <f>SUM(C83:C95)</f>
        <v>0</v>
      </c>
      <c r="D81" s="117">
        <f>SUM(D83:D95)</f>
        <v>145142.7</v>
      </c>
      <c r="E81" s="117">
        <f>SUM(E83:E95)</f>
        <v>0</v>
      </c>
      <c r="F81" s="118">
        <f>SUM(F83:F95)</f>
        <v>145142.7</v>
      </c>
      <c r="G81" s="198">
        <f aca="true" t="shared" si="17" ref="G81:Q81">SUM(G83:G95)</f>
        <v>345343.42000000004</v>
      </c>
      <c r="H81" s="199">
        <f t="shared" si="17"/>
        <v>0</v>
      </c>
      <c r="I81" s="200">
        <f t="shared" si="17"/>
        <v>490486.12000000005</v>
      </c>
      <c r="J81" s="198">
        <f t="shared" si="17"/>
        <v>214517.12</v>
      </c>
      <c r="K81" s="117">
        <f t="shared" si="17"/>
        <v>0</v>
      </c>
      <c r="L81" s="200">
        <f t="shared" si="17"/>
        <v>705003.24</v>
      </c>
      <c r="M81" s="116">
        <f t="shared" si="17"/>
        <v>0</v>
      </c>
      <c r="N81" s="117">
        <f t="shared" si="17"/>
        <v>0</v>
      </c>
      <c r="O81" s="118">
        <f t="shared" si="17"/>
        <v>705003.24</v>
      </c>
      <c r="P81" s="116">
        <f t="shared" si="17"/>
        <v>0</v>
      </c>
      <c r="Q81" s="118">
        <f t="shared" si="17"/>
        <v>705003.24</v>
      </c>
    </row>
    <row r="82" spans="1:17" ht="12.75">
      <c r="A82" s="47" t="s">
        <v>33</v>
      </c>
      <c r="B82" s="99"/>
      <c r="C82" s="121"/>
      <c r="D82" s="119"/>
      <c r="E82" s="119"/>
      <c r="F82" s="120"/>
      <c r="G82" s="202"/>
      <c r="H82" s="203"/>
      <c r="I82" s="201"/>
      <c r="J82" s="202"/>
      <c r="K82" s="7"/>
      <c r="L82" s="201"/>
      <c r="M82" s="29"/>
      <c r="N82" s="7"/>
      <c r="O82" s="30"/>
      <c r="P82" s="85"/>
      <c r="Q82" s="193"/>
    </row>
    <row r="83" spans="1:17" ht="12.75">
      <c r="A83" s="45" t="s">
        <v>36</v>
      </c>
      <c r="B83" s="97"/>
      <c r="C83" s="121"/>
      <c r="D83" s="119"/>
      <c r="E83" s="119"/>
      <c r="F83" s="120">
        <f aca="true" t="shared" si="18" ref="F83:F95">C83+D83+E83</f>
        <v>0</v>
      </c>
      <c r="G83" s="202">
        <f>149</f>
        <v>149</v>
      </c>
      <c r="H83" s="203"/>
      <c r="I83" s="201">
        <f>F83+G83+H83</f>
        <v>149</v>
      </c>
      <c r="J83" s="202"/>
      <c r="K83" s="7"/>
      <c r="L83" s="201">
        <f>I83+J83+K83</f>
        <v>149</v>
      </c>
      <c r="M83" s="29"/>
      <c r="N83" s="7"/>
      <c r="O83" s="30">
        <f>L83+M83+N83</f>
        <v>149</v>
      </c>
      <c r="P83" s="85"/>
      <c r="Q83" s="193">
        <f t="shared" si="1"/>
        <v>149</v>
      </c>
    </row>
    <row r="84" spans="1:17" ht="12.75" hidden="1">
      <c r="A84" s="49" t="s">
        <v>37</v>
      </c>
      <c r="B84" s="100"/>
      <c r="C84" s="121"/>
      <c r="D84" s="119"/>
      <c r="E84" s="119"/>
      <c r="F84" s="120">
        <f t="shared" si="18"/>
        <v>0</v>
      </c>
      <c r="G84" s="202"/>
      <c r="H84" s="203"/>
      <c r="I84" s="201">
        <f aca="true" t="shared" si="19" ref="I84:I95">F84+G84+H84</f>
        <v>0</v>
      </c>
      <c r="J84" s="202"/>
      <c r="K84" s="7"/>
      <c r="L84" s="201">
        <f aca="true" t="shared" si="20" ref="L84:L95">I84+J84+K84</f>
        <v>0</v>
      </c>
      <c r="M84" s="29"/>
      <c r="N84" s="7"/>
      <c r="O84" s="30">
        <f aca="true" t="shared" si="21" ref="O84:O95">L84+M84+N84</f>
        <v>0</v>
      </c>
      <c r="P84" s="85"/>
      <c r="Q84" s="193">
        <f t="shared" si="1"/>
        <v>0</v>
      </c>
    </row>
    <row r="85" spans="1:17" ht="12.75" hidden="1">
      <c r="A85" s="49" t="s">
        <v>35</v>
      </c>
      <c r="B85" s="100"/>
      <c r="C85" s="121"/>
      <c r="D85" s="119"/>
      <c r="E85" s="119"/>
      <c r="F85" s="120">
        <f t="shared" si="18"/>
        <v>0</v>
      </c>
      <c r="G85" s="202"/>
      <c r="H85" s="203"/>
      <c r="I85" s="201">
        <f t="shared" si="19"/>
        <v>0</v>
      </c>
      <c r="J85" s="202"/>
      <c r="K85" s="7"/>
      <c r="L85" s="201">
        <f t="shared" si="20"/>
        <v>0</v>
      </c>
      <c r="M85" s="29"/>
      <c r="N85" s="7"/>
      <c r="O85" s="30">
        <f t="shared" si="21"/>
        <v>0</v>
      </c>
      <c r="P85" s="85"/>
      <c r="Q85" s="193">
        <f t="shared" si="1"/>
        <v>0</v>
      </c>
    </row>
    <row r="86" spans="1:17" ht="12.75">
      <c r="A86" s="49" t="s">
        <v>53</v>
      </c>
      <c r="B86" s="100"/>
      <c r="C86" s="121"/>
      <c r="D86" s="119"/>
      <c r="E86" s="119"/>
      <c r="F86" s="120">
        <f t="shared" si="18"/>
        <v>0</v>
      </c>
      <c r="G86" s="202"/>
      <c r="H86" s="203"/>
      <c r="I86" s="201">
        <f t="shared" si="19"/>
        <v>0</v>
      </c>
      <c r="J86" s="202">
        <f>232.99+850.58+48389.17</f>
        <v>49472.74</v>
      </c>
      <c r="K86" s="7"/>
      <c r="L86" s="201">
        <f t="shared" si="20"/>
        <v>49472.74</v>
      </c>
      <c r="M86" s="29"/>
      <c r="N86" s="7"/>
      <c r="O86" s="30">
        <f t="shared" si="21"/>
        <v>49472.74</v>
      </c>
      <c r="P86" s="85"/>
      <c r="Q86" s="193">
        <f t="shared" si="1"/>
        <v>49472.74</v>
      </c>
    </row>
    <row r="87" spans="1:17" ht="12.75">
      <c r="A87" s="45" t="s">
        <v>38</v>
      </c>
      <c r="B87" s="97"/>
      <c r="C87" s="121"/>
      <c r="D87" s="119">
        <f>6918.64+11340.81+7316.8+5994.23+6188.99</f>
        <v>37759.47</v>
      </c>
      <c r="E87" s="119"/>
      <c r="F87" s="120">
        <f t="shared" si="18"/>
        <v>37759.47</v>
      </c>
      <c r="G87" s="202">
        <f>4759.19+4414.57+9320.91+17006.27+8370.9+14982.04</f>
        <v>58853.880000000005</v>
      </c>
      <c r="H87" s="203"/>
      <c r="I87" s="201">
        <f t="shared" si="19"/>
        <v>96613.35</v>
      </c>
      <c r="J87" s="202">
        <f>15548.49+19898.24+29539.05</f>
        <v>64985.78</v>
      </c>
      <c r="K87" s="7"/>
      <c r="L87" s="201">
        <f t="shared" si="20"/>
        <v>161599.13</v>
      </c>
      <c r="M87" s="29"/>
      <c r="N87" s="7"/>
      <c r="O87" s="30">
        <f t="shared" si="21"/>
        <v>161599.13</v>
      </c>
      <c r="P87" s="85"/>
      <c r="Q87" s="193">
        <f aca="true" t="shared" si="22" ref="Q87:Q147">O87+P87</f>
        <v>161599.13</v>
      </c>
    </row>
    <row r="88" spans="1:17" ht="12.75" hidden="1">
      <c r="A88" s="45" t="s">
        <v>273</v>
      </c>
      <c r="B88" s="97"/>
      <c r="C88" s="121"/>
      <c r="D88" s="119"/>
      <c r="E88" s="119"/>
      <c r="F88" s="120">
        <f t="shared" si="18"/>
        <v>0</v>
      </c>
      <c r="G88" s="202"/>
      <c r="H88" s="203"/>
      <c r="I88" s="201">
        <f t="shared" si="19"/>
        <v>0</v>
      </c>
      <c r="J88" s="202"/>
      <c r="K88" s="7"/>
      <c r="L88" s="201">
        <f t="shared" si="20"/>
        <v>0</v>
      </c>
      <c r="M88" s="29"/>
      <c r="N88" s="7"/>
      <c r="O88" s="30"/>
      <c r="P88" s="85"/>
      <c r="Q88" s="193"/>
    </row>
    <row r="89" spans="1:17" ht="12.75">
      <c r="A89" s="45" t="s">
        <v>182</v>
      </c>
      <c r="B89" s="97"/>
      <c r="C89" s="121"/>
      <c r="D89" s="119">
        <f>53677.67</f>
        <v>53677.67</v>
      </c>
      <c r="E89" s="119"/>
      <c r="F89" s="120">
        <f t="shared" si="18"/>
        <v>53677.67</v>
      </c>
      <c r="G89" s="202">
        <f>43066.9</f>
        <v>43066.9</v>
      </c>
      <c r="H89" s="203"/>
      <c r="I89" s="201">
        <f t="shared" si="19"/>
        <v>96744.57</v>
      </c>
      <c r="J89" s="202">
        <f>1083.11+96650.49</f>
        <v>97733.6</v>
      </c>
      <c r="K89" s="7"/>
      <c r="L89" s="201">
        <f t="shared" si="20"/>
        <v>194478.17</v>
      </c>
      <c r="M89" s="29"/>
      <c r="N89" s="7"/>
      <c r="O89" s="30">
        <f t="shared" si="21"/>
        <v>194478.17</v>
      </c>
      <c r="P89" s="85"/>
      <c r="Q89" s="193">
        <f t="shared" si="22"/>
        <v>194478.17</v>
      </c>
    </row>
    <row r="90" spans="1:17" ht="12.75" hidden="1">
      <c r="A90" s="45" t="s">
        <v>183</v>
      </c>
      <c r="B90" s="97"/>
      <c r="C90" s="121"/>
      <c r="D90" s="119"/>
      <c r="E90" s="119"/>
      <c r="F90" s="120">
        <f t="shared" si="18"/>
        <v>0</v>
      </c>
      <c r="G90" s="202"/>
      <c r="H90" s="203"/>
      <c r="I90" s="201">
        <f t="shared" si="19"/>
        <v>0</v>
      </c>
      <c r="J90" s="202"/>
      <c r="K90" s="7"/>
      <c r="L90" s="201">
        <f t="shared" si="20"/>
        <v>0</v>
      </c>
      <c r="M90" s="29"/>
      <c r="N90" s="7"/>
      <c r="O90" s="30">
        <f t="shared" si="21"/>
        <v>0</v>
      </c>
      <c r="P90" s="85"/>
      <c r="Q90" s="193">
        <f t="shared" si="22"/>
        <v>0</v>
      </c>
    </row>
    <row r="91" spans="1:17" ht="12.75">
      <c r="A91" s="45" t="s">
        <v>54</v>
      </c>
      <c r="B91" s="97"/>
      <c r="C91" s="121"/>
      <c r="D91" s="119">
        <f>52007</f>
        <v>52007</v>
      </c>
      <c r="E91" s="119"/>
      <c r="F91" s="120">
        <f t="shared" si="18"/>
        <v>52007</v>
      </c>
      <c r="G91" s="202">
        <f>185316</f>
        <v>185316</v>
      </c>
      <c r="H91" s="203"/>
      <c r="I91" s="201">
        <f t="shared" si="19"/>
        <v>237323</v>
      </c>
      <c r="J91" s="202">
        <f>2325</f>
        <v>2325</v>
      </c>
      <c r="K91" s="7"/>
      <c r="L91" s="201">
        <f t="shared" si="20"/>
        <v>239648</v>
      </c>
      <c r="M91" s="29"/>
      <c r="N91" s="7"/>
      <c r="O91" s="30">
        <f t="shared" si="21"/>
        <v>239648</v>
      </c>
      <c r="P91" s="85"/>
      <c r="Q91" s="193">
        <f t="shared" si="22"/>
        <v>239648</v>
      </c>
    </row>
    <row r="92" spans="1:17" ht="12.75" hidden="1">
      <c r="A92" s="45" t="s">
        <v>55</v>
      </c>
      <c r="B92" s="97"/>
      <c r="C92" s="121"/>
      <c r="D92" s="119"/>
      <c r="E92" s="119"/>
      <c r="F92" s="120">
        <f t="shared" si="18"/>
        <v>0</v>
      </c>
      <c r="G92" s="202"/>
      <c r="H92" s="203"/>
      <c r="I92" s="201">
        <f t="shared" si="19"/>
        <v>0</v>
      </c>
      <c r="J92" s="202"/>
      <c r="K92" s="7"/>
      <c r="L92" s="201">
        <f t="shared" si="20"/>
        <v>0</v>
      </c>
      <c r="M92" s="29"/>
      <c r="N92" s="7"/>
      <c r="O92" s="30">
        <f t="shared" si="21"/>
        <v>0</v>
      </c>
      <c r="P92" s="85"/>
      <c r="Q92" s="193">
        <f t="shared" si="22"/>
        <v>0</v>
      </c>
    </row>
    <row r="93" spans="1:17" ht="12.75">
      <c r="A93" s="45" t="s">
        <v>56</v>
      </c>
      <c r="B93" s="97"/>
      <c r="C93" s="121"/>
      <c r="D93" s="119">
        <f>1698.56</f>
        <v>1698.56</v>
      </c>
      <c r="E93" s="119"/>
      <c r="F93" s="120">
        <f t="shared" si="18"/>
        <v>1698.56</v>
      </c>
      <c r="G93" s="202">
        <f>57957.64</f>
        <v>57957.64</v>
      </c>
      <c r="H93" s="203"/>
      <c r="I93" s="201">
        <f t="shared" si="19"/>
        <v>59656.2</v>
      </c>
      <c r="J93" s="202"/>
      <c r="K93" s="7"/>
      <c r="L93" s="201">
        <f t="shared" si="20"/>
        <v>59656.2</v>
      </c>
      <c r="M93" s="29"/>
      <c r="N93" s="7"/>
      <c r="O93" s="30">
        <f t="shared" si="21"/>
        <v>59656.2</v>
      </c>
      <c r="P93" s="85"/>
      <c r="Q93" s="193">
        <f t="shared" si="22"/>
        <v>59656.2</v>
      </c>
    </row>
    <row r="94" spans="1:17" ht="12.75" hidden="1">
      <c r="A94" s="45" t="s">
        <v>42</v>
      </c>
      <c r="B94" s="97"/>
      <c r="C94" s="121"/>
      <c r="D94" s="119"/>
      <c r="E94" s="119"/>
      <c r="F94" s="120">
        <f t="shared" si="18"/>
        <v>0</v>
      </c>
      <c r="G94" s="202"/>
      <c r="H94" s="203"/>
      <c r="I94" s="201">
        <f t="shared" si="19"/>
        <v>0</v>
      </c>
      <c r="J94" s="202"/>
      <c r="K94" s="7"/>
      <c r="L94" s="201">
        <f t="shared" si="20"/>
        <v>0</v>
      </c>
      <c r="M94" s="29"/>
      <c r="N94" s="7"/>
      <c r="O94" s="30">
        <f t="shared" si="21"/>
        <v>0</v>
      </c>
      <c r="P94" s="91"/>
      <c r="Q94" s="193">
        <f t="shared" si="22"/>
        <v>0</v>
      </c>
    </row>
    <row r="95" spans="1:17" ht="12.75" hidden="1">
      <c r="A95" s="45" t="s">
        <v>188</v>
      </c>
      <c r="B95" s="97"/>
      <c r="C95" s="121"/>
      <c r="D95" s="119"/>
      <c r="E95" s="119"/>
      <c r="F95" s="120">
        <f t="shared" si="18"/>
        <v>0</v>
      </c>
      <c r="G95" s="202"/>
      <c r="H95" s="203"/>
      <c r="I95" s="201">
        <f t="shared" si="19"/>
        <v>0</v>
      </c>
      <c r="J95" s="202"/>
      <c r="K95" s="7"/>
      <c r="L95" s="201">
        <f t="shared" si="20"/>
        <v>0</v>
      </c>
      <c r="M95" s="29"/>
      <c r="N95" s="7"/>
      <c r="O95" s="30">
        <f t="shared" si="21"/>
        <v>0</v>
      </c>
      <c r="P95" s="85"/>
      <c r="Q95" s="193">
        <f t="shared" si="22"/>
        <v>0</v>
      </c>
    </row>
    <row r="96" spans="1:17" ht="15" customHeight="1" hidden="1">
      <c r="A96" s="46" t="s">
        <v>57</v>
      </c>
      <c r="B96" s="98"/>
      <c r="C96" s="122">
        <f>SUM(C98:C100)</f>
        <v>0</v>
      </c>
      <c r="D96" s="123">
        <f>SUM(D98:D100)</f>
        <v>0</v>
      </c>
      <c r="E96" s="123">
        <f>SUM(E98:E100)</f>
        <v>0</v>
      </c>
      <c r="F96" s="124">
        <f>SUM(F98:F100)</f>
        <v>0</v>
      </c>
      <c r="G96" s="206"/>
      <c r="H96" s="207"/>
      <c r="I96" s="208">
        <f>SUM(I98:I100)</f>
        <v>0</v>
      </c>
      <c r="J96" s="206"/>
      <c r="K96" s="8"/>
      <c r="L96" s="208">
        <f>SUM(L98:L100)</f>
        <v>0</v>
      </c>
      <c r="M96" s="31"/>
      <c r="N96" s="8"/>
      <c r="O96" s="32">
        <f>SUM(O98:O100)</f>
        <v>0</v>
      </c>
      <c r="P96" s="86"/>
      <c r="Q96" s="32">
        <f>SUM(Q98:Q100)</f>
        <v>0</v>
      </c>
    </row>
    <row r="97" spans="1:17" ht="12.75" hidden="1">
      <c r="A97" s="43" t="s">
        <v>33</v>
      </c>
      <c r="B97" s="95"/>
      <c r="C97" s="121"/>
      <c r="D97" s="119"/>
      <c r="E97" s="119"/>
      <c r="F97" s="120"/>
      <c r="G97" s="202"/>
      <c r="H97" s="203"/>
      <c r="I97" s="201"/>
      <c r="J97" s="202"/>
      <c r="K97" s="7"/>
      <c r="L97" s="201"/>
      <c r="M97" s="29"/>
      <c r="N97" s="7"/>
      <c r="O97" s="30"/>
      <c r="P97" s="85"/>
      <c r="Q97" s="193"/>
    </row>
    <row r="98" spans="1:17" ht="12.75" hidden="1">
      <c r="A98" s="45" t="s">
        <v>58</v>
      </c>
      <c r="B98" s="97"/>
      <c r="C98" s="121"/>
      <c r="D98" s="119"/>
      <c r="E98" s="119"/>
      <c r="F98" s="120">
        <f>C98+D98+E98</f>
        <v>0</v>
      </c>
      <c r="G98" s="202"/>
      <c r="H98" s="203"/>
      <c r="I98" s="201">
        <f>F98+G98+H98</f>
        <v>0</v>
      </c>
      <c r="J98" s="202"/>
      <c r="K98" s="7"/>
      <c r="L98" s="201">
        <f>I98+J98+K98</f>
        <v>0</v>
      </c>
      <c r="M98" s="29"/>
      <c r="N98" s="7"/>
      <c r="O98" s="30">
        <f>L98+M98+N98</f>
        <v>0</v>
      </c>
      <c r="P98" s="85"/>
      <c r="Q98" s="193">
        <f t="shared" si="22"/>
        <v>0</v>
      </c>
    </row>
    <row r="99" spans="1:17" ht="12.75" hidden="1">
      <c r="A99" s="45" t="s">
        <v>30</v>
      </c>
      <c r="B99" s="97"/>
      <c r="C99" s="121"/>
      <c r="D99" s="119"/>
      <c r="E99" s="119"/>
      <c r="F99" s="120">
        <f>C99+D99+E99</f>
        <v>0</v>
      </c>
      <c r="G99" s="202"/>
      <c r="H99" s="203"/>
      <c r="I99" s="201">
        <f>F99+G99+H99</f>
        <v>0</v>
      </c>
      <c r="J99" s="202"/>
      <c r="K99" s="7"/>
      <c r="L99" s="201">
        <f>I99+J99+K99</f>
        <v>0</v>
      </c>
      <c r="M99" s="29"/>
      <c r="N99" s="7"/>
      <c r="O99" s="30">
        <f>L99+M99+N99</f>
        <v>0</v>
      </c>
      <c r="P99" s="85"/>
      <c r="Q99" s="193">
        <f t="shared" si="22"/>
        <v>0</v>
      </c>
    </row>
    <row r="100" spans="1:17" ht="12.75" hidden="1">
      <c r="A100" s="45" t="s">
        <v>50</v>
      </c>
      <c r="B100" s="97"/>
      <c r="C100" s="121"/>
      <c r="D100" s="119"/>
      <c r="E100" s="119"/>
      <c r="F100" s="120">
        <f>C100+D100+E100</f>
        <v>0</v>
      </c>
      <c r="G100" s="202"/>
      <c r="H100" s="203"/>
      <c r="I100" s="201">
        <f>F100+G100+H100</f>
        <v>0</v>
      </c>
      <c r="J100" s="202"/>
      <c r="K100" s="7"/>
      <c r="L100" s="201">
        <f>I100+J100+K100</f>
        <v>0</v>
      </c>
      <c r="M100" s="29"/>
      <c r="N100" s="7"/>
      <c r="O100" s="30">
        <f>L100+M100+N100</f>
        <v>0</v>
      </c>
      <c r="P100" s="85"/>
      <c r="Q100" s="193">
        <f t="shared" si="22"/>
        <v>0</v>
      </c>
    </row>
    <row r="101" spans="1:17" ht="15.75" thickBot="1">
      <c r="A101" s="50" t="s">
        <v>59</v>
      </c>
      <c r="B101" s="101"/>
      <c r="C101" s="125">
        <f>C11+C16+C54+C81+C47+C96</f>
        <v>3896837</v>
      </c>
      <c r="D101" s="126">
        <f aca="true" t="shared" si="23" ref="D101:Q101">D11+D16+D54+D81+D47</f>
        <v>5943562.2</v>
      </c>
      <c r="E101" s="126">
        <f t="shared" si="23"/>
        <v>1800</v>
      </c>
      <c r="F101" s="127">
        <f t="shared" si="23"/>
        <v>9842199.2</v>
      </c>
      <c r="G101" s="209">
        <f t="shared" si="23"/>
        <v>877243.7200000001</v>
      </c>
      <c r="H101" s="210">
        <f t="shared" si="23"/>
        <v>41012.82</v>
      </c>
      <c r="I101" s="211">
        <f t="shared" si="23"/>
        <v>10760455.74</v>
      </c>
      <c r="J101" s="209">
        <f t="shared" si="23"/>
        <v>631982.97</v>
      </c>
      <c r="K101" s="126">
        <f t="shared" si="23"/>
        <v>16652.77</v>
      </c>
      <c r="L101" s="211">
        <f t="shared" si="23"/>
        <v>11409091.480000002</v>
      </c>
      <c r="M101" s="125">
        <f t="shared" si="23"/>
        <v>0</v>
      </c>
      <c r="N101" s="126">
        <f t="shared" si="23"/>
        <v>0</v>
      </c>
      <c r="O101" s="127">
        <f t="shared" si="23"/>
        <v>7471980.5600000005</v>
      </c>
      <c r="P101" s="125">
        <f t="shared" si="23"/>
        <v>0</v>
      </c>
      <c r="Q101" s="127">
        <f t="shared" si="23"/>
        <v>7471980.5600000005</v>
      </c>
    </row>
    <row r="102" spans="1:17" ht="12.75">
      <c r="A102" s="42" t="s">
        <v>60</v>
      </c>
      <c r="B102" s="94"/>
      <c r="C102" s="116"/>
      <c r="D102" s="119"/>
      <c r="E102" s="119"/>
      <c r="F102" s="120"/>
      <c r="G102" s="202"/>
      <c r="H102" s="203"/>
      <c r="I102" s="201"/>
      <c r="J102" s="202"/>
      <c r="K102" s="7"/>
      <c r="L102" s="201"/>
      <c r="M102" s="29"/>
      <c r="N102" s="7"/>
      <c r="O102" s="30"/>
      <c r="P102" s="85"/>
      <c r="Q102" s="193"/>
    </row>
    <row r="103" spans="1:17" ht="12.75">
      <c r="A103" s="42" t="s">
        <v>61</v>
      </c>
      <c r="B103" s="104"/>
      <c r="C103" s="116">
        <f aca="true" t="shared" si="24" ref="C103:Q103">C104+C114</f>
        <v>46742</v>
      </c>
      <c r="D103" s="117">
        <f t="shared" si="24"/>
        <v>4236.76</v>
      </c>
      <c r="E103" s="117">
        <f t="shared" si="24"/>
        <v>0</v>
      </c>
      <c r="F103" s="118">
        <f t="shared" si="24"/>
        <v>50978.76</v>
      </c>
      <c r="G103" s="198">
        <f t="shared" si="24"/>
        <v>485</v>
      </c>
      <c r="H103" s="199">
        <f t="shared" si="24"/>
        <v>0</v>
      </c>
      <c r="I103" s="200">
        <f t="shared" si="24"/>
        <v>51463.76</v>
      </c>
      <c r="J103" s="198">
        <f t="shared" si="24"/>
        <v>737.73</v>
      </c>
      <c r="K103" s="117">
        <f t="shared" si="24"/>
        <v>0</v>
      </c>
      <c r="L103" s="200">
        <f t="shared" si="24"/>
        <v>52201.490000000005</v>
      </c>
      <c r="M103" s="116">
        <f t="shared" si="24"/>
        <v>0</v>
      </c>
      <c r="N103" s="117">
        <f t="shared" si="24"/>
        <v>0</v>
      </c>
      <c r="O103" s="118">
        <f t="shared" si="24"/>
        <v>52201.490000000005</v>
      </c>
      <c r="P103" s="116">
        <f t="shared" si="24"/>
        <v>0</v>
      </c>
      <c r="Q103" s="118">
        <f t="shared" si="24"/>
        <v>52201.490000000005</v>
      </c>
    </row>
    <row r="104" spans="1:17" ht="12.75">
      <c r="A104" s="51" t="s">
        <v>62</v>
      </c>
      <c r="B104" s="104"/>
      <c r="C104" s="128">
        <f aca="true" t="shared" si="25" ref="C104:Q104">SUM(C106:C113)</f>
        <v>46742</v>
      </c>
      <c r="D104" s="129">
        <f t="shared" si="25"/>
        <v>4236.76</v>
      </c>
      <c r="E104" s="129">
        <f t="shared" si="25"/>
        <v>0</v>
      </c>
      <c r="F104" s="130">
        <f t="shared" si="25"/>
        <v>50978.76</v>
      </c>
      <c r="G104" s="212">
        <f t="shared" si="25"/>
        <v>485</v>
      </c>
      <c r="H104" s="213">
        <f t="shared" si="25"/>
        <v>0</v>
      </c>
      <c r="I104" s="214">
        <f t="shared" si="25"/>
        <v>51463.76</v>
      </c>
      <c r="J104" s="212">
        <f t="shared" si="25"/>
        <v>737.73</v>
      </c>
      <c r="K104" s="129">
        <f t="shared" si="25"/>
        <v>0</v>
      </c>
      <c r="L104" s="214">
        <f t="shared" si="25"/>
        <v>52201.490000000005</v>
      </c>
      <c r="M104" s="128">
        <f t="shared" si="25"/>
        <v>0</v>
      </c>
      <c r="N104" s="129">
        <f t="shared" si="25"/>
        <v>0</v>
      </c>
      <c r="O104" s="130">
        <f t="shared" si="25"/>
        <v>52201.490000000005</v>
      </c>
      <c r="P104" s="128">
        <f t="shared" si="25"/>
        <v>0</v>
      </c>
      <c r="Q104" s="130">
        <f t="shared" si="25"/>
        <v>52201.490000000005</v>
      </c>
    </row>
    <row r="105" spans="1:17" ht="10.5" customHeight="1">
      <c r="A105" s="47" t="s">
        <v>33</v>
      </c>
      <c r="B105" s="81"/>
      <c r="C105" s="121"/>
      <c r="D105" s="119"/>
      <c r="E105" s="119"/>
      <c r="F105" s="120"/>
      <c r="G105" s="202"/>
      <c r="H105" s="203"/>
      <c r="I105" s="201"/>
      <c r="J105" s="202"/>
      <c r="K105" s="7"/>
      <c r="L105" s="201"/>
      <c r="M105" s="29"/>
      <c r="N105" s="7"/>
      <c r="O105" s="30"/>
      <c r="P105" s="85"/>
      <c r="Q105" s="193"/>
    </row>
    <row r="106" spans="1:17" ht="12.75">
      <c r="A106" s="45" t="s">
        <v>156</v>
      </c>
      <c r="B106" s="102"/>
      <c r="C106" s="121">
        <v>17854.5</v>
      </c>
      <c r="D106" s="119">
        <f>3365.95</f>
        <v>3365.95</v>
      </c>
      <c r="E106" s="119"/>
      <c r="F106" s="120">
        <f aca="true" t="shared" si="26" ref="F106:F113">C106+D106+E106</f>
        <v>21220.45</v>
      </c>
      <c r="G106" s="202"/>
      <c r="H106" s="203"/>
      <c r="I106" s="201">
        <f aca="true" t="shared" si="27" ref="I106:I113">F106+G106+H106</f>
        <v>21220.45</v>
      </c>
      <c r="J106" s="202"/>
      <c r="K106" s="7"/>
      <c r="L106" s="201">
        <f aca="true" t="shared" si="28" ref="L106:L113">I106+J106+K106</f>
        <v>21220.45</v>
      </c>
      <c r="M106" s="29"/>
      <c r="N106" s="7"/>
      <c r="O106" s="30">
        <f aca="true" t="shared" si="29" ref="O106:O113">L106+M106+N106</f>
        <v>21220.45</v>
      </c>
      <c r="P106" s="85"/>
      <c r="Q106" s="193">
        <f t="shared" si="22"/>
        <v>21220.45</v>
      </c>
    </row>
    <row r="107" spans="1:17" ht="12.75">
      <c r="A107" s="45" t="s">
        <v>63</v>
      </c>
      <c r="B107" s="102"/>
      <c r="C107" s="121">
        <v>4209</v>
      </c>
      <c r="D107" s="119">
        <f>239.77</f>
        <v>239.77</v>
      </c>
      <c r="E107" s="119"/>
      <c r="F107" s="120">
        <f t="shared" si="26"/>
        <v>4448.77</v>
      </c>
      <c r="G107" s="202"/>
      <c r="H107" s="203"/>
      <c r="I107" s="201">
        <f t="shared" si="27"/>
        <v>4448.77</v>
      </c>
      <c r="J107" s="202"/>
      <c r="K107" s="7"/>
      <c r="L107" s="201">
        <f t="shared" si="28"/>
        <v>4448.77</v>
      </c>
      <c r="M107" s="29"/>
      <c r="N107" s="7"/>
      <c r="O107" s="30">
        <f t="shared" si="29"/>
        <v>4448.77</v>
      </c>
      <c r="P107" s="85"/>
      <c r="Q107" s="193">
        <f t="shared" si="22"/>
        <v>4448.77</v>
      </c>
    </row>
    <row r="108" spans="1:17" ht="12.75">
      <c r="A108" s="45" t="s">
        <v>299</v>
      </c>
      <c r="B108" s="102"/>
      <c r="C108" s="121">
        <v>1100</v>
      </c>
      <c r="D108" s="119"/>
      <c r="E108" s="119"/>
      <c r="F108" s="120">
        <f t="shared" si="26"/>
        <v>1100</v>
      </c>
      <c r="G108" s="202">
        <f>350</f>
        <v>350</v>
      </c>
      <c r="H108" s="203"/>
      <c r="I108" s="201">
        <f t="shared" si="27"/>
        <v>1450</v>
      </c>
      <c r="J108" s="202"/>
      <c r="K108" s="7"/>
      <c r="L108" s="201">
        <f t="shared" si="28"/>
        <v>1450</v>
      </c>
      <c r="M108" s="29"/>
      <c r="N108" s="7"/>
      <c r="O108" s="30">
        <f t="shared" si="29"/>
        <v>1450</v>
      </c>
      <c r="P108" s="85"/>
      <c r="Q108" s="193">
        <f t="shared" si="22"/>
        <v>1450</v>
      </c>
    </row>
    <row r="109" spans="1:17" ht="12.75">
      <c r="A109" s="45" t="s">
        <v>64</v>
      </c>
      <c r="B109" s="102"/>
      <c r="C109" s="121">
        <v>17204.5</v>
      </c>
      <c r="D109" s="119">
        <f>537+94.04</f>
        <v>631.04</v>
      </c>
      <c r="E109" s="119"/>
      <c r="F109" s="120">
        <f t="shared" si="26"/>
        <v>17835.54</v>
      </c>
      <c r="G109" s="202">
        <f>-350-1000</f>
        <v>-1350</v>
      </c>
      <c r="H109" s="203"/>
      <c r="I109" s="201">
        <f t="shared" si="27"/>
        <v>16485.54</v>
      </c>
      <c r="J109" s="202">
        <f>-4688+737.73</f>
        <v>-3950.27</v>
      </c>
      <c r="K109" s="7"/>
      <c r="L109" s="201">
        <f t="shared" si="28"/>
        <v>12535.27</v>
      </c>
      <c r="M109" s="29"/>
      <c r="N109" s="7"/>
      <c r="O109" s="30">
        <f t="shared" si="29"/>
        <v>12535.27</v>
      </c>
      <c r="P109" s="85"/>
      <c r="Q109" s="193">
        <f t="shared" si="22"/>
        <v>12535.27</v>
      </c>
    </row>
    <row r="110" spans="1:17" ht="12.75" hidden="1">
      <c r="A110" s="45" t="s">
        <v>241</v>
      </c>
      <c r="B110" s="102">
        <v>95029</v>
      </c>
      <c r="C110" s="121"/>
      <c r="D110" s="119"/>
      <c r="E110" s="119"/>
      <c r="F110" s="120">
        <f t="shared" si="26"/>
        <v>0</v>
      </c>
      <c r="G110" s="202"/>
      <c r="H110" s="203"/>
      <c r="I110" s="201"/>
      <c r="J110" s="202"/>
      <c r="K110" s="7"/>
      <c r="L110" s="201"/>
      <c r="M110" s="29"/>
      <c r="N110" s="7"/>
      <c r="O110" s="30"/>
      <c r="P110" s="85"/>
      <c r="Q110" s="193"/>
    </row>
    <row r="111" spans="1:17" ht="12.75" hidden="1">
      <c r="A111" s="45" t="s">
        <v>91</v>
      </c>
      <c r="B111" s="102"/>
      <c r="C111" s="121"/>
      <c r="D111" s="119"/>
      <c r="E111" s="119"/>
      <c r="F111" s="120">
        <f t="shared" si="26"/>
        <v>0</v>
      </c>
      <c r="G111" s="202"/>
      <c r="H111" s="203"/>
      <c r="I111" s="201"/>
      <c r="J111" s="202"/>
      <c r="K111" s="7"/>
      <c r="L111" s="201"/>
      <c r="M111" s="29"/>
      <c r="N111" s="7"/>
      <c r="O111" s="30"/>
      <c r="P111" s="85"/>
      <c r="Q111" s="193"/>
    </row>
    <row r="112" spans="1:17" ht="12.75">
      <c r="A112" s="45" t="s">
        <v>65</v>
      </c>
      <c r="B112" s="102"/>
      <c r="C112" s="121">
        <v>500</v>
      </c>
      <c r="D112" s="119"/>
      <c r="E112" s="119"/>
      <c r="F112" s="120">
        <f t="shared" si="26"/>
        <v>500</v>
      </c>
      <c r="G112" s="202"/>
      <c r="H112" s="203"/>
      <c r="I112" s="201">
        <f t="shared" si="27"/>
        <v>500</v>
      </c>
      <c r="J112" s="202"/>
      <c r="K112" s="7"/>
      <c r="L112" s="201">
        <f t="shared" si="28"/>
        <v>500</v>
      </c>
      <c r="M112" s="29"/>
      <c r="N112" s="7"/>
      <c r="O112" s="30">
        <f t="shared" si="29"/>
        <v>500</v>
      </c>
      <c r="P112" s="85"/>
      <c r="Q112" s="193">
        <f t="shared" si="22"/>
        <v>500</v>
      </c>
    </row>
    <row r="113" spans="1:17" ht="12.75">
      <c r="A113" s="48" t="s">
        <v>66</v>
      </c>
      <c r="B113" s="105"/>
      <c r="C113" s="131">
        <v>5874</v>
      </c>
      <c r="D113" s="132"/>
      <c r="E113" s="132"/>
      <c r="F113" s="169">
        <f t="shared" si="26"/>
        <v>5874</v>
      </c>
      <c r="G113" s="215">
        <f>-35+1520</f>
        <v>1485</v>
      </c>
      <c r="H113" s="216"/>
      <c r="I113" s="217">
        <f t="shared" si="27"/>
        <v>7359</v>
      </c>
      <c r="J113" s="215">
        <f>4688</f>
        <v>4688</v>
      </c>
      <c r="K113" s="10"/>
      <c r="L113" s="217">
        <f t="shared" si="28"/>
        <v>12047</v>
      </c>
      <c r="M113" s="33"/>
      <c r="N113" s="10"/>
      <c r="O113" s="34">
        <f t="shared" si="29"/>
        <v>12047</v>
      </c>
      <c r="P113" s="90"/>
      <c r="Q113" s="194">
        <f t="shared" si="22"/>
        <v>12047</v>
      </c>
    </row>
    <row r="114" spans="1:17" ht="12.75" hidden="1">
      <c r="A114" s="52" t="s">
        <v>67</v>
      </c>
      <c r="B114" s="106"/>
      <c r="C114" s="133">
        <f>SUM(C116:C119)</f>
        <v>0</v>
      </c>
      <c r="D114" s="134">
        <f>SUM(D116:D119)</f>
        <v>0</v>
      </c>
      <c r="E114" s="134">
        <f>SUM(E116:E119)</f>
        <v>0</v>
      </c>
      <c r="F114" s="135">
        <f>SUM(F116:F119)</f>
        <v>0</v>
      </c>
      <c r="G114" s="218"/>
      <c r="H114" s="219"/>
      <c r="I114" s="220">
        <f>SUM(I116:I119)</f>
        <v>0</v>
      </c>
      <c r="J114" s="218"/>
      <c r="K114" s="12"/>
      <c r="L114" s="220">
        <f>SUM(L116:L119)</f>
        <v>0</v>
      </c>
      <c r="M114" s="37"/>
      <c r="N114" s="12"/>
      <c r="O114" s="38">
        <f>SUM(O116:O119)</f>
        <v>0</v>
      </c>
      <c r="P114" s="88"/>
      <c r="Q114" s="38">
        <f>SUM(Q116:Q119)</f>
        <v>0</v>
      </c>
    </row>
    <row r="115" spans="1:17" ht="11.25" customHeight="1" hidden="1">
      <c r="A115" s="43" t="s">
        <v>33</v>
      </c>
      <c r="B115" s="102"/>
      <c r="C115" s="122"/>
      <c r="D115" s="123"/>
      <c r="E115" s="123"/>
      <c r="F115" s="124"/>
      <c r="G115" s="206"/>
      <c r="H115" s="207"/>
      <c r="I115" s="208"/>
      <c r="J115" s="206"/>
      <c r="K115" s="8"/>
      <c r="L115" s="208"/>
      <c r="M115" s="31"/>
      <c r="N115" s="8"/>
      <c r="O115" s="32"/>
      <c r="P115" s="85"/>
      <c r="Q115" s="193"/>
    </row>
    <row r="116" spans="1:17" ht="12.75" hidden="1">
      <c r="A116" s="45" t="s">
        <v>185</v>
      </c>
      <c r="B116" s="102"/>
      <c r="C116" s="121"/>
      <c r="D116" s="119"/>
      <c r="E116" s="119"/>
      <c r="F116" s="120">
        <f>C116+D116+E116</f>
        <v>0</v>
      </c>
      <c r="G116" s="202"/>
      <c r="H116" s="203"/>
      <c r="I116" s="201">
        <f>F116+G116+H116</f>
        <v>0</v>
      </c>
      <c r="J116" s="202"/>
      <c r="K116" s="7"/>
      <c r="L116" s="201">
        <f>I116+J116+K116</f>
        <v>0</v>
      </c>
      <c r="M116" s="29"/>
      <c r="N116" s="7"/>
      <c r="O116" s="30">
        <f>L116+M116+N116</f>
        <v>0</v>
      </c>
      <c r="P116" s="85"/>
      <c r="Q116" s="193">
        <f t="shared" si="22"/>
        <v>0</v>
      </c>
    </row>
    <row r="117" spans="1:17" ht="12.75" hidden="1">
      <c r="A117" s="45" t="s">
        <v>241</v>
      </c>
      <c r="B117" s="102"/>
      <c r="C117" s="121"/>
      <c r="D117" s="119"/>
      <c r="E117" s="119"/>
      <c r="F117" s="120">
        <f>C117+D117+E117</f>
        <v>0</v>
      </c>
      <c r="G117" s="202"/>
      <c r="H117" s="203"/>
      <c r="I117" s="201"/>
      <c r="J117" s="202"/>
      <c r="K117" s="7"/>
      <c r="L117" s="201"/>
      <c r="M117" s="29"/>
      <c r="N117" s="7"/>
      <c r="O117" s="30"/>
      <c r="P117" s="85"/>
      <c r="Q117" s="193"/>
    </row>
    <row r="118" spans="1:17" ht="12.75" hidden="1">
      <c r="A118" s="45" t="s">
        <v>66</v>
      </c>
      <c r="B118" s="102"/>
      <c r="C118" s="121"/>
      <c r="D118" s="119"/>
      <c r="E118" s="119"/>
      <c r="F118" s="120">
        <f>C118+D118+E118</f>
        <v>0</v>
      </c>
      <c r="G118" s="215"/>
      <c r="H118" s="216"/>
      <c r="I118" s="217">
        <f>F118+G118+H118</f>
        <v>0</v>
      </c>
      <c r="J118" s="215"/>
      <c r="K118" s="10"/>
      <c r="L118" s="217">
        <f>I118+J118+K118</f>
        <v>0</v>
      </c>
      <c r="M118" s="33"/>
      <c r="N118" s="10"/>
      <c r="O118" s="34">
        <f>L118+M118+N118</f>
        <v>0</v>
      </c>
      <c r="P118" s="90"/>
      <c r="Q118" s="194">
        <f t="shared" si="22"/>
        <v>0</v>
      </c>
    </row>
    <row r="119" spans="1:17" ht="12.75" hidden="1">
      <c r="A119" s="48" t="s">
        <v>68</v>
      </c>
      <c r="B119" s="105"/>
      <c r="C119" s="131"/>
      <c r="D119" s="132"/>
      <c r="E119" s="132"/>
      <c r="F119" s="169">
        <f>C119+D119+E119</f>
        <v>0</v>
      </c>
      <c r="G119" s="215"/>
      <c r="H119" s="216"/>
      <c r="I119" s="217">
        <f>F119+G119+H119</f>
        <v>0</v>
      </c>
      <c r="J119" s="215"/>
      <c r="K119" s="10"/>
      <c r="L119" s="217">
        <f>I119+J119+K119</f>
        <v>0</v>
      </c>
      <c r="M119" s="33"/>
      <c r="N119" s="10"/>
      <c r="O119" s="34">
        <f>L119+M119+N119</f>
        <v>0</v>
      </c>
      <c r="P119" s="85"/>
      <c r="Q119" s="193">
        <f t="shared" si="22"/>
        <v>0</v>
      </c>
    </row>
    <row r="120" spans="1:17" ht="12.75">
      <c r="A120" s="42" t="s">
        <v>69</v>
      </c>
      <c r="B120" s="106"/>
      <c r="C120" s="116">
        <f aca="true" t="shared" si="30" ref="C120:Q120">C121+C134</f>
        <v>335211.19999999995</v>
      </c>
      <c r="D120" s="117">
        <f t="shared" si="30"/>
        <v>11768.62</v>
      </c>
      <c r="E120" s="117">
        <f t="shared" si="30"/>
        <v>0</v>
      </c>
      <c r="F120" s="118">
        <f t="shared" si="30"/>
        <v>346979.82</v>
      </c>
      <c r="G120" s="198">
        <f t="shared" si="30"/>
        <v>3629.6399999999994</v>
      </c>
      <c r="H120" s="199">
        <f t="shared" si="30"/>
        <v>0</v>
      </c>
      <c r="I120" s="200">
        <f t="shared" si="30"/>
        <v>350609.45999999996</v>
      </c>
      <c r="J120" s="198">
        <f t="shared" si="30"/>
        <v>7578.96</v>
      </c>
      <c r="K120" s="117">
        <f t="shared" si="30"/>
        <v>0</v>
      </c>
      <c r="L120" s="200">
        <f t="shared" si="30"/>
        <v>358188.42000000004</v>
      </c>
      <c r="M120" s="116">
        <f t="shared" si="30"/>
        <v>0</v>
      </c>
      <c r="N120" s="117">
        <f t="shared" si="30"/>
        <v>0</v>
      </c>
      <c r="O120" s="118">
        <f t="shared" si="30"/>
        <v>356738.37000000005</v>
      </c>
      <c r="P120" s="116">
        <f t="shared" si="30"/>
        <v>0</v>
      </c>
      <c r="Q120" s="118">
        <f t="shared" si="30"/>
        <v>356738.37000000005</v>
      </c>
    </row>
    <row r="121" spans="1:17" ht="12.75">
      <c r="A121" s="51" t="s">
        <v>62</v>
      </c>
      <c r="B121" s="106"/>
      <c r="C121" s="128">
        <f aca="true" t="shared" si="31" ref="C121:Q121">SUM(C123:C133)</f>
        <v>335211.19999999995</v>
      </c>
      <c r="D121" s="129">
        <f t="shared" si="31"/>
        <v>9713.880000000001</v>
      </c>
      <c r="E121" s="129">
        <f t="shared" si="31"/>
        <v>0</v>
      </c>
      <c r="F121" s="130">
        <f t="shared" si="31"/>
        <v>344925.08</v>
      </c>
      <c r="G121" s="212">
        <f t="shared" si="31"/>
        <v>3629.6399999999994</v>
      </c>
      <c r="H121" s="213">
        <f t="shared" si="31"/>
        <v>0</v>
      </c>
      <c r="I121" s="214">
        <f t="shared" si="31"/>
        <v>348554.72</v>
      </c>
      <c r="J121" s="212">
        <f t="shared" si="31"/>
        <v>7578.96</v>
      </c>
      <c r="K121" s="129">
        <f t="shared" si="31"/>
        <v>0</v>
      </c>
      <c r="L121" s="214">
        <f t="shared" si="31"/>
        <v>356133.68000000005</v>
      </c>
      <c r="M121" s="128">
        <f t="shared" si="31"/>
        <v>0</v>
      </c>
      <c r="N121" s="129">
        <f t="shared" si="31"/>
        <v>0</v>
      </c>
      <c r="O121" s="130">
        <f t="shared" si="31"/>
        <v>354683.63000000006</v>
      </c>
      <c r="P121" s="128">
        <f t="shared" si="31"/>
        <v>0</v>
      </c>
      <c r="Q121" s="130">
        <f t="shared" si="31"/>
        <v>354683.63000000006</v>
      </c>
    </row>
    <row r="122" spans="1:17" ht="12.75">
      <c r="A122" s="47" t="s">
        <v>33</v>
      </c>
      <c r="B122" s="102"/>
      <c r="C122" s="121"/>
      <c r="D122" s="119"/>
      <c r="E122" s="119"/>
      <c r="F122" s="120"/>
      <c r="G122" s="202"/>
      <c r="H122" s="203"/>
      <c r="I122" s="201"/>
      <c r="J122" s="202"/>
      <c r="K122" s="7"/>
      <c r="L122" s="201"/>
      <c r="M122" s="29"/>
      <c r="N122" s="7"/>
      <c r="O122" s="30"/>
      <c r="P122" s="85"/>
      <c r="Q122" s="193"/>
    </row>
    <row r="123" spans="1:17" ht="12.75">
      <c r="A123" s="103" t="s">
        <v>157</v>
      </c>
      <c r="B123" s="102"/>
      <c r="C123" s="121">
        <v>166947.3</v>
      </c>
      <c r="D123" s="119">
        <f>3795.76</f>
        <v>3795.76</v>
      </c>
      <c r="E123" s="119"/>
      <c r="F123" s="120">
        <f aca="true" t="shared" si="32" ref="F123:F133">C123+D123+E123</f>
        <v>170743.06</v>
      </c>
      <c r="G123" s="202">
        <f>218</f>
        <v>218</v>
      </c>
      <c r="H123" s="203"/>
      <c r="I123" s="201">
        <f>F123+G123+H123</f>
        <v>170961.06</v>
      </c>
      <c r="J123" s="202">
        <f>2342.16</f>
        <v>2342.16</v>
      </c>
      <c r="K123" s="7"/>
      <c r="L123" s="201">
        <f>I123+J123+K123</f>
        <v>173303.22</v>
      </c>
      <c r="M123" s="29"/>
      <c r="N123" s="7"/>
      <c r="O123" s="30">
        <f>L123+M123+N123</f>
        <v>173303.22</v>
      </c>
      <c r="P123" s="85"/>
      <c r="Q123" s="193">
        <f t="shared" si="22"/>
        <v>173303.22</v>
      </c>
    </row>
    <row r="124" spans="1:17" ht="12.75">
      <c r="A124" s="45" t="s">
        <v>63</v>
      </c>
      <c r="B124" s="102"/>
      <c r="C124" s="121">
        <v>56898.9</v>
      </c>
      <c r="D124" s="119">
        <f>1927.38</f>
        <v>1927.38</v>
      </c>
      <c r="E124" s="119"/>
      <c r="F124" s="120">
        <f t="shared" si="32"/>
        <v>58826.28</v>
      </c>
      <c r="G124" s="202">
        <f>75.1</f>
        <v>75.1</v>
      </c>
      <c r="H124" s="203"/>
      <c r="I124" s="201">
        <f aca="true" t="shared" si="33" ref="I124:I133">F124+G124+H124</f>
        <v>58901.38</v>
      </c>
      <c r="J124" s="202">
        <f>806.29</f>
        <v>806.29</v>
      </c>
      <c r="K124" s="7"/>
      <c r="L124" s="201">
        <f aca="true" t="shared" si="34" ref="L124:L133">I124+J124+K124</f>
        <v>59707.67</v>
      </c>
      <c r="M124" s="29"/>
      <c r="N124" s="7"/>
      <c r="O124" s="30">
        <f aca="true" t="shared" si="35" ref="O124:O133">L124+M124+N124</f>
        <v>59707.67</v>
      </c>
      <c r="P124" s="85"/>
      <c r="Q124" s="193">
        <f t="shared" si="22"/>
        <v>59707.67</v>
      </c>
    </row>
    <row r="125" spans="1:17" ht="12.75">
      <c r="A125" s="45" t="s">
        <v>299</v>
      </c>
      <c r="B125" s="102"/>
      <c r="C125" s="121">
        <v>200</v>
      </c>
      <c r="D125" s="119"/>
      <c r="E125" s="119"/>
      <c r="F125" s="120">
        <f t="shared" si="32"/>
        <v>200</v>
      </c>
      <c r="G125" s="202"/>
      <c r="H125" s="203"/>
      <c r="I125" s="201">
        <f t="shared" si="33"/>
        <v>200</v>
      </c>
      <c r="J125" s="202"/>
      <c r="K125" s="7"/>
      <c r="L125" s="201">
        <f t="shared" si="34"/>
        <v>200</v>
      </c>
      <c r="M125" s="29"/>
      <c r="N125" s="7"/>
      <c r="O125" s="30">
        <f t="shared" si="35"/>
        <v>200</v>
      </c>
      <c r="P125" s="85"/>
      <c r="Q125" s="193">
        <f t="shared" si="22"/>
        <v>200</v>
      </c>
    </row>
    <row r="126" spans="1:17" ht="12.75">
      <c r="A126" s="45" t="s">
        <v>64</v>
      </c>
      <c r="B126" s="102"/>
      <c r="C126" s="121">
        <v>50038.4</v>
      </c>
      <c r="D126" s="119">
        <f>3800+141.22</f>
        <v>3941.22</v>
      </c>
      <c r="E126" s="119"/>
      <c r="F126" s="120">
        <f t="shared" si="32"/>
        <v>53979.62</v>
      </c>
      <c r="G126" s="202">
        <f>140.26+117.43+7.6+1417</f>
        <v>1682.29</v>
      </c>
      <c r="H126" s="203"/>
      <c r="I126" s="201">
        <f t="shared" si="33"/>
        <v>55661.91</v>
      </c>
      <c r="J126" s="202">
        <f>4054.82+80.89</f>
        <v>4135.71</v>
      </c>
      <c r="K126" s="7"/>
      <c r="L126" s="201">
        <f t="shared" si="34"/>
        <v>59797.62</v>
      </c>
      <c r="M126" s="29"/>
      <c r="N126" s="7"/>
      <c r="O126" s="30">
        <f t="shared" si="35"/>
        <v>59797.62</v>
      </c>
      <c r="P126" s="85"/>
      <c r="Q126" s="193">
        <f t="shared" si="22"/>
        <v>59797.62</v>
      </c>
    </row>
    <row r="127" spans="1:17" ht="12.75">
      <c r="A127" s="45" t="s">
        <v>70</v>
      </c>
      <c r="B127" s="102" t="s">
        <v>216</v>
      </c>
      <c r="C127" s="121">
        <v>352</v>
      </c>
      <c r="D127" s="119"/>
      <c r="E127" s="119"/>
      <c r="F127" s="120">
        <f t="shared" si="32"/>
        <v>352</v>
      </c>
      <c r="G127" s="202"/>
      <c r="H127" s="203"/>
      <c r="I127" s="201">
        <f t="shared" si="33"/>
        <v>352</v>
      </c>
      <c r="J127" s="202"/>
      <c r="K127" s="7"/>
      <c r="L127" s="201">
        <f t="shared" si="34"/>
        <v>352</v>
      </c>
      <c r="M127" s="29"/>
      <c r="N127" s="7"/>
      <c r="O127" s="30">
        <f t="shared" si="35"/>
        <v>352</v>
      </c>
      <c r="P127" s="85"/>
      <c r="Q127" s="193">
        <f t="shared" si="22"/>
        <v>352</v>
      </c>
    </row>
    <row r="128" spans="1:17" ht="12.75" hidden="1">
      <c r="A128" s="45" t="s">
        <v>71</v>
      </c>
      <c r="B128" s="102" t="s">
        <v>215</v>
      </c>
      <c r="C128" s="121"/>
      <c r="D128" s="119"/>
      <c r="E128" s="119"/>
      <c r="F128" s="120">
        <f t="shared" si="32"/>
        <v>0</v>
      </c>
      <c r="G128" s="202"/>
      <c r="H128" s="203"/>
      <c r="I128" s="201">
        <f t="shared" si="33"/>
        <v>0</v>
      </c>
      <c r="J128" s="202"/>
      <c r="K128" s="7"/>
      <c r="L128" s="201">
        <f t="shared" si="34"/>
        <v>0</v>
      </c>
      <c r="M128" s="29"/>
      <c r="N128" s="7"/>
      <c r="O128" s="30">
        <f t="shared" si="35"/>
        <v>0</v>
      </c>
      <c r="P128" s="85"/>
      <c r="Q128" s="193">
        <f t="shared" si="22"/>
        <v>0</v>
      </c>
    </row>
    <row r="129" spans="1:17" ht="12.75">
      <c r="A129" s="45" t="s">
        <v>72</v>
      </c>
      <c r="B129" s="102"/>
      <c r="C129" s="121">
        <v>60774.6</v>
      </c>
      <c r="D129" s="119"/>
      <c r="E129" s="119"/>
      <c r="F129" s="120">
        <f t="shared" si="32"/>
        <v>60774.6</v>
      </c>
      <c r="G129" s="202"/>
      <c r="H129" s="203"/>
      <c r="I129" s="201">
        <f t="shared" si="33"/>
        <v>60774.6</v>
      </c>
      <c r="J129" s="202">
        <f>264.8</f>
        <v>264.8</v>
      </c>
      <c r="K129" s="7"/>
      <c r="L129" s="201">
        <f t="shared" si="34"/>
        <v>61039.4</v>
      </c>
      <c r="M129" s="29"/>
      <c r="N129" s="7"/>
      <c r="O129" s="30">
        <f t="shared" si="35"/>
        <v>61039.4</v>
      </c>
      <c r="P129" s="85"/>
      <c r="Q129" s="193">
        <f t="shared" si="22"/>
        <v>61039.4</v>
      </c>
    </row>
    <row r="130" spans="1:17" ht="12.75">
      <c r="A130" s="45" t="s">
        <v>90</v>
      </c>
      <c r="B130" s="102"/>
      <c r="C130" s="121"/>
      <c r="D130" s="119">
        <f>49.52</f>
        <v>49.52</v>
      </c>
      <c r="E130" s="119"/>
      <c r="F130" s="120">
        <f t="shared" si="32"/>
        <v>49.52</v>
      </c>
      <c r="G130" s="202"/>
      <c r="H130" s="203"/>
      <c r="I130" s="201">
        <f t="shared" si="33"/>
        <v>49.52</v>
      </c>
      <c r="J130" s="202"/>
      <c r="K130" s="7"/>
      <c r="L130" s="201">
        <f t="shared" si="34"/>
        <v>49.52</v>
      </c>
      <c r="M130" s="29"/>
      <c r="N130" s="7"/>
      <c r="O130" s="30">
        <f t="shared" si="35"/>
        <v>49.52</v>
      </c>
      <c r="P130" s="85"/>
      <c r="Q130" s="193">
        <f t="shared" si="22"/>
        <v>49.52</v>
      </c>
    </row>
    <row r="131" spans="1:17" ht="12.75">
      <c r="A131" s="45" t="s">
        <v>351</v>
      </c>
      <c r="B131" s="102">
        <v>98008</v>
      </c>
      <c r="C131" s="121"/>
      <c r="D131" s="119"/>
      <c r="E131" s="119"/>
      <c r="F131" s="120"/>
      <c r="G131" s="202"/>
      <c r="H131" s="203"/>
      <c r="I131" s="201">
        <f t="shared" si="33"/>
        <v>0</v>
      </c>
      <c r="J131" s="202">
        <f>30</f>
        <v>30</v>
      </c>
      <c r="K131" s="7"/>
      <c r="L131" s="201">
        <f t="shared" si="34"/>
        <v>30</v>
      </c>
      <c r="M131" s="29"/>
      <c r="N131" s="7"/>
      <c r="O131" s="30"/>
      <c r="P131" s="85"/>
      <c r="Q131" s="193"/>
    </row>
    <row r="132" spans="1:17" ht="12.75">
      <c r="A132" s="45" t="s">
        <v>336</v>
      </c>
      <c r="B132" s="102"/>
      <c r="C132" s="121"/>
      <c r="D132" s="119"/>
      <c r="E132" s="119"/>
      <c r="F132" s="120">
        <f t="shared" si="32"/>
        <v>0</v>
      </c>
      <c r="G132" s="202">
        <f>1420.05</f>
        <v>1420.05</v>
      </c>
      <c r="H132" s="203"/>
      <c r="I132" s="201">
        <f t="shared" si="33"/>
        <v>1420.05</v>
      </c>
      <c r="J132" s="202"/>
      <c r="K132" s="7"/>
      <c r="L132" s="201">
        <f t="shared" si="34"/>
        <v>1420.05</v>
      </c>
      <c r="M132" s="29"/>
      <c r="N132" s="7"/>
      <c r="O132" s="30"/>
      <c r="P132" s="85"/>
      <c r="Q132" s="193"/>
    </row>
    <row r="133" spans="1:17" ht="12.75">
      <c r="A133" s="45" t="s">
        <v>73</v>
      </c>
      <c r="B133" s="102">
        <v>4001</v>
      </c>
      <c r="C133" s="121"/>
      <c r="D133" s="119"/>
      <c r="E133" s="119"/>
      <c r="F133" s="120">
        <f t="shared" si="32"/>
        <v>0</v>
      </c>
      <c r="G133" s="202">
        <f>234.2</f>
        <v>234.2</v>
      </c>
      <c r="H133" s="203"/>
      <c r="I133" s="201">
        <f t="shared" si="33"/>
        <v>234.2</v>
      </c>
      <c r="J133" s="202"/>
      <c r="K133" s="7"/>
      <c r="L133" s="201">
        <f t="shared" si="34"/>
        <v>234.2</v>
      </c>
      <c r="M133" s="29"/>
      <c r="N133" s="7"/>
      <c r="O133" s="30">
        <f t="shared" si="35"/>
        <v>234.2</v>
      </c>
      <c r="P133" s="85"/>
      <c r="Q133" s="193">
        <f t="shared" si="22"/>
        <v>234.2</v>
      </c>
    </row>
    <row r="134" spans="1:17" ht="12.75">
      <c r="A134" s="51" t="s">
        <v>67</v>
      </c>
      <c r="B134" s="106"/>
      <c r="C134" s="128">
        <f>C137+C136</f>
        <v>0</v>
      </c>
      <c r="D134" s="129">
        <f>D137+D136</f>
        <v>2054.74</v>
      </c>
      <c r="E134" s="129">
        <f>E137+E136</f>
        <v>0</v>
      </c>
      <c r="F134" s="130">
        <f>F137+F136</f>
        <v>2054.74</v>
      </c>
      <c r="G134" s="212">
        <f aca="true" t="shared" si="36" ref="G134:Q134">G137+G136</f>
        <v>0</v>
      </c>
      <c r="H134" s="213">
        <f t="shared" si="36"/>
        <v>0</v>
      </c>
      <c r="I134" s="214">
        <f t="shared" si="36"/>
        <v>2054.74</v>
      </c>
      <c r="J134" s="212">
        <f t="shared" si="36"/>
        <v>0</v>
      </c>
      <c r="K134" s="129">
        <f t="shared" si="36"/>
        <v>0</v>
      </c>
      <c r="L134" s="214">
        <f t="shared" si="36"/>
        <v>2054.74</v>
      </c>
      <c r="M134" s="128">
        <f t="shared" si="36"/>
        <v>0</v>
      </c>
      <c r="N134" s="129">
        <f t="shared" si="36"/>
        <v>0</v>
      </c>
      <c r="O134" s="130">
        <f t="shared" si="36"/>
        <v>2054.74</v>
      </c>
      <c r="P134" s="128">
        <f t="shared" si="36"/>
        <v>0</v>
      </c>
      <c r="Q134" s="130">
        <f t="shared" si="36"/>
        <v>2054.74</v>
      </c>
    </row>
    <row r="135" spans="1:17" ht="12.75">
      <c r="A135" s="47" t="s">
        <v>33</v>
      </c>
      <c r="B135" s="102"/>
      <c r="C135" s="121"/>
      <c r="D135" s="119"/>
      <c r="E135" s="119"/>
      <c r="F135" s="118"/>
      <c r="G135" s="202"/>
      <c r="H135" s="203"/>
      <c r="I135" s="200"/>
      <c r="J135" s="202"/>
      <c r="K135" s="7"/>
      <c r="L135" s="200"/>
      <c r="M135" s="29"/>
      <c r="N135" s="7"/>
      <c r="O135" s="28"/>
      <c r="P135" s="85"/>
      <c r="Q135" s="193"/>
    </row>
    <row r="136" spans="1:17" ht="12.75" hidden="1">
      <c r="A136" s="44" t="s">
        <v>68</v>
      </c>
      <c r="B136" s="102"/>
      <c r="C136" s="121"/>
      <c r="D136" s="119"/>
      <c r="E136" s="132"/>
      <c r="F136" s="120">
        <f>C136+D136+E136</f>
        <v>0</v>
      </c>
      <c r="G136" s="202"/>
      <c r="H136" s="203"/>
      <c r="I136" s="201">
        <f>F136+G136+H136</f>
        <v>0</v>
      </c>
      <c r="J136" s="202"/>
      <c r="K136" s="7"/>
      <c r="L136" s="201">
        <f>I136+J136+K136</f>
        <v>0</v>
      </c>
      <c r="M136" s="29"/>
      <c r="N136" s="7"/>
      <c r="O136" s="30">
        <f>L136+M136+N136</f>
        <v>0</v>
      </c>
      <c r="P136" s="85"/>
      <c r="Q136" s="193">
        <f t="shared" si="22"/>
        <v>0</v>
      </c>
    </row>
    <row r="137" spans="1:17" ht="12.75">
      <c r="A137" s="48" t="s">
        <v>91</v>
      </c>
      <c r="B137" s="105"/>
      <c r="C137" s="131"/>
      <c r="D137" s="132">
        <f>1488.3+566.44</f>
        <v>2054.74</v>
      </c>
      <c r="E137" s="132"/>
      <c r="F137" s="169">
        <f>C137+D137+E137</f>
        <v>2054.74</v>
      </c>
      <c r="G137" s="215"/>
      <c r="H137" s="216"/>
      <c r="I137" s="217">
        <f>F137+G137+H137</f>
        <v>2054.74</v>
      </c>
      <c r="J137" s="215"/>
      <c r="K137" s="10"/>
      <c r="L137" s="217">
        <f>I137+J137+K137</f>
        <v>2054.74</v>
      </c>
      <c r="M137" s="33"/>
      <c r="N137" s="10"/>
      <c r="O137" s="34">
        <f>L137+M137+N137</f>
        <v>2054.74</v>
      </c>
      <c r="P137" s="90"/>
      <c r="Q137" s="194">
        <f t="shared" si="22"/>
        <v>2054.74</v>
      </c>
    </row>
    <row r="138" spans="1:17" ht="12.75">
      <c r="A138" s="42" t="s">
        <v>74</v>
      </c>
      <c r="B138" s="106"/>
      <c r="C138" s="116">
        <f>C139+C148</f>
        <v>64180</v>
      </c>
      <c r="D138" s="117">
        <f>D139+D148</f>
        <v>79169.70999999999</v>
      </c>
      <c r="E138" s="117">
        <f>E139+E148</f>
        <v>0</v>
      </c>
      <c r="F138" s="118">
        <f>F139+F148</f>
        <v>143349.71</v>
      </c>
      <c r="G138" s="198">
        <f aca="true" t="shared" si="37" ref="G138:Q138">G139+G148</f>
        <v>10117.49</v>
      </c>
      <c r="H138" s="199">
        <f t="shared" si="37"/>
        <v>9940.53</v>
      </c>
      <c r="I138" s="200">
        <f t="shared" si="37"/>
        <v>163407.72999999998</v>
      </c>
      <c r="J138" s="198">
        <f t="shared" si="37"/>
        <v>6008.55</v>
      </c>
      <c r="K138" s="117">
        <f t="shared" si="37"/>
        <v>0</v>
      </c>
      <c r="L138" s="200">
        <f t="shared" si="37"/>
        <v>169416.28</v>
      </c>
      <c r="M138" s="116">
        <f t="shared" si="37"/>
        <v>0</v>
      </c>
      <c r="N138" s="117">
        <f t="shared" si="37"/>
        <v>0</v>
      </c>
      <c r="O138" s="118">
        <f t="shared" si="37"/>
        <v>124519.73</v>
      </c>
      <c r="P138" s="116">
        <f t="shared" si="37"/>
        <v>0</v>
      </c>
      <c r="Q138" s="118">
        <f t="shared" si="37"/>
        <v>124519.73</v>
      </c>
    </row>
    <row r="139" spans="1:17" ht="12.75">
      <c r="A139" s="51" t="s">
        <v>62</v>
      </c>
      <c r="B139" s="106"/>
      <c r="C139" s="128">
        <f>SUM(C141:C146)</f>
        <v>19180</v>
      </c>
      <c r="D139" s="129">
        <f>SUM(D141:D146)</f>
        <v>31510.010000000002</v>
      </c>
      <c r="E139" s="129">
        <f>SUM(E141:E146)</f>
        <v>0</v>
      </c>
      <c r="F139" s="130">
        <f>SUM(F141:F146)</f>
        <v>50690.01</v>
      </c>
      <c r="G139" s="212">
        <f aca="true" t="shared" si="38" ref="G139:Q139">SUM(G141:G146)</f>
        <v>-6882.51</v>
      </c>
      <c r="H139" s="213">
        <f t="shared" si="38"/>
        <v>-859</v>
      </c>
      <c r="I139" s="214">
        <f t="shared" si="38"/>
        <v>42948.5</v>
      </c>
      <c r="J139" s="212">
        <f t="shared" si="38"/>
        <v>12</v>
      </c>
      <c r="K139" s="129">
        <f t="shared" si="38"/>
        <v>0</v>
      </c>
      <c r="L139" s="214">
        <f t="shared" si="38"/>
        <v>42960.5</v>
      </c>
      <c r="M139" s="128">
        <f t="shared" si="38"/>
        <v>0</v>
      </c>
      <c r="N139" s="129">
        <f t="shared" si="38"/>
        <v>0</v>
      </c>
      <c r="O139" s="130">
        <f t="shared" si="38"/>
        <v>13960.5</v>
      </c>
      <c r="P139" s="128">
        <f t="shared" si="38"/>
        <v>0</v>
      </c>
      <c r="Q139" s="130">
        <f t="shared" si="38"/>
        <v>13960.5</v>
      </c>
    </row>
    <row r="140" spans="1:17" ht="12.75">
      <c r="A140" s="47" t="s">
        <v>33</v>
      </c>
      <c r="B140" s="102"/>
      <c r="C140" s="121"/>
      <c r="D140" s="119"/>
      <c r="E140" s="119"/>
      <c r="F140" s="118"/>
      <c r="G140" s="202"/>
      <c r="H140" s="203"/>
      <c r="I140" s="200"/>
      <c r="J140" s="202"/>
      <c r="K140" s="7"/>
      <c r="L140" s="200"/>
      <c r="M140" s="29"/>
      <c r="N140" s="7"/>
      <c r="O140" s="28"/>
      <c r="P140" s="85"/>
      <c r="Q140" s="193"/>
    </row>
    <row r="141" spans="1:17" ht="12.75">
      <c r="A141" s="45" t="s">
        <v>64</v>
      </c>
      <c r="B141" s="102"/>
      <c r="C141" s="121">
        <v>19180</v>
      </c>
      <c r="D141" s="119">
        <f>-49.87-50</f>
        <v>-99.87</v>
      </c>
      <c r="E141" s="119"/>
      <c r="F141" s="120">
        <f aca="true" t="shared" si="39" ref="F141:F147">C141+D141+E141</f>
        <v>19080.13</v>
      </c>
      <c r="G141" s="202">
        <f>82.55-7000</f>
        <v>-6917.45</v>
      </c>
      <c r="H141" s="203">
        <f>-910</f>
        <v>-910</v>
      </c>
      <c r="I141" s="201">
        <f aca="true" t="shared" si="40" ref="I141:I147">F141+G141+H141</f>
        <v>11252.68</v>
      </c>
      <c r="J141" s="202"/>
      <c r="K141" s="7"/>
      <c r="L141" s="201">
        <f aca="true" t="shared" si="41" ref="L141:L147">I141+J141+K141</f>
        <v>11252.68</v>
      </c>
      <c r="M141" s="29"/>
      <c r="N141" s="7"/>
      <c r="O141" s="30">
        <f aca="true" t="shared" si="42" ref="O141:O147">L141+M141+N141</f>
        <v>11252.68</v>
      </c>
      <c r="P141" s="85"/>
      <c r="Q141" s="193">
        <f t="shared" si="22"/>
        <v>11252.68</v>
      </c>
    </row>
    <row r="142" spans="1:17" ht="12.75">
      <c r="A142" s="45" t="s">
        <v>76</v>
      </c>
      <c r="B142" s="102"/>
      <c r="C142" s="121"/>
      <c r="D142" s="119"/>
      <c r="E142" s="119"/>
      <c r="F142" s="120">
        <f t="shared" si="39"/>
        <v>0</v>
      </c>
      <c r="G142" s="202"/>
      <c r="H142" s="203">
        <f>51</f>
        <v>51</v>
      </c>
      <c r="I142" s="201">
        <f t="shared" si="40"/>
        <v>51</v>
      </c>
      <c r="J142" s="202"/>
      <c r="K142" s="7"/>
      <c r="L142" s="201">
        <f t="shared" si="41"/>
        <v>51</v>
      </c>
      <c r="M142" s="29"/>
      <c r="N142" s="7"/>
      <c r="O142" s="30">
        <f t="shared" si="42"/>
        <v>51</v>
      </c>
      <c r="P142" s="85"/>
      <c r="Q142" s="193">
        <f t="shared" si="22"/>
        <v>51</v>
      </c>
    </row>
    <row r="143" spans="1:17" ht="12.75">
      <c r="A143" s="49" t="s">
        <v>256</v>
      </c>
      <c r="B143" s="102"/>
      <c r="C143" s="121"/>
      <c r="D143" s="119">
        <f>29000</f>
        <v>29000</v>
      </c>
      <c r="E143" s="119"/>
      <c r="F143" s="120">
        <f t="shared" si="39"/>
        <v>29000</v>
      </c>
      <c r="G143" s="202"/>
      <c r="H143" s="203"/>
      <c r="I143" s="201">
        <f t="shared" si="40"/>
        <v>29000</v>
      </c>
      <c r="J143" s="202"/>
      <c r="K143" s="7"/>
      <c r="L143" s="201">
        <f t="shared" si="41"/>
        <v>29000</v>
      </c>
      <c r="M143" s="29"/>
      <c r="N143" s="7"/>
      <c r="O143" s="30"/>
      <c r="P143" s="85"/>
      <c r="Q143" s="193"/>
    </row>
    <row r="144" spans="1:17" ht="12.75">
      <c r="A144" s="45" t="s">
        <v>77</v>
      </c>
      <c r="B144" s="102">
        <v>98278</v>
      </c>
      <c r="C144" s="121"/>
      <c r="D144" s="119">
        <f>43.5</f>
        <v>43.5</v>
      </c>
      <c r="E144" s="119"/>
      <c r="F144" s="120">
        <f t="shared" si="39"/>
        <v>43.5</v>
      </c>
      <c r="G144" s="202">
        <f>15.05+19.89</f>
        <v>34.94</v>
      </c>
      <c r="H144" s="203"/>
      <c r="I144" s="201">
        <f t="shared" si="40"/>
        <v>78.44</v>
      </c>
      <c r="J144" s="202">
        <f>12</f>
        <v>12</v>
      </c>
      <c r="K144" s="7"/>
      <c r="L144" s="201">
        <f t="shared" si="41"/>
        <v>90.44</v>
      </c>
      <c r="M144" s="29"/>
      <c r="N144" s="7"/>
      <c r="O144" s="30">
        <f t="shared" si="42"/>
        <v>90.44</v>
      </c>
      <c r="P144" s="85"/>
      <c r="Q144" s="193">
        <f t="shared" si="22"/>
        <v>90.44</v>
      </c>
    </row>
    <row r="145" spans="1:17" ht="12.75" hidden="1">
      <c r="A145" s="45" t="s">
        <v>90</v>
      </c>
      <c r="B145" s="102"/>
      <c r="C145" s="121"/>
      <c r="D145" s="119"/>
      <c r="E145" s="119"/>
      <c r="F145" s="120">
        <f t="shared" si="39"/>
        <v>0</v>
      </c>
      <c r="G145" s="202"/>
      <c r="H145" s="203"/>
      <c r="I145" s="201">
        <f t="shared" si="40"/>
        <v>0</v>
      </c>
      <c r="J145" s="202"/>
      <c r="K145" s="7"/>
      <c r="L145" s="201">
        <f t="shared" si="41"/>
        <v>0</v>
      </c>
      <c r="M145" s="29"/>
      <c r="N145" s="7"/>
      <c r="O145" s="30">
        <f t="shared" si="42"/>
        <v>0</v>
      </c>
      <c r="P145" s="85"/>
      <c r="Q145" s="193">
        <f t="shared" si="22"/>
        <v>0</v>
      </c>
    </row>
    <row r="146" spans="1:17" ht="12.75">
      <c r="A146" s="44" t="s">
        <v>78</v>
      </c>
      <c r="B146" s="102"/>
      <c r="C146" s="121"/>
      <c r="D146" s="119">
        <f>2500+66.38</f>
        <v>2566.38</v>
      </c>
      <c r="E146" s="119"/>
      <c r="F146" s="120">
        <f t="shared" si="39"/>
        <v>2566.38</v>
      </c>
      <c r="G146" s="202"/>
      <c r="H146" s="203"/>
      <c r="I146" s="201">
        <f t="shared" si="40"/>
        <v>2566.38</v>
      </c>
      <c r="J146" s="202"/>
      <c r="K146" s="7"/>
      <c r="L146" s="201">
        <f t="shared" si="41"/>
        <v>2566.38</v>
      </c>
      <c r="M146" s="29"/>
      <c r="N146" s="7"/>
      <c r="O146" s="30">
        <f t="shared" si="42"/>
        <v>2566.38</v>
      </c>
      <c r="P146" s="85"/>
      <c r="Q146" s="193">
        <f t="shared" si="22"/>
        <v>2566.38</v>
      </c>
    </row>
    <row r="147" spans="1:17" ht="12.75">
      <c r="A147" s="44" t="s">
        <v>79</v>
      </c>
      <c r="B147" s="102"/>
      <c r="C147" s="121"/>
      <c r="D147" s="119">
        <f>66.38+2500</f>
        <v>2566.38</v>
      </c>
      <c r="E147" s="119"/>
      <c r="F147" s="120">
        <f t="shared" si="39"/>
        <v>2566.38</v>
      </c>
      <c r="G147" s="202"/>
      <c r="H147" s="203"/>
      <c r="I147" s="201">
        <f t="shared" si="40"/>
        <v>2566.38</v>
      </c>
      <c r="J147" s="202"/>
      <c r="K147" s="7"/>
      <c r="L147" s="201">
        <f t="shared" si="41"/>
        <v>2566.38</v>
      </c>
      <c r="M147" s="29"/>
      <c r="N147" s="7"/>
      <c r="O147" s="30">
        <f t="shared" si="42"/>
        <v>2566.38</v>
      </c>
      <c r="P147" s="85"/>
      <c r="Q147" s="193">
        <f t="shared" si="22"/>
        <v>2566.38</v>
      </c>
    </row>
    <row r="148" spans="1:17" ht="12.75">
      <c r="A148" s="52" t="s">
        <v>67</v>
      </c>
      <c r="B148" s="106"/>
      <c r="C148" s="133">
        <f>SUM(C150:C155)</f>
        <v>45000</v>
      </c>
      <c r="D148" s="134">
        <f>SUM(D150:D155)</f>
        <v>47659.7</v>
      </c>
      <c r="E148" s="134">
        <f>SUM(E150:E155)</f>
        <v>0</v>
      </c>
      <c r="F148" s="135">
        <f>SUM(F150:F155)</f>
        <v>92659.7</v>
      </c>
      <c r="G148" s="218">
        <f aca="true" t="shared" si="43" ref="G148:Q148">SUM(G150:G155)</f>
        <v>17000</v>
      </c>
      <c r="H148" s="219">
        <f t="shared" si="43"/>
        <v>10799.53</v>
      </c>
      <c r="I148" s="220">
        <f t="shared" si="43"/>
        <v>120459.23</v>
      </c>
      <c r="J148" s="218">
        <f t="shared" si="43"/>
        <v>5996.55</v>
      </c>
      <c r="K148" s="134">
        <f t="shared" si="43"/>
        <v>0</v>
      </c>
      <c r="L148" s="220">
        <f t="shared" si="43"/>
        <v>126455.78</v>
      </c>
      <c r="M148" s="133">
        <f t="shared" si="43"/>
        <v>0</v>
      </c>
      <c r="N148" s="134">
        <f t="shared" si="43"/>
        <v>0</v>
      </c>
      <c r="O148" s="135">
        <f t="shared" si="43"/>
        <v>110559.23</v>
      </c>
      <c r="P148" s="133">
        <f t="shared" si="43"/>
        <v>0</v>
      </c>
      <c r="Q148" s="135">
        <f t="shared" si="43"/>
        <v>110559.23</v>
      </c>
    </row>
    <row r="149" spans="1:17" ht="12.75">
      <c r="A149" s="43" t="s">
        <v>33</v>
      </c>
      <c r="B149" s="102"/>
      <c r="C149" s="122"/>
      <c r="D149" s="123"/>
      <c r="E149" s="123"/>
      <c r="F149" s="124"/>
      <c r="G149" s="206"/>
      <c r="H149" s="207"/>
      <c r="I149" s="208"/>
      <c r="J149" s="206"/>
      <c r="K149" s="8"/>
      <c r="L149" s="208"/>
      <c r="M149" s="31"/>
      <c r="N149" s="8"/>
      <c r="O149" s="32"/>
      <c r="P149" s="85"/>
      <c r="Q149" s="193"/>
    </row>
    <row r="150" spans="1:17" ht="12.75">
      <c r="A150" s="44" t="s">
        <v>80</v>
      </c>
      <c r="B150" s="102"/>
      <c r="C150" s="121"/>
      <c r="D150" s="119">
        <f>16560+49.87+5000</f>
        <v>21609.87</v>
      </c>
      <c r="E150" s="119"/>
      <c r="F150" s="120">
        <f aca="true" t="shared" si="44" ref="F150:F156">C150+D150+E150</f>
        <v>21609.87</v>
      </c>
      <c r="G150" s="202">
        <f>10000+7000</f>
        <v>17000</v>
      </c>
      <c r="H150" s="203">
        <f>859</f>
        <v>859</v>
      </c>
      <c r="I150" s="201">
        <f>F150+G150+H150</f>
        <v>39468.869999999995</v>
      </c>
      <c r="J150" s="202">
        <f>5000</f>
        <v>5000</v>
      </c>
      <c r="K150" s="7"/>
      <c r="L150" s="201">
        <f>I150+J150+K150</f>
        <v>44468.869999999995</v>
      </c>
      <c r="M150" s="29"/>
      <c r="N150" s="7"/>
      <c r="O150" s="30">
        <f>L150+M150+N150</f>
        <v>44468.869999999995</v>
      </c>
      <c r="P150" s="85"/>
      <c r="Q150" s="193">
        <f aca="true" t="shared" si="45" ref="Q150:Q205">O150+P150</f>
        <v>44468.869999999995</v>
      </c>
    </row>
    <row r="151" spans="1:17" ht="12.75">
      <c r="A151" s="49" t="s">
        <v>319</v>
      </c>
      <c r="B151" s="102"/>
      <c r="C151" s="121"/>
      <c r="D151" s="119">
        <v>10000</v>
      </c>
      <c r="E151" s="119"/>
      <c r="F151" s="120">
        <f t="shared" si="44"/>
        <v>10000</v>
      </c>
      <c r="G151" s="202"/>
      <c r="H151" s="203"/>
      <c r="I151" s="201">
        <f>F151+G151+H151</f>
        <v>10000</v>
      </c>
      <c r="J151" s="202"/>
      <c r="K151" s="7"/>
      <c r="L151" s="201">
        <f>I151+J151+K151</f>
        <v>10000</v>
      </c>
      <c r="M151" s="29"/>
      <c r="N151" s="7"/>
      <c r="O151" s="30"/>
      <c r="P151" s="85"/>
      <c r="Q151" s="193"/>
    </row>
    <row r="152" spans="1:17" ht="12.75">
      <c r="A152" s="44" t="s">
        <v>68</v>
      </c>
      <c r="B152" s="102"/>
      <c r="C152" s="121"/>
      <c r="D152" s="119">
        <f>4900</f>
        <v>4900</v>
      </c>
      <c r="E152" s="119"/>
      <c r="F152" s="120">
        <f t="shared" si="44"/>
        <v>4900</v>
      </c>
      <c r="G152" s="202"/>
      <c r="H152" s="203"/>
      <c r="I152" s="201">
        <f>F152+G152+H152</f>
        <v>4900</v>
      </c>
      <c r="J152" s="202">
        <f>996.55</f>
        <v>996.55</v>
      </c>
      <c r="K152" s="7"/>
      <c r="L152" s="201">
        <f>I152+J152+K152</f>
        <v>5896.55</v>
      </c>
      <c r="M152" s="29"/>
      <c r="N152" s="7"/>
      <c r="O152" s="30"/>
      <c r="P152" s="85"/>
      <c r="Q152" s="193"/>
    </row>
    <row r="153" spans="1:17" ht="12.75" hidden="1">
      <c r="A153" s="45" t="s">
        <v>254</v>
      </c>
      <c r="B153" s="102"/>
      <c r="C153" s="121"/>
      <c r="D153" s="119"/>
      <c r="E153" s="119"/>
      <c r="F153" s="120">
        <f t="shared" si="44"/>
        <v>0</v>
      </c>
      <c r="G153" s="202"/>
      <c r="H153" s="203"/>
      <c r="I153" s="201"/>
      <c r="J153" s="202"/>
      <c r="K153" s="7"/>
      <c r="L153" s="201"/>
      <c r="M153" s="29"/>
      <c r="N153" s="7"/>
      <c r="O153" s="30"/>
      <c r="P153" s="85"/>
      <c r="Q153" s="193"/>
    </row>
    <row r="154" spans="1:17" ht="12.75" hidden="1">
      <c r="A154" s="45" t="s">
        <v>90</v>
      </c>
      <c r="B154" s="102"/>
      <c r="C154" s="121"/>
      <c r="D154" s="119"/>
      <c r="E154" s="119"/>
      <c r="F154" s="120">
        <f t="shared" si="44"/>
        <v>0</v>
      </c>
      <c r="G154" s="202"/>
      <c r="H154" s="203"/>
      <c r="I154" s="201">
        <f>F154+G154+H154</f>
        <v>0</v>
      </c>
      <c r="J154" s="202"/>
      <c r="K154" s="7"/>
      <c r="L154" s="201">
        <f>I154+J154+K154</f>
        <v>0</v>
      </c>
      <c r="M154" s="29"/>
      <c r="N154" s="7"/>
      <c r="O154" s="30">
        <f>L154+M154+N154</f>
        <v>0</v>
      </c>
      <c r="P154" s="85"/>
      <c r="Q154" s="193">
        <f t="shared" si="45"/>
        <v>0</v>
      </c>
    </row>
    <row r="155" spans="1:17" ht="12.75">
      <c r="A155" s="44" t="s">
        <v>78</v>
      </c>
      <c r="B155" s="102"/>
      <c r="C155" s="121">
        <v>45000</v>
      </c>
      <c r="D155" s="119">
        <f>11216.21-66.38</f>
        <v>11149.83</v>
      </c>
      <c r="E155" s="119"/>
      <c r="F155" s="120">
        <f t="shared" si="44"/>
        <v>56149.83</v>
      </c>
      <c r="G155" s="202"/>
      <c r="H155" s="203">
        <f>9940.53</f>
        <v>9940.53</v>
      </c>
      <c r="I155" s="201">
        <f>F155+G155+H155</f>
        <v>66090.36</v>
      </c>
      <c r="J155" s="202"/>
      <c r="K155" s="7"/>
      <c r="L155" s="201">
        <f>I155+J155+K155</f>
        <v>66090.36</v>
      </c>
      <c r="M155" s="29"/>
      <c r="N155" s="7"/>
      <c r="O155" s="30">
        <f>L155+M155+N155</f>
        <v>66090.36</v>
      </c>
      <c r="P155" s="85"/>
      <c r="Q155" s="193">
        <f t="shared" si="45"/>
        <v>66090.36</v>
      </c>
    </row>
    <row r="156" spans="1:17" ht="12.75">
      <c r="A156" s="53" t="s">
        <v>81</v>
      </c>
      <c r="B156" s="105"/>
      <c r="C156" s="131"/>
      <c r="D156" s="132">
        <v>11216.21</v>
      </c>
      <c r="E156" s="132"/>
      <c r="F156" s="169">
        <f t="shared" si="44"/>
        <v>11216.21</v>
      </c>
      <c r="G156" s="215"/>
      <c r="H156" s="216">
        <f>16300</f>
        <v>16300</v>
      </c>
      <c r="I156" s="217">
        <f>F156+G156+H156</f>
        <v>27516.21</v>
      </c>
      <c r="J156" s="215"/>
      <c r="K156" s="10"/>
      <c r="L156" s="217">
        <f>I156+J156+K156</f>
        <v>27516.21</v>
      </c>
      <c r="M156" s="33"/>
      <c r="N156" s="10"/>
      <c r="O156" s="34">
        <f>L156+M156+N156</f>
        <v>27516.21</v>
      </c>
      <c r="P156" s="90"/>
      <c r="Q156" s="194">
        <f t="shared" si="45"/>
        <v>27516.21</v>
      </c>
    </row>
    <row r="157" spans="1:17" ht="12.75">
      <c r="A157" s="46" t="s">
        <v>82</v>
      </c>
      <c r="B157" s="106"/>
      <c r="C157" s="122">
        <f>C158+C163</f>
        <v>7660</v>
      </c>
      <c r="D157" s="123">
        <f>D158+D163</f>
        <v>3578.35</v>
      </c>
      <c r="E157" s="123">
        <f>E158+E163</f>
        <v>0</v>
      </c>
      <c r="F157" s="124">
        <f>F158+F163</f>
        <v>11238.35</v>
      </c>
      <c r="G157" s="206">
        <f aca="true" t="shared" si="46" ref="G157:Q157">G158+G163</f>
        <v>0</v>
      </c>
      <c r="H157" s="207">
        <f t="shared" si="46"/>
        <v>0</v>
      </c>
      <c r="I157" s="208">
        <f t="shared" si="46"/>
        <v>11238.35</v>
      </c>
      <c r="J157" s="206">
        <f t="shared" si="46"/>
        <v>0</v>
      </c>
      <c r="K157" s="123">
        <f t="shared" si="46"/>
        <v>0</v>
      </c>
      <c r="L157" s="208">
        <f t="shared" si="46"/>
        <v>11238.35</v>
      </c>
      <c r="M157" s="122">
        <f t="shared" si="46"/>
        <v>0</v>
      </c>
      <c r="N157" s="123">
        <f t="shared" si="46"/>
        <v>0</v>
      </c>
      <c r="O157" s="124">
        <f t="shared" si="46"/>
        <v>11148.35</v>
      </c>
      <c r="P157" s="122">
        <f t="shared" si="46"/>
        <v>0</v>
      </c>
      <c r="Q157" s="124">
        <f t="shared" si="46"/>
        <v>11148.35</v>
      </c>
    </row>
    <row r="158" spans="1:17" ht="12.75">
      <c r="A158" s="51" t="s">
        <v>62</v>
      </c>
      <c r="B158" s="106"/>
      <c r="C158" s="128">
        <f>SUM(C160:C162)</f>
        <v>7660</v>
      </c>
      <c r="D158" s="129">
        <f>SUM(D160:D162)</f>
        <v>3578.35</v>
      </c>
      <c r="E158" s="129">
        <f>SUM(E160:E162)</f>
        <v>0</v>
      </c>
      <c r="F158" s="130">
        <f>SUM(F160:F162)</f>
        <v>11238.35</v>
      </c>
      <c r="G158" s="212">
        <f aca="true" t="shared" si="47" ref="G158:Q158">SUM(G160:G162)</f>
        <v>0</v>
      </c>
      <c r="H158" s="213">
        <f t="shared" si="47"/>
        <v>-90</v>
      </c>
      <c r="I158" s="214">
        <f t="shared" si="47"/>
        <v>11148.35</v>
      </c>
      <c r="J158" s="212">
        <f t="shared" si="47"/>
        <v>0</v>
      </c>
      <c r="K158" s="129">
        <f t="shared" si="47"/>
        <v>0</v>
      </c>
      <c r="L158" s="214">
        <f t="shared" si="47"/>
        <v>11148.35</v>
      </c>
      <c r="M158" s="128">
        <f t="shared" si="47"/>
        <v>0</v>
      </c>
      <c r="N158" s="129">
        <f t="shared" si="47"/>
        <v>0</v>
      </c>
      <c r="O158" s="130">
        <f t="shared" si="47"/>
        <v>11148.35</v>
      </c>
      <c r="P158" s="128">
        <f t="shared" si="47"/>
        <v>0</v>
      </c>
      <c r="Q158" s="130">
        <f t="shared" si="47"/>
        <v>11148.35</v>
      </c>
    </row>
    <row r="159" spans="1:17" ht="12.75">
      <c r="A159" s="47" t="s">
        <v>33</v>
      </c>
      <c r="B159" s="102"/>
      <c r="C159" s="121"/>
      <c r="D159" s="119"/>
      <c r="E159" s="119"/>
      <c r="F159" s="118"/>
      <c r="G159" s="202"/>
      <c r="H159" s="203"/>
      <c r="I159" s="200"/>
      <c r="J159" s="202"/>
      <c r="K159" s="7"/>
      <c r="L159" s="200"/>
      <c r="M159" s="29"/>
      <c r="N159" s="7"/>
      <c r="O159" s="28"/>
      <c r="P159" s="85"/>
      <c r="Q159" s="193"/>
    </row>
    <row r="160" spans="1:17" ht="12.75">
      <c r="A160" s="45" t="s">
        <v>64</v>
      </c>
      <c r="B160" s="102"/>
      <c r="C160" s="121">
        <v>7660</v>
      </c>
      <c r="D160" s="119">
        <f>2205.35</f>
        <v>2205.35</v>
      </c>
      <c r="E160" s="119"/>
      <c r="F160" s="120">
        <f>C160+D160+E160</f>
        <v>9865.35</v>
      </c>
      <c r="G160" s="202">
        <f>-60</f>
        <v>-60</v>
      </c>
      <c r="H160" s="203">
        <f>-90</f>
        <v>-90</v>
      </c>
      <c r="I160" s="201">
        <f>SUM(F160:H160)</f>
        <v>9715.35</v>
      </c>
      <c r="J160" s="202"/>
      <c r="K160" s="7"/>
      <c r="L160" s="201">
        <f>I160+J160+K160</f>
        <v>9715.35</v>
      </c>
      <c r="M160" s="29"/>
      <c r="N160" s="7"/>
      <c r="O160" s="30">
        <f>L160+M160+N160</f>
        <v>9715.35</v>
      </c>
      <c r="P160" s="85"/>
      <c r="Q160" s="193">
        <f t="shared" si="45"/>
        <v>9715.35</v>
      </c>
    </row>
    <row r="161" spans="1:17" ht="12.75">
      <c r="A161" s="49" t="s">
        <v>83</v>
      </c>
      <c r="B161" s="102">
        <v>33166</v>
      </c>
      <c r="C161" s="121"/>
      <c r="D161" s="119">
        <f>1373</f>
        <v>1373</v>
      </c>
      <c r="E161" s="119"/>
      <c r="F161" s="120">
        <f>C161+D161+E161</f>
        <v>1373</v>
      </c>
      <c r="G161" s="202"/>
      <c r="H161" s="203"/>
      <c r="I161" s="201">
        <f>SUM(F161:H161)</f>
        <v>1373</v>
      </c>
      <c r="J161" s="202"/>
      <c r="K161" s="7"/>
      <c r="L161" s="201">
        <f>I161+J161+K161</f>
        <v>1373</v>
      </c>
      <c r="M161" s="29"/>
      <c r="N161" s="7"/>
      <c r="O161" s="30">
        <f>L161+M161+N161</f>
        <v>1373</v>
      </c>
      <c r="P161" s="85"/>
      <c r="Q161" s="193">
        <f t="shared" si="45"/>
        <v>1373</v>
      </c>
    </row>
    <row r="162" spans="1:17" ht="12.75">
      <c r="A162" s="49" t="s">
        <v>76</v>
      </c>
      <c r="B162" s="102"/>
      <c r="C162" s="121"/>
      <c r="D162" s="119"/>
      <c r="E162" s="119"/>
      <c r="F162" s="120">
        <f>C162+D162+E162</f>
        <v>0</v>
      </c>
      <c r="G162" s="202">
        <f>60</f>
        <v>60</v>
      </c>
      <c r="H162" s="203"/>
      <c r="I162" s="201">
        <f>SUM(F162:H162)</f>
        <v>60</v>
      </c>
      <c r="J162" s="202"/>
      <c r="K162" s="7"/>
      <c r="L162" s="201">
        <f>I162+J162+K162</f>
        <v>60</v>
      </c>
      <c r="M162" s="29"/>
      <c r="N162" s="7"/>
      <c r="O162" s="30">
        <f>L162+M162+N162</f>
        <v>60</v>
      </c>
      <c r="P162" s="85"/>
      <c r="Q162" s="193">
        <f t="shared" si="45"/>
        <v>60</v>
      </c>
    </row>
    <row r="163" spans="1:17" ht="12.75">
      <c r="A163" s="51" t="s">
        <v>67</v>
      </c>
      <c r="B163" s="106"/>
      <c r="C163" s="128">
        <f>C166+C165</f>
        <v>0</v>
      </c>
      <c r="D163" s="129">
        <f>D166</f>
        <v>0</v>
      </c>
      <c r="E163" s="129">
        <f>E166</f>
        <v>0</v>
      </c>
      <c r="F163" s="130">
        <f>F166+F165</f>
        <v>0</v>
      </c>
      <c r="G163" s="212">
        <f>G166+G165</f>
        <v>0</v>
      </c>
      <c r="H163" s="213">
        <f>H166+H165</f>
        <v>90</v>
      </c>
      <c r="I163" s="214">
        <f>I166+I165</f>
        <v>90</v>
      </c>
      <c r="J163" s="212">
        <f>J166+J165</f>
        <v>0</v>
      </c>
      <c r="K163" s="129">
        <f aca="true" t="shared" si="48" ref="K163:Q163">K166</f>
        <v>0</v>
      </c>
      <c r="L163" s="214">
        <f>L166+L165</f>
        <v>90</v>
      </c>
      <c r="M163" s="128">
        <f t="shared" si="48"/>
        <v>0</v>
      </c>
      <c r="N163" s="129">
        <f t="shared" si="48"/>
        <v>0</v>
      </c>
      <c r="O163" s="130">
        <f t="shared" si="48"/>
        <v>0</v>
      </c>
      <c r="P163" s="128">
        <f t="shared" si="48"/>
        <v>0</v>
      </c>
      <c r="Q163" s="130">
        <f t="shared" si="48"/>
        <v>0</v>
      </c>
    </row>
    <row r="164" spans="1:17" ht="12.75">
      <c r="A164" s="47" t="s">
        <v>33</v>
      </c>
      <c r="B164" s="102"/>
      <c r="C164" s="121"/>
      <c r="D164" s="119"/>
      <c r="E164" s="119"/>
      <c r="F164" s="118"/>
      <c r="G164" s="202"/>
      <c r="H164" s="203"/>
      <c r="I164" s="200"/>
      <c r="J164" s="202"/>
      <c r="K164" s="7"/>
      <c r="L164" s="200"/>
      <c r="M164" s="29"/>
      <c r="N164" s="7"/>
      <c r="O164" s="28"/>
      <c r="P164" s="85"/>
      <c r="Q164" s="193"/>
    </row>
    <row r="165" spans="1:17" ht="12.75">
      <c r="A165" s="53" t="s">
        <v>68</v>
      </c>
      <c r="B165" s="105"/>
      <c r="C165" s="131"/>
      <c r="D165" s="132"/>
      <c r="E165" s="132"/>
      <c r="F165" s="256"/>
      <c r="G165" s="215"/>
      <c r="H165" s="216">
        <f>90</f>
        <v>90</v>
      </c>
      <c r="I165" s="217">
        <f>SUM(F165:H165)</f>
        <v>90</v>
      </c>
      <c r="J165" s="215"/>
      <c r="K165" s="10"/>
      <c r="L165" s="217">
        <f>I165+J165+K165</f>
        <v>90</v>
      </c>
      <c r="M165" s="29"/>
      <c r="N165" s="7"/>
      <c r="O165" s="28"/>
      <c r="P165" s="85"/>
      <c r="Q165" s="193"/>
    </row>
    <row r="166" spans="1:17" ht="12.75" hidden="1">
      <c r="A166" s="48" t="s">
        <v>196</v>
      </c>
      <c r="B166" s="105"/>
      <c r="C166" s="131"/>
      <c r="D166" s="132"/>
      <c r="E166" s="132"/>
      <c r="F166" s="169">
        <f>C166+D166+E166</f>
        <v>0</v>
      </c>
      <c r="G166" s="215"/>
      <c r="H166" s="216"/>
      <c r="I166" s="217">
        <f>F166+G166+H166</f>
        <v>0</v>
      </c>
      <c r="J166" s="215"/>
      <c r="K166" s="10"/>
      <c r="L166" s="217">
        <f>I166+J166+K166</f>
        <v>0</v>
      </c>
      <c r="M166" s="33"/>
      <c r="N166" s="10"/>
      <c r="O166" s="34">
        <f>L166+M166+N166</f>
        <v>0</v>
      </c>
      <c r="P166" s="90"/>
      <c r="Q166" s="194">
        <f t="shared" si="45"/>
        <v>0</v>
      </c>
    </row>
    <row r="167" spans="1:17" ht="12.75">
      <c r="A167" s="42" t="s">
        <v>84</v>
      </c>
      <c r="B167" s="106"/>
      <c r="C167" s="116">
        <f>C168+C180</f>
        <v>1120747.5</v>
      </c>
      <c r="D167" s="117">
        <f>D168+D180</f>
        <v>72605.79000000001</v>
      </c>
      <c r="E167" s="117">
        <f>E168+E180</f>
        <v>0</v>
      </c>
      <c r="F167" s="118">
        <f>F168+F180</f>
        <v>1193353.29</v>
      </c>
      <c r="G167" s="198">
        <f aca="true" t="shared" si="49" ref="G167:Q167">G168+G180</f>
        <v>299692.73</v>
      </c>
      <c r="H167" s="199">
        <f t="shared" si="49"/>
        <v>0</v>
      </c>
      <c r="I167" s="200">
        <f t="shared" si="49"/>
        <v>1493046.02</v>
      </c>
      <c r="J167" s="198">
        <f t="shared" si="49"/>
        <v>51315.7</v>
      </c>
      <c r="K167" s="117">
        <f t="shared" si="49"/>
        <v>0</v>
      </c>
      <c r="L167" s="200">
        <f t="shared" si="49"/>
        <v>1544361.72</v>
      </c>
      <c r="M167" s="116">
        <f t="shared" si="49"/>
        <v>0</v>
      </c>
      <c r="N167" s="117">
        <f t="shared" si="49"/>
        <v>0</v>
      </c>
      <c r="O167" s="118">
        <f t="shared" si="49"/>
        <v>1544361.72</v>
      </c>
      <c r="P167" s="116">
        <f t="shared" si="49"/>
        <v>0</v>
      </c>
      <c r="Q167" s="118">
        <f t="shared" si="49"/>
        <v>1544361.72</v>
      </c>
    </row>
    <row r="168" spans="1:17" ht="12.75">
      <c r="A168" s="51" t="s">
        <v>62</v>
      </c>
      <c r="B168" s="106"/>
      <c r="C168" s="128">
        <f>SUM(C171:C179)</f>
        <v>1113747.5</v>
      </c>
      <c r="D168" s="129">
        <f>SUM(D171:D179)</f>
        <v>57607.5</v>
      </c>
      <c r="E168" s="129">
        <f>SUM(E171:E179)</f>
        <v>0</v>
      </c>
      <c r="F168" s="130">
        <f>SUM(F171:F179)</f>
        <v>1171355</v>
      </c>
      <c r="G168" s="212">
        <f aca="true" t="shared" si="50" ref="G168:Q168">SUM(G171:G179)</f>
        <v>296899.5</v>
      </c>
      <c r="H168" s="213">
        <f t="shared" si="50"/>
        <v>0</v>
      </c>
      <c r="I168" s="214">
        <f t="shared" si="50"/>
        <v>1468254.5</v>
      </c>
      <c r="J168" s="212">
        <f t="shared" si="50"/>
        <v>51316.09</v>
      </c>
      <c r="K168" s="129">
        <f t="shared" si="50"/>
        <v>0</v>
      </c>
      <c r="L168" s="214">
        <f t="shared" si="50"/>
        <v>1519570.59</v>
      </c>
      <c r="M168" s="128">
        <f t="shared" si="50"/>
        <v>0</v>
      </c>
      <c r="N168" s="129">
        <f t="shared" si="50"/>
        <v>0</v>
      </c>
      <c r="O168" s="130">
        <f t="shared" si="50"/>
        <v>1519570.59</v>
      </c>
      <c r="P168" s="128">
        <f t="shared" si="50"/>
        <v>0</v>
      </c>
      <c r="Q168" s="130">
        <f t="shared" si="50"/>
        <v>1519570.59</v>
      </c>
    </row>
    <row r="169" spans="1:17" ht="12.75">
      <c r="A169" s="47" t="s">
        <v>33</v>
      </c>
      <c r="B169" s="102"/>
      <c r="C169" s="121"/>
      <c r="D169" s="119"/>
      <c r="E169" s="119"/>
      <c r="F169" s="118"/>
      <c r="G169" s="202"/>
      <c r="H169" s="203"/>
      <c r="I169" s="200"/>
      <c r="J169" s="202"/>
      <c r="K169" s="7"/>
      <c r="L169" s="200"/>
      <c r="M169" s="29"/>
      <c r="N169" s="7"/>
      <c r="O169" s="28"/>
      <c r="P169" s="85"/>
      <c r="Q169" s="193"/>
    </row>
    <row r="170" spans="1:17" ht="12.75">
      <c r="A170" s="49" t="s">
        <v>85</v>
      </c>
      <c r="B170" s="102"/>
      <c r="C170" s="121">
        <f>C171+C172</f>
        <v>674371</v>
      </c>
      <c r="D170" s="119">
        <f>D171+D172</f>
        <v>18672.71</v>
      </c>
      <c r="E170" s="119">
        <f>E171+E172</f>
        <v>-250</v>
      </c>
      <c r="F170" s="120">
        <f>F171+F172</f>
        <v>692793.71</v>
      </c>
      <c r="G170" s="202">
        <f aca="true" t="shared" si="51" ref="G170:Q170">G171+G172</f>
        <v>20235.75</v>
      </c>
      <c r="H170" s="203">
        <f t="shared" si="51"/>
        <v>0</v>
      </c>
      <c r="I170" s="201">
        <f t="shared" si="51"/>
        <v>713029.46</v>
      </c>
      <c r="J170" s="202">
        <f>J171+J172</f>
        <v>22397.61</v>
      </c>
      <c r="K170" s="119">
        <f t="shared" si="51"/>
        <v>0</v>
      </c>
      <c r="L170" s="201">
        <f t="shared" si="51"/>
        <v>735427.0700000001</v>
      </c>
      <c r="M170" s="121">
        <f t="shared" si="51"/>
        <v>0</v>
      </c>
      <c r="N170" s="119">
        <f t="shared" si="51"/>
        <v>0</v>
      </c>
      <c r="O170" s="120">
        <f t="shared" si="51"/>
        <v>735427.0700000001</v>
      </c>
      <c r="P170" s="121">
        <f t="shared" si="51"/>
        <v>0</v>
      </c>
      <c r="Q170" s="120">
        <f t="shared" si="51"/>
        <v>735427.0700000001</v>
      </c>
    </row>
    <row r="171" spans="1:17" ht="12.75">
      <c r="A171" s="49" t="s">
        <v>86</v>
      </c>
      <c r="B171" s="102"/>
      <c r="C171" s="121">
        <v>296942</v>
      </c>
      <c r="D171" s="119">
        <f>2195.61+7600+7.1+2400+6470</f>
        <v>18672.71</v>
      </c>
      <c r="E171" s="119">
        <f>-250</f>
        <v>-250</v>
      </c>
      <c r="F171" s="120">
        <f aca="true" t="shared" si="52" ref="F171:F179">C171+D171+E171</f>
        <v>315364.71</v>
      </c>
      <c r="G171" s="202">
        <f>-347.68+21765-2400+1218.43</f>
        <v>20235.75</v>
      </c>
      <c r="H171" s="221"/>
      <c r="I171" s="201">
        <f aca="true" t="shared" si="53" ref="I171:I179">F171+G171+H171</f>
        <v>335600.46</v>
      </c>
      <c r="J171" s="202">
        <f>1432.5+21765+632.61</f>
        <v>23830.11</v>
      </c>
      <c r="K171" s="7"/>
      <c r="L171" s="201">
        <f aca="true" t="shared" si="54" ref="L171:L179">I171+J171+K171</f>
        <v>359430.57</v>
      </c>
      <c r="M171" s="29"/>
      <c r="N171" s="7"/>
      <c r="O171" s="30">
        <f aca="true" t="shared" si="55" ref="O171:O179">L171+M171+N171</f>
        <v>359430.57</v>
      </c>
      <c r="P171" s="85"/>
      <c r="Q171" s="193">
        <f t="shared" si="45"/>
        <v>359430.57</v>
      </c>
    </row>
    <row r="172" spans="1:17" ht="12.75">
      <c r="A172" s="45" t="s">
        <v>87</v>
      </c>
      <c r="B172" s="102"/>
      <c r="C172" s="121">
        <v>377429</v>
      </c>
      <c r="D172" s="119"/>
      <c r="E172" s="119"/>
      <c r="F172" s="120">
        <f t="shared" si="52"/>
        <v>377429</v>
      </c>
      <c r="G172" s="202"/>
      <c r="H172" s="221"/>
      <c r="I172" s="201">
        <f t="shared" si="53"/>
        <v>377429</v>
      </c>
      <c r="J172" s="202">
        <f>-1432.5</f>
        <v>-1432.5</v>
      </c>
      <c r="K172" s="7"/>
      <c r="L172" s="201">
        <f t="shared" si="54"/>
        <v>375996.5</v>
      </c>
      <c r="M172" s="29"/>
      <c r="N172" s="7"/>
      <c r="O172" s="30">
        <f t="shared" si="55"/>
        <v>375996.5</v>
      </c>
      <c r="P172" s="85"/>
      <c r="Q172" s="193">
        <f t="shared" si="45"/>
        <v>375996.5</v>
      </c>
    </row>
    <row r="173" spans="1:17" ht="12.75">
      <c r="A173" s="49" t="s">
        <v>88</v>
      </c>
      <c r="B173" s="102"/>
      <c r="C173" s="121">
        <v>20876.5</v>
      </c>
      <c r="D173" s="119"/>
      <c r="E173" s="119"/>
      <c r="F173" s="120">
        <f t="shared" si="52"/>
        <v>20876.5</v>
      </c>
      <c r="G173" s="202"/>
      <c r="H173" s="203"/>
      <c r="I173" s="201">
        <f t="shared" si="53"/>
        <v>20876.5</v>
      </c>
      <c r="J173" s="202"/>
      <c r="K173" s="7"/>
      <c r="L173" s="201">
        <f t="shared" si="54"/>
        <v>20876.5</v>
      </c>
      <c r="M173" s="29"/>
      <c r="N173" s="7"/>
      <c r="O173" s="30">
        <f t="shared" si="55"/>
        <v>20876.5</v>
      </c>
      <c r="P173" s="85"/>
      <c r="Q173" s="193">
        <f t="shared" si="45"/>
        <v>20876.5</v>
      </c>
    </row>
    <row r="174" spans="1:17" ht="12.75">
      <c r="A174" s="45" t="s">
        <v>89</v>
      </c>
      <c r="B174" s="102"/>
      <c r="C174" s="121"/>
      <c r="D174" s="119"/>
      <c r="E174" s="119">
        <f>250</f>
        <v>250</v>
      </c>
      <c r="F174" s="120">
        <f t="shared" si="52"/>
        <v>250</v>
      </c>
      <c r="G174" s="202"/>
      <c r="H174" s="203"/>
      <c r="I174" s="201">
        <f t="shared" si="53"/>
        <v>250</v>
      </c>
      <c r="J174" s="202"/>
      <c r="K174" s="7"/>
      <c r="L174" s="201">
        <f t="shared" si="54"/>
        <v>250</v>
      </c>
      <c r="M174" s="29"/>
      <c r="N174" s="7"/>
      <c r="O174" s="30">
        <f t="shared" si="55"/>
        <v>250</v>
      </c>
      <c r="P174" s="85"/>
      <c r="Q174" s="193">
        <f t="shared" si="45"/>
        <v>250</v>
      </c>
    </row>
    <row r="175" spans="1:17" ht="12.75">
      <c r="A175" s="45" t="s">
        <v>76</v>
      </c>
      <c r="B175" s="102"/>
      <c r="C175" s="121"/>
      <c r="D175" s="119"/>
      <c r="E175" s="119"/>
      <c r="F175" s="120">
        <f t="shared" si="52"/>
        <v>0</v>
      </c>
      <c r="G175" s="202">
        <f>347.68</f>
        <v>347.68</v>
      </c>
      <c r="H175" s="203"/>
      <c r="I175" s="201">
        <f t="shared" si="53"/>
        <v>347.68</v>
      </c>
      <c r="J175" s="202"/>
      <c r="K175" s="7"/>
      <c r="L175" s="201">
        <f t="shared" si="54"/>
        <v>347.68</v>
      </c>
      <c r="M175" s="29"/>
      <c r="N175" s="7"/>
      <c r="O175" s="30">
        <f t="shared" si="55"/>
        <v>347.68</v>
      </c>
      <c r="P175" s="85"/>
      <c r="Q175" s="193">
        <f t="shared" si="45"/>
        <v>347.68</v>
      </c>
    </row>
    <row r="176" spans="1:17" ht="12.75">
      <c r="A176" s="67" t="s">
        <v>332</v>
      </c>
      <c r="B176" s="102">
        <v>91252</v>
      </c>
      <c r="C176" s="121"/>
      <c r="D176" s="119"/>
      <c r="E176" s="119"/>
      <c r="F176" s="120">
        <f t="shared" si="52"/>
        <v>0</v>
      </c>
      <c r="G176" s="202">
        <f>9200</f>
        <v>9200</v>
      </c>
      <c r="H176" s="203"/>
      <c r="I176" s="201">
        <f t="shared" si="53"/>
        <v>9200</v>
      </c>
      <c r="J176" s="202">
        <f>24230</f>
        <v>24230</v>
      </c>
      <c r="K176" s="7"/>
      <c r="L176" s="201">
        <f t="shared" si="54"/>
        <v>33430</v>
      </c>
      <c r="M176" s="29"/>
      <c r="N176" s="7"/>
      <c r="O176" s="30">
        <f t="shared" si="55"/>
        <v>33430</v>
      </c>
      <c r="P176" s="85"/>
      <c r="Q176" s="193">
        <f t="shared" si="45"/>
        <v>33430</v>
      </c>
    </row>
    <row r="177" spans="1:17" ht="12.75">
      <c r="A177" s="45" t="s">
        <v>161</v>
      </c>
      <c r="B177" s="102">
        <v>27355</v>
      </c>
      <c r="C177" s="121"/>
      <c r="D177" s="119"/>
      <c r="E177" s="119"/>
      <c r="F177" s="120">
        <f t="shared" si="52"/>
        <v>0</v>
      </c>
      <c r="G177" s="202">
        <f>268513.86</f>
        <v>268513.86</v>
      </c>
      <c r="H177" s="203"/>
      <c r="I177" s="201">
        <f t="shared" si="53"/>
        <v>268513.86</v>
      </c>
      <c r="J177" s="202"/>
      <c r="K177" s="7"/>
      <c r="L177" s="201">
        <f t="shared" si="54"/>
        <v>268513.86</v>
      </c>
      <c r="M177" s="29"/>
      <c r="N177" s="7"/>
      <c r="O177" s="30">
        <f t="shared" si="55"/>
        <v>268513.86</v>
      </c>
      <c r="P177" s="85"/>
      <c r="Q177" s="193">
        <f t="shared" si="45"/>
        <v>268513.86</v>
      </c>
    </row>
    <row r="178" spans="1:17" ht="12.75">
      <c r="A178" s="45" t="s">
        <v>64</v>
      </c>
      <c r="B178" s="102"/>
      <c r="C178" s="121">
        <v>418500</v>
      </c>
      <c r="D178" s="119">
        <f>1397.79+37537</f>
        <v>38934.79</v>
      </c>
      <c r="E178" s="132"/>
      <c r="F178" s="120">
        <f t="shared" si="52"/>
        <v>457434.79</v>
      </c>
      <c r="G178" s="202">
        <f>-1397.79</f>
        <v>-1397.79</v>
      </c>
      <c r="H178" s="203"/>
      <c r="I178" s="201">
        <f t="shared" si="53"/>
        <v>456037</v>
      </c>
      <c r="J178" s="202">
        <f>438.48+4250</f>
        <v>4688.48</v>
      </c>
      <c r="K178" s="7"/>
      <c r="L178" s="201">
        <f t="shared" si="54"/>
        <v>460725.48</v>
      </c>
      <c r="M178" s="29"/>
      <c r="N178" s="7"/>
      <c r="O178" s="30">
        <f t="shared" si="55"/>
        <v>460725.48</v>
      </c>
      <c r="P178" s="85"/>
      <c r="Q178" s="193">
        <f t="shared" si="45"/>
        <v>460725.48</v>
      </c>
    </row>
    <row r="179" spans="1:17" ht="12" customHeight="1" hidden="1">
      <c r="A179" s="45" t="s">
        <v>90</v>
      </c>
      <c r="B179" s="102"/>
      <c r="C179" s="121"/>
      <c r="D179" s="119"/>
      <c r="E179" s="119"/>
      <c r="F179" s="120">
        <f t="shared" si="52"/>
        <v>0</v>
      </c>
      <c r="G179" s="202"/>
      <c r="H179" s="203"/>
      <c r="I179" s="201">
        <f t="shared" si="53"/>
        <v>0</v>
      </c>
      <c r="J179" s="202"/>
      <c r="K179" s="7"/>
      <c r="L179" s="201">
        <f t="shared" si="54"/>
        <v>0</v>
      </c>
      <c r="M179" s="29"/>
      <c r="N179" s="7"/>
      <c r="O179" s="30">
        <f t="shared" si="55"/>
        <v>0</v>
      </c>
      <c r="P179" s="85"/>
      <c r="Q179" s="193">
        <f t="shared" si="45"/>
        <v>0</v>
      </c>
    </row>
    <row r="180" spans="1:17" ht="12.75">
      <c r="A180" s="52" t="s">
        <v>67</v>
      </c>
      <c r="B180" s="106"/>
      <c r="C180" s="133">
        <f>SUM(C182:C184)</f>
        <v>7000</v>
      </c>
      <c r="D180" s="134">
        <f>SUM(D182:D184)</f>
        <v>14998.29</v>
      </c>
      <c r="E180" s="134">
        <f>SUM(E182:E184)</f>
        <v>0</v>
      </c>
      <c r="F180" s="135">
        <f>SUM(F182:F184)</f>
        <v>21998.29</v>
      </c>
      <c r="G180" s="218">
        <f aca="true" t="shared" si="56" ref="G180:Q180">SUM(G182:G184)</f>
        <v>2793.23</v>
      </c>
      <c r="H180" s="219">
        <f t="shared" si="56"/>
        <v>0</v>
      </c>
      <c r="I180" s="220">
        <f t="shared" si="56"/>
        <v>24791.52</v>
      </c>
      <c r="J180" s="218">
        <f t="shared" si="56"/>
        <v>-0.39</v>
      </c>
      <c r="K180" s="134">
        <f t="shared" si="56"/>
        <v>0</v>
      </c>
      <c r="L180" s="220">
        <f t="shared" si="56"/>
        <v>24791.13</v>
      </c>
      <c r="M180" s="133">
        <f t="shared" si="56"/>
        <v>0</v>
      </c>
      <c r="N180" s="134">
        <f t="shared" si="56"/>
        <v>0</v>
      </c>
      <c r="O180" s="135">
        <f t="shared" si="56"/>
        <v>24791.13</v>
      </c>
      <c r="P180" s="133">
        <f t="shared" si="56"/>
        <v>0</v>
      </c>
      <c r="Q180" s="135">
        <f t="shared" si="56"/>
        <v>24791.13</v>
      </c>
    </row>
    <row r="181" spans="1:17" ht="12.75">
      <c r="A181" s="43" t="s">
        <v>33</v>
      </c>
      <c r="B181" s="102"/>
      <c r="C181" s="122"/>
      <c r="D181" s="123"/>
      <c r="E181" s="123"/>
      <c r="F181" s="124"/>
      <c r="G181" s="206"/>
      <c r="H181" s="207"/>
      <c r="I181" s="208"/>
      <c r="J181" s="206"/>
      <c r="K181" s="8"/>
      <c r="L181" s="208"/>
      <c r="M181" s="31"/>
      <c r="N181" s="8"/>
      <c r="O181" s="32"/>
      <c r="P181" s="85"/>
      <c r="Q181" s="193"/>
    </row>
    <row r="182" spans="1:17" ht="12.75">
      <c r="A182" s="44" t="s">
        <v>68</v>
      </c>
      <c r="B182" s="102"/>
      <c r="C182" s="121"/>
      <c r="D182" s="119">
        <f>1998.29+10000</f>
        <v>11998.29</v>
      </c>
      <c r="E182" s="119"/>
      <c r="F182" s="120">
        <f>C182+D182+E182</f>
        <v>11998.29</v>
      </c>
      <c r="G182" s="202">
        <f>1397.79+341.75+1053.69</f>
        <v>2793.23</v>
      </c>
      <c r="H182" s="203"/>
      <c r="I182" s="201">
        <f>F182+G182+H182</f>
        <v>14791.52</v>
      </c>
      <c r="J182" s="202">
        <f>-0.39</f>
        <v>-0.39</v>
      </c>
      <c r="K182" s="7"/>
      <c r="L182" s="201">
        <f>I182+J182+K182</f>
        <v>14791.130000000001</v>
      </c>
      <c r="M182" s="29"/>
      <c r="N182" s="7"/>
      <c r="O182" s="30">
        <f>L182+M182+N182</f>
        <v>14791.130000000001</v>
      </c>
      <c r="P182" s="85"/>
      <c r="Q182" s="193">
        <f t="shared" si="45"/>
        <v>14791.130000000001</v>
      </c>
    </row>
    <row r="183" spans="1:17" ht="13.5" thickBot="1">
      <c r="A183" s="268" t="s">
        <v>105</v>
      </c>
      <c r="B183" s="172"/>
      <c r="C183" s="173">
        <v>7000</v>
      </c>
      <c r="D183" s="174">
        <f>3000</f>
        <v>3000</v>
      </c>
      <c r="E183" s="174"/>
      <c r="F183" s="175">
        <f>C183+D183+E183</f>
        <v>10000</v>
      </c>
      <c r="G183" s="263"/>
      <c r="H183" s="264"/>
      <c r="I183" s="265">
        <f>F183+G183+H183</f>
        <v>10000</v>
      </c>
      <c r="J183" s="263"/>
      <c r="K183" s="266"/>
      <c r="L183" s="265">
        <f>I183+J183+K183</f>
        <v>10000</v>
      </c>
      <c r="M183" s="33"/>
      <c r="N183" s="10"/>
      <c r="O183" s="34">
        <f>L183+M183+N183</f>
        <v>10000</v>
      </c>
      <c r="P183" s="90"/>
      <c r="Q183" s="194">
        <f t="shared" si="45"/>
        <v>10000</v>
      </c>
    </row>
    <row r="184" spans="1:17" ht="12.75" hidden="1">
      <c r="A184" s="48" t="s">
        <v>91</v>
      </c>
      <c r="B184" s="105"/>
      <c r="C184" s="131"/>
      <c r="D184" s="132"/>
      <c r="E184" s="132"/>
      <c r="F184" s="169">
        <f>C184+D184+E184</f>
        <v>0</v>
      </c>
      <c r="G184" s="215"/>
      <c r="H184" s="216"/>
      <c r="I184" s="217">
        <f>F184+G184+H184</f>
        <v>0</v>
      </c>
      <c r="J184" s="215"/>
      <c r="K184" s="10"/>
      <c r="L184" s="217">
        <f>I184+J184+K184</f>
        <v>0</v>
      </c>
      <c r="M184" s="33"/>
      <c r="N184" s="10"/>
      <c r="O184" s="34">
        <f>L184+M184+N184</f>
        <v>0</v>
      </c>
      <c r="P184" s="90"/>
      <c r="Q184" s="194">
        <f t="shared" si="45"/>
        <v>0</v>
      </c>
    </row>
    <row r="185" spans="1:17" ht="12.75">
      <c r="A185" s="46" t="s">
        <v>92</v>
      </c>
      <c r="B185" s="106"/>
      <c r="C185" s="122">
        <f>C186+C191</f>
        <v>33600.8</v>
      </c>
      <c r="D185" s="123">
        <f>D186+D191</f>
        <v>202840</v>
      </c>
      <c r="E185" s="123">
        <f>E186+E191</f>
        <v>0</v>
      </c>
      <c r="F185" s="124">
        <f>F186+F191</f>
        <v>236440.8</v>
      </c>
      <c r="G185" s="206">
        <f aca="true" t="shared" si="57" ref="G185:Q185">G186+G191</f>
        <v>1232.13</v>
      </c>
      <c r="H185" s="207">
        <f t="shared" si="57"/>
        <v>0</v>
      </c>
      <c r="I185" s="208">
        <f t="shared" si="57"/>
        <v>237672.93</v>
      </c>
      <c r="J185" s="206">
        <f t="shared" si="57"/>
        <v>-137</v>
      </c>
      <c r="K185" s="123">
        <f t="shared" si="57"/>
        <v>0</v>
      </c>
      <c r="L185" s="208">
        <f t="shared" si="57"/>
        <v>237535.93</v>
      </c>
      <c r="M185" s="122">
        <f t="shared" si="57"/>
        <v>0</v>
      </c>
      <c r="N185" s="123">
        <f t="shared" si="57"/>
        <v>0</v>
      </c>
      <c r="O185" s="124">
        <f t="shared" si="57"/>
        <v>37535.93</v>
      </c>
      <c r="P185" s="122">
        <f t="shared" si="57"/>
        <v>0</v>
      </c>
      <c r="Q185" s="124">
        <f t="shared" si="57"/>
        <v>37535.93</v>
      </c>
    </row>
    <row r="186" spans="1:17" ht="12.75">
      <c r="A186" s="51" t="s">
        <v>62</v>
      </c>
      <c r="B186" s="106"/>
      <c r="C186" s="128">
        <f>SUM(C188:C190)</f>
        <v>31600.8</v>
      </c>
      <c r="D186" s="129">
        <f>SUM(D188:D190)</f>
        <v>100</v>
      </c>
      <c r="E186" s="129">
        <f>SUM(E188:E190)</f>
        <v>0</v>
      </c>
      <c r="F186" s="130">
        <f>SUM(F188:F190)</f>
        <v>31700.8</v>
      </c>
      <c r="G186" s="212">
        <f aca="true" t="shared" si="58" ref="G186:Q186">SUM(G188:G190)</f>
        <v>3603.41</v>
      </c>
      <c r="H186" s="213">
        <f t="shared" si="58"/>
        <v>0</v>
      </c>
      <c r="I186" s="214">
        <f t="shared" si="58"/>
        <v>35304.21</v>
      </c>
      <c r="J186" s="212">
        <f t="shared" si="58"/>
        <v>-137</v>
      </c>
      <c r="K186" s="129">
        <f t="shared" si="58"/>
        <v>0</v>
      </c>
      <c r="L186" s="214">
        <f t="shared" si="58"/>
        <v>35167.21</v>
      </c>
      <c r="M186" s="128">
        <f t="shared" si="58"/>
        <v>0</v>
      </c>
      <c r="N186" s="129">
        <f t="shared" si="58"/>
        <v>0</v>
      </c>
      <c r="O186" s="130">
        <f t="shared" si="58"/>
        <v>35167.21</v>
      </c>
      <c r="P186" s="128">
        <f t="shared" si="58"/>
        <v>0</v>
      </c>
      <c r="Q186" s="130">
        <f t="shared" si="58"/>
        <v>35167.21</v>
      </c>
    </row>
    <row r="187" spans="1:17" ht="12.75">
      <c r="A187" s="47" t="s">
        <v>33</v>
      </c>
      <c r="B187" s="102"/>
      <c r="C187" s="121"/>
      <c r="D187" s="119"/>
      <c r="E187" s="119"/>
      <c r="F187" s="118"/>
      <c r="G187" s="202"/>
      <c r="H187" s="203"/>
      <c r="I187" s="200"/>
      <c r="J187" s="202"/>
      <c r="K187" s="7"/>
      <c r="L187" s="200"/>
      <c r="M187" s="29"/>
      <c r="N187" s="7"/>
      <c r="O187" s="28"/>
      <c r="P187" s="85"/>
      <c r="Q187" s="193"/>
    </row>
    <row r="188" spans="1:17" ht="12.75">
      <c r="A188" s="45" t="s">
        <v>64</v>
      </c>
      <c r="B188" s="102"/>
      <c r="C188" s="121">
        <v>7600.8</v>
      </c>
      <c r="D188" s="119">
        <f>100</f>
        <v>100</v>
      </c>
      <c r="E188" s="119"/>
      <c r="F188" s="120">
        <f>C188+D188+E188</f>
        <v>7700.8</v>
      </c>
      <c r="G188" s="202">
        <f>1232.13+1571.28+800</f>
        <v>3603.41</v>
      </c>
      <c r="H188" s="203"/>
      <c r="I188" s="201">
        <f>F188+G188+H188</f>
        <v>11304.21</v>
      </c>
      <c r="J188" s="202">
        <f>-137</f>
        <v>-137</v>
      </c>
      <c r="K188" s="7"/>
      <c r="L188" s="201">
        <f>I188+J188+K188</f>
        <v>11167.21</v>
      </c>
      <c r="M188" s="29"/>
      <c r="N188" s="7"/>
      <c r="O188" s="30">
        <f>L188+M188+N188</f>
        <v>11167.21</v>
      </c>
      <c r="P188" s="85"/>
      <c r="Q188" s="193">
        <f t="shared" si="45"/>
        <v>11167.21</v>
      </c>
    </row>
    <row r="189" spans="1:17" ht="12.75" hidden="1">
      <c r="A189" s="45" t="s">
        <v>91</v>
      </c>
      <c r="B189" s="102"/>
      <c r="C189" s="121"/>
      <c r="D189" s="119"/>
      <c r="E189" s="119"/>
      <c r="F189" s="120">
        <f>C189+D189+E189</f>
        <v>0</v>
      </c>
      <c r="G189" s="202"/>
      <c r="H189" s="203"/>
      <c r="I189" s="201"/>
      <c r="J189" s="202"/>
      <c r="K189" s="7"/>
      <c r="L189" s="201"/>
      <c r="M189" s="29"/>
      <c r="N189" s="7"/>
      <c r="O189" s="30">
        <f>L189+M189+N189</f>
        <v>0</v>
      </c>
      <c r="P189" s="85"/>
      <c r="Q189" s="193">
        <f t="shared" si="45"/>
        <v>0</v>
      </c>
    </row>
    <row r="190" spans="1:17" ht="12.75">
      <c r="A190" s="45" t="s">
        <v>93</v>
      </c>
      <c r="B190" s="102"/>
      <c r="C190" s="121">
        <v>24000</v>
      </c>
      <c r="D190" s="119"/>
      <c r="E190" s="119"/>
      <c r="F190" s="120">
        <f>C190+D190+E190</f>
        <v>24000</v>
      </c>
      <c r="G190" s="202"/>
      <c r="H190" s="203"/>
      <c r="I190" s="201">
        <f>F190+G190+H190</f>
        <v>24000</v>
      </c>
      <c r="J190" s="202"/>
      <c r="K190" s="7"/>
      <c r="L190" s="201">
        <f>I190+J190+K190</f>
        <v>24000</v>
      </c>
      <c r="M190" s="29"/>
      <c r="N190" s="7"/>
      <c r="O190" s="30">
        <f>L190+M190+N190</f>
        <v>24000</v>
      </c>
      <c r="P190" s="85"/>
      <c r="Q190" s="193">
        <f t="shared" si="45"/>
        <v>24000</v>
      </c>
    </row>
    <row r="191" spans="1:17" ht="12.75">
      <c r="A191" s="52" t="s">
        <v>67</v>
      </c>
      <c r="B191" s="106"/>
      <c r="C191" s="133">
        <f>C196+C193+C194+C195</f>
        <v>2000</v>
      </c>
      <c r="D191" s="134">
        <f>D196+D193+D194+D195</f>
        <v>202740</v>
      </c>
      <c r="E191" s="134">
        <f>E196+E193+E194+E195</f>
        <v>0</v>
      </c>
      <c r="F191" s="135">
        <f>F196+F194+F193+F195</f>
        <v>204740</v>
      </c>
      <c r="G191" s="218">
        <f aca="true" t="shared" si="59" ref="G191:Q191">G196+G194+G193+G195</f>
        <v>-2371.2799999999997</v>
      </c>
      <c r="H191" s="219">
        <f t="shared" si="59"/>
        <v>0</v>
      </c>
      <c r="I191" s="220">
        <f t="shared" si="59"/>
        <v>202368.72</v>
      </c>
      <c r="J191" s="218">
        <f t="shared" si="59"/>
        <v>0</v>
      </c>
      <c r="K191" s="134">
        <f t="shared" si="59"/>
        <v>0</v>
      </c>
      <c r="L191" s="220">
        <f t="shared" si="59"/>
        <v>202368.72</v>
      </c>
      <c r="M191" s="133">
        <f t="shared" si="59"/>
        <v>0</v>
      </c>
      <c r="N191" s="134">
        <f t="shared" si="59"/>
        <v>0</v>
      </c>
      <c r="O191" s="135">
        <f t="shared" si="59"/>
        <v>2368.7200000000003</v>
      </c>
      <c r="P191" s="133">
        <f t="shared" si="59"/>
        <v>0</v>
      </c>
      <c r="Q191" s="135">
        <f t="shared" si="59"/>
        <v>2368.7200000000003</v>
      </c>
    </row>
    <row r="192" spans="1:17" ht="12.75">
      <c r="A192" s="43" t="s">
        <v>33</v>
      </c>
      <c r="B192" s="102"/>
      <c r="C192" s="122"/>
      <c r="D192" s="123"/>
      <c r="E192" s="123"/>
      <c r="F192" s="124"/>
      <c r="G192" s="206"/>
      <c r="H192" s="207"/>
      <c r="I192" s="208"/>
      <c r="J192" s="206"/>
      <c r="K192" s="8"/>
      <c r="L192" s="208"/>
      <c r="M192" s="31"/>
      <c r="N192" s="8"/>
      <c r="O192" s="32"/>
      <c r="P192" s="85"/>
      <c r="Q192" s="193"/>
    </row>
    <row r="193" spans="1:17" ht="12.75" hidden="1">
      <c r="A193" s="45" t="s">
        <v>192</v>
      </c>
      <c r="B193" s="102">
        <v>98861</v>
      </c>
      <c r="C193" s="121"/>
      <c r="D193" s="119"/>
      <c r="E193" s="119"/>
      <c r="F193" s="120">
        <f>C193+D193+E193</f>
        <v>0</v>
      </c>
      <c r="G193" s="206"/>
      <c r="H193" s="207"/>
      <c r="I193" s="201"/>
      <c r="J193" s="206"/>
      <c r="K193" s="8"/>
      <c r="L193" s="201"/>
      <c r="M193" s="31"/>
      <c r="N193" s="8"/>
      <c r="O193" s="30">
        <f>L193+M193+N193</f>
        <v>0</v>
      </c>
      <c r="P193" s="85"/>
      <c r="Q193" s="193">
        <f t="shared" si="45"/>
        <v>0</v>
      </c>
    </row>
    <row r="194" spans="1:17" ht="12.75" hidden="1">
      <c r="A194" s="45" t="s">
        <v>274</v>
      </c>
      <c r="B194" s="102">
        <v>7938</v>
      </c>
      <c r="C194" s="121"/>
      <c r="D194" s="119"/>
      <c r="E194" s="119"/>
      <c r="F194" s="120">
        <f>C194+D194+E194</f>
        <v>0</v>
      </c>
      <c r="G194" s="206"/>
      <c r="H194" s="207"/>
      <c r="I194" s="201"/>
      <c r="J194" s="206"/>
      <c r="K194" s="8"/>
      <c r="L194" s="201"/>
      <c r="M194" s="31"/>
      <c r="N194" s="8"/>
      <c r="O194" s="30"/>
      <c r="P194" s="85"/>
      <c r="Q194" s="193"/>
    </row>
    <row r="195" spans="1:17" ht="12.75">
      <c r="A195" s="45" t="s">
        <v>324</v>
      </c>
      <c r="B195" s="102"/>
      <c r="C195" s="121"/>
      <c r="D195" s="119">
        <v>200000</v>
      </c>
      <c r="E195" s="119"/>
      <c r="F195" s="120">
        <f>C195+D195+E195</f>
        <v>200000</v>
      </c>
      <c r="G195" s="206"/>
      <c r="H195" s="207"/>
      <c r="I195" s="201">
        <f>F195+G195+H195</f>
        <v>200000</v>
      </c>
      <c r="J195" s="206"/>
      <c r="K195" s="8"/>
      <c r="L195" s="201">
        <f>I195+J195+K195</f>
        <v>200000</v>
      </c>
      <c r="M195" s="31"/>
      <c r="N195" s="8"/>
      <c r="O195" s="30"/>
      <c r="P195" s="85"/>
      <c r="Q195" s="193"/>
    </row>
    <row r="196" spans="1:17" ht="12.75">
      <c r="A196" s="56" t="s">
        <v>68</v>
      </c>
      <c r="B196" s="105"/>
      <c r="C196" s="131">
        <v>2000</v>
      </c>
      <c r="D196" s="132">
        <f>1740+1000</f>
        <v>2740</v>
      </c>
      <c r="E196" s="132"/>
      <c r="F196" s="169">
        <f>C196+D196+E196</f>
        <v>4740</v>
      </c>
      <c r="G196" s="215">
        <f>-1571.28-800</f>
        <v>-2371.2799999999997</v>
      </c>
      <c r="H196" s="216"/>
      <c r="I196" s="217">
        <f>F196+G196+H196</f>
        <v>2368.7200000000003</v>
      </c>
      <c r="J196" s="215"/>
      <c r="K196" s="10"/>
      <c r="L196" s="217">
        <f>I196+J196+K196</f>
        <v>2368.7200000000003</v>
      </c>
      <c r="M196" s="33"/>
      <c r="N196" s="10"/>
      <c r="O196" s="34">
        <f>L196+M196+N196</f>
        <v>2368.7200000000003</v>
      </c>
      <c r="P196" s="90"/>
      <c r="Q196" s="194">
        <f t="shared" si="45"/>
        <v>2368.7200000000003</v>
      </c>
    </row>
    <row r="197" spans="1:17" ht="12.75">
      <c r="A197" s="42" t="s">
        <v>200</v>
      </c>
      <c r="B197" s="106"/>
      <c r="C197" s="116">
        <f aca="true" t="shared" si="60" ref="C197:Q197">C198+C214</f>
        <v>3709.3</v>
      </c>
      <c r="D197" s="117">
        <f t="shared" si="60"/>
        <v>116839.69999999998</v>
      </c>
      <c r="E197" s="117">
        <f t="shared" si="60"/>
        <v>0</v>
      </c>
      <c r="F197" s="118">
        <f t="shared" si="60"/>
        <v>120548.99999999999</v>
      </c>
      <c r="G197" s="198">
        <f t="shared" si="60"/>
        <v>45990.91</v>
      </c>
      <c r="H197" s="199">
        <f t="shared" si="60"/>
        <v>0</v>
      </c>
      <c r="I197" s="200">
        <f t="shared" si="60"/>
        <v>166539.91</v>
      </c>
      <c r="J197" s="198">
        <f t="shared" si="60"/>
        <v>104459.58</v>
      </c>
      <c r="K197" s="117">
        <f t="shared" si="60"/>
        <v>0</v>
      </c>
      <c r="L197" s="200">
        <f t="shared" si="60"/>
        <v>270999.49</v>
      </c>
      <c r="M197" s="116">
        <f t="shared" si="60"/>
        <v>0</v>
      </c>
      <c r="N197" s="117">
        <f t="shared" si="60"/>
        <v>0</v>
      </c>
      <c r="O197" s="118">
        <f t="shared" si="60"/>
        <v>48217.1</v>
      </c>
      <c r="P197" s="116">
        <f t="shared" si="60"/>
        <v>0</v>
      </c>
      <c r="Q197" s="118">
        <f t="shared" si="60"/>
        <v>48217.1</v>
      </c>
    </row>
    <row r="198" spans="1:17" ht="12.75">
      <c r="A198" s="51" t="s">
        <v>62</v>
      </c>
      <c r="B198" s="106"/>
      <c r="C198" s="128">
        <f aca="true" t="shared" si="61" ref="C198:Q198">SUM(C200:C213)</f>
        <v>3709.3</v>
      </c>
      <c r="D198" s="129">
        <f t="shared" si="61"/>
        <v>20237.68</v>
      </c>
      <c r="E198" s="129">
        <f t="shared" si="61"/>
        <v>0</v>
      </c>
      <c r="F198" s="130">
        <f t="shared" si="61"/>
        <v>23946.979999999996</v>
      </c>
      <c r="G198" s="212">
        <f t="shared" si="61"/>
        <v>2924.0099999999998</v>
      </c>
      <c r="H198" s="213">
        <f t="shared" si="61"/>
        <v>0</v>
      </c>
      <c r="I198" s="214">
        <f t="shared" si="61"/>
        <v>26870.989999999998</v>
      </c>
      <c r="J198" s="212">
        <f t="shared" si="61"/>
        <v>7809.09</v>
      </c>
      <c r="K198" s="129">
        <f t="shared" si="61"/>
        <v>0</v>
      </c>
      <c r="L198" s="214">
        <f t="shared" si="61"/>
        <v>34680.08</v>
      </c>
      <c r="M198" s="128">
        <f t="shared" si="61"/>
        <v>0</v>
      </c>
      <c r="N198" s="129">
        <f t="shared" si="61"/>
        <v>0</v>
      </c>
      <c r="O198" s="130">
        <f t="shared" si="61"/>
        <v>5292.75</v>
      </c>
      <c r="P198" s="128">
        <f t="shared" si="61"/>
        <v>0</v>
      </c>
      <c r="Q198" s="130">
        <f t="shared" si="61"/>
        <v>5292.75</v>
      </c>
    </row>
    <row r="199" spans="1:17" ht="12.75">
      <c r="A199" s="43" t="s">
        <v>33</v>
      </c>
      <c r="B199" s="102"/>
      <c r="C199" s="122"/>
      <c r="D199" s="123"/>
      <c r="E199" s="123"/>
      <c r="F199" s="124"/>
      <c r="G199" s="206"/>
      <c r="H199" s="207"/>
      <c r="I199" s="208"/>
      <c r="J199" s="206"/>
      <c r="K199" s="8"/>
      <c r="L199" s="208"/>
      <c r="M199" s="31"/>
      <c r="N199" s="8"/>
      <c r="O199" s="32"/>
      <c r="P199" s="85"/>
      <c r="Q199" s="193"/>
    </row>
    <row r="200" spans="1:17" ht="12.75">
      <c r="A200" s="45" t="s">
        <v>64</v>
      </c>
      <c r="B200" s="102"/>
      <c r="C200" s="121">
        <v>1830.7</v>
      </c>
      <c r="D200" s="119"/>
      <c r="E200" s="119"/>
      <c r="F200" s="120">
        <f aca="true" t="shared" si="62" ref="F200:F213">C200+D200+E200</f>
        <v>1830.7</v>
      </c>
      <c r="G200" s="202"/>
      <c r="H200" s="203"/>
      <c r="I200" s="201">
        <f>F200+G200+H200</f>
        <v>1830.7</v>
      </c>
      <c r="J200" s="222"/>
      <c r="K200" s="7"/>
      <c r="L200" s="201">
        <f>I200+J200+K200</f>
        <v>1830.7</v>
      </c>
      <c r="M200" s="40"/>
      <c r="N200" s="7"/>
      <c r="O200" s="30">
        <f>L200+M200+N200</f>
        <v>1830.7</v>
      </c>
      <c r="P200" s="85"/>
      <c r="Q200" s="193">
        <f t="shared" si="45"/>
        <v>1830.7</v>
      </c>
    </row>
    <row r="201" spans="1:17" ht="12.75" hidden="1">
      <c r="A201" s="54" t="s">
        <v>217</v>
      </c>
      <c r="B201" s="102">
        <v>2035</v>
      </c>
      <c r="C201" s="121"/>
      <c r="D201" s="119"/>
      <c r="E201" s="119"/>
      <c r="F201" s="120">
        <f t="shared" si="62"/>
        <v>0</v>
      </c>
      <c r="G201" s="202"/>
      <c r="H201" s="203"/>
      <c r="I201" s="201">
        <f>F201+G201+H201</f>
        <v>0</v>
      </c>
      <c r="J201" s="202"/>
      <c r="K201" s="7"/>
      <c r="L201" s="201">
        <f>I201+J201+K201</f>
        <v>0</v>
      </c>
      <c r="M201" s="29"/>
      <c r="N201" s="7"/>
      <c r="O201" s="30">
        <f>L201+M201+N201</f>
        <v>0</v>
      </c>
      <c r="P201" s="85"/>
      <c r="Q201" s="193">
        <f t="shared" si="45"/>
        <v>0</v>
      </c>
    </row>
    <row r="202" spans="1:17" ht="12.75" hidden="1">
      <c r="A202" s="103" t="s">
        <v>292</v>
      </c>
      <c r="B202" s="102">
        <v>2021</v>
      </c>
      <c r="C202" s="121"/>
      <c r="D202" s="119"/>
      <c r="E202" s="119"/>
      <c r="F202" s="120">
        <f t="shared" si="62"/>
        <v>0</v>
      </c>
      <c r="G202" s="202"/>
      <c r="H202" s="203"/>
      <c r="I202" s="201">
        <f>F202+G202+H202</f>
        <v>0</v>
      </c>
      <c r="J202" s="202"/>
      <c r="K202" s="7"/>
      <c r="L202" s="201">
        <f>I202+J202+K202</f>
        <v>0</v>
      </c>
      <c r="M202" s="29"/>
      <c r="N202" s="7"/>
      <c r="O202" s="30">
        <f>L202+M202+N202</f>
        <v>0</v>
      </c>
      <c r="P202" s="85"/>
      <c r="Q202" s="193">
        <f t="shared" si="45"/>
        <v>0</v>
      </c>
    </row>
    <row r="203" spans="1:17" ht="12.75" hidden="1">
      <c r="A203" s="103" t="s">
        <v>293</v>
      </c>
      <c r="B203" s="102">
        <v>2022</v>
      </c>
      <c r="C203" s="121"/>
      <c r="D203" s="119"/>
      <c r="E203" s="119"/>
      <c r="F203" s="120">
        <f t="shared" si="62"/>
        <v>0</v>
      </c>
      <c r="G203" s="202"/>
      <c r="H203" s="203"/>
      <c r="I203" s="201">
        <f>F203+G203+H203</f>
        <v>0</v>
      </c>
      <c r="J203" s="202"/>
      <c r="K203" s="7"/>
      <c r="L203" s="201">
        <f>I203+J203+K203</f>
        <v>0</v>
      </c>
      <c r="M203" s="29"/>
      <c r="N203" s="7"/>
      <c r="O203" s="30">
        <f>L203+M203+N203</f>
        <v>0</v>
      </c>
      <c r="P203" s="85"/>
      <c r="Q203" s="193">
        <f t="shared" si="45"/>
        <v>0</v>
      </c>
    </row>
    <row r="204" spans="1:17" ht="12.75" hidden="1">
      <c r="A204" s="103" t="s">
        <v>294</v>
      </c>
      <c r="B204" s="102">
        <v>2023</v>
      </c>
      <c r="C204" s="121"/>
      <c r="D204" s="119"/>
      <c r="E204" s="119"/>
      <c r="F204" s="120">
        <f t="shared" si="62"/>
        <v>0</v>
      </c>
      <c r="G204" s="202"/>
      <c r="H204" s="203"/>
      <c r="I204" s="201"/>
      <c r="J204" s="202"/>
      <c r="K204" s="7"/>
      <c r="L204" s="201"/>
      <c r="M204" s="29"/>
      <c r="N204" s="7"/>
      <c r="O204" s="30"/>
      <c r="P204" s="85"/>
      <c r="Q204" s="193"/>
    </row>
    <row r="205" spans="1:17" ht="12.75">
      <c r="A205" s="103" t="s">
        <v>320</v>
      </c>
      <c r="B205" s="102">
        <v>2042</v>
      </c>
      <c r="C205" s="121"/>
      <c r="D205" s="119">
        <f>3462.05</f>
        <v>3462.05</v>
      </c>
      <c r="E205" s="119"/>
      <c r="F205" s="120">
        <f t="shared" si="62"/>
        <v>3462.05</v>
      </c>
      <c r="G205" s="202"/>
      <c r="H205" s="203"/>
      <c r="I205" s="201">
        <f>F205+G205+H205</f>
        <v>3462.05</v>
      </c>
      <c r="J205" s="202"/>
      <c r="K205" s="7"/>
      <c r="L205" s="201">
        <f>I205+J205+K205</f>
        <v>3462.05</v>
      </c>
      <c r="M205" s="29"/>
      <c r="N205" s="7"/>
      <c r="O205" s="30">
        <f>L205+M205+N205</f>
        <v>3462.05</v>
      </c>
      <c r="P205" s="85"/>
      <c r="Q205" s="193">
        <f t="shared" si="45"/>
        <v>3462.05</v>
      </c>
    </row>
    <row r="206" spans="1:17" ht="12.75">
      <c r="A206" s="103" t="s">
        <v>321</v>
      </c>
      <c r="B206" s="102">
        <v>2054</v>
      </c>
      <c r="C206" s="121"/>
      <c r="D206" s="119">
        <v>28.65</v>
      </c>
      <c r="E206" s="119"/>
      <c r="F206" s="120">
        <f t="shared" si="62"/>
        <v>28.65</v>
      </c>
      <c r="G206" s="202"/>
      <c r="H206" s="203"/>
      <c r="I206" s="201">
        <f aca="true" t="shared" si="63" ref="I206:I213">F206+G206+H206</f>
        <v>28.65</v>
      </c>
      <c r="J206" s="202"/>
      <c r="K206" s="7"/>
      <c r="L206" s="201">
        <f aca="true" t="shared" si="64" ref="L206:L213">I206+J206+K206</f>
        <v>28.65</v>
      </c>
      <c r="M206" s="29"/>
      <c r="N206" s="7"/>
      <c r="O206" s="30"/>
      <c r="P206" s="85"/>
      <c r="Q206" s="193"/>
    </row>
    <row r="207" spans="1:17" ht="12.75">
      <c r="A207" s="103" t="s">
        <v>328</v>
      </c>
      <c r="B207" s="102"/>
      <c r="C207" s="121"/>
      <c r="D207" s="119"/>
      <c r="E207" s="119"/>
      <c r="F207" s="120">
        <f t="shared" si="62"/>
        <v>0</v>
      </c>
      <c r="G207" s="202">
        <f>2066.37</f>
        <v>2066.37</v>
      </c>
      <c r="H207" s="203"/>
      <c r="I207" s="201">
        <f t="shared" si="63"/>
        <v>2066.37</v>
      </c>
      <c r="J207" s="202"/>
      <c r="K207" s="7"/>
      <c r="L207" s="201">
        <f t="shared" si="64"/>
        <v>2066.37</v>
      </c>
      <c r="M207" s="29"/>
      <c r="N207" s="7"/>
      <c r="O207" s="30"/>
      <c r="P207" s="85"/>
      <c r="Q207" s="193"/>
    </row>
    <row r="208" spans="1:17" ht="12.75">
      <c r="A208" s="103" t="s">
        <v>318</v>
      </c>
      <c r="B208" s="102">
        <v>2045</v>
      </c>
      <c r="C208" s="121"/>
      <c r="D208" s="119">
        <f>5144.59</f>
        <v>5144.59</v>
      </c>
      <c r="E208" s="119"/>
      <c r="F208" s="120">
        <f t="shared" si="62"/>
        <v>5144.59</v>
      </c>
      <c r="G208" s="202"/>
      <c r="H208" s="203"/>
      <c r="I208" s="201">
        <f t="shared" si="63"/>
        <v>5144.59</v>
      </c>
      <c r="J208" s="202"/>
      <c r="K208" s="7"/>
      <c r="L208" s="201">
        <f t="shared" si="64"/>
        <v>5144.59</v>
      </c>
      <c r="M208" s="29"/>
      <c r="N208" s="7"/>
      <c r="O208" s="30"/>
      <c r="P208" s="85"/>
      <c r="Q208" s="193"/>
    </row>
    <row r="209" spans="1:17" ht="12.75">
      <c r="A209" s="103" t="s">
        <v>325</v>
      </c>
      <c r="B209" s="102"/>
      <c r="C209" s="121"/>
      <c r="D209" s="119">
        <v>2252.06</v>
      </c>
      <c r="E209" s="119"/>
      <c r="F209" s="120">
        <f t="shared" si="62"/>
        <v>2252.06</v>
      </c>
      <c r="G209" s="202"/>
      <c r="H209" s="203"/>
      <c r="I209" s="201">
        <f t="shared" si="63"/>
        <v>2252.06</v>
      </c>
      <c r="J209" s="202"/>
      <c r="K209" s="7"/>
      <c r="L209" s="201">
        <f t="shared" si="64"/>
        <v>2252.06</v>
      </c>
      <c r="M209" s="29"/>
      <c r="N209" s="7"/>
      <c r="O209" s="30"/>
      <c r="P209" s="85"/>
      <c r="Q209" s="193"/>
    </row>
    <row r="210" spans="1:17" ht="12.75">
      <c r="A210" s="103" t="s">
        <v>340</v>
      </c>
      <c r="B210" s="102">
        <v>2057</v>
      </c>
      <c r="C210" s="121"/>
      <c r="D210" s="119">
        <v>931.4</v>
      </c>
      <c r="E210" s="119"/>
      <c r="F210" s="120">
        <f t="shared" si="62"/>
        <v>931.4</v>
      </c>
      <c r="G210" s="202"/>
      <c r="H210" s="203"/>
      <c r="I210" s="201">
        <f t="shared" si="63"/>
        <v>931.4</v>
      </c>
      <c r="J210" s="202"/>
      <c r="K210" s="7"/>
      <c r="L210" s="201">
        <f t="shared" si="64"/>
        <v>931.4</v>
      </c>
      <c r="M210" s="29"/>
      <c r="N210" s="7"/>
      <c r="O210" s="30"/>
      <c r="P210" s="85"/>
      <c r="Q210" s="193"/>
    </row>
    <row r="211" spans="1:17" ht="12.75">
      <c r="A211" s="103" t="s">
        <v>265</v>
      </c>
      <c r="B211" s="102">
        <v>2057</v>
      </c>
      <c r="C211" s="121"/>
      <c r="D211" s="119">
        <f>2135.38</f>
        <v>2135.38</v>
      </c>
      <c r="E211" s="119"/>
      <c r="F211" s="120">
        <f t="shared" si="62"/>
        <v>2135.38</v>
      </c>
      <c r="G211" s="202">
        <f>857.64</f>
        <v>857.64</v>
      </c>
      <c r="H211" s="203"/>
      <c r="I211" s="201">
        <f t="shared" si="63"/>
        <v>2993.02</v>
      </c>
      <c r="J211" s="202">
        <f>3399.51</f>
        <v>3399.51</v>
      </c>
      <c r="K211" s="7"/>
      <c r="L211" s="201">
        <f t="shared" si="64"/>
        <v>6392.530000000001</v>
      </c>
      <c r="M211" s="29"/>
      <c r="N211" s="7"/>
      <c r="O211" s="30"/>
      <c r="P211" s="85"/>
      <c r="Q211" s="193"/>
    </row>
    <row r="212" spans="1:17" ht="12.75">
      <c r="A212" s="103" t="s">
        <v>357</v>
      </c>
      <c r="B212" s="102"/>
      <c r="C212" s="121"/>
      <c r="D212" s="119"/>
      <c r="E212" s="119"/>
      <c r="F212" s="120"/>
      <c r="G212" s="202"/>
      <c r="H212" s="203"/>
      <c r="I212" s="201">
        <f t="shared" si="63"/>
        <v>0</v>
      </c>
      <c r="J212" s="202">
        <f>3759.58</f>
        <v>3759.58</v>
      </c>
      <c r="K212" s="7"/>
      <c r="L212" s="201">
        <f t="shared" si="64"/>
        <v>3759.58</v>
      </c>
      <c r="M212" s="29"/>
      <c r="N212" s="7"/>
      <c r="O212" s="30"/>
      <c r="P212" s="85"/>
      <c r="Q212" s="193"/>
    </row>
    <row r="213" spans="1:17" ht="12.75">
      <c r="A213" s="45" t="s">
        <v>91</v>
      </c>
      <c r="B213" s="102"/>
      <c r="C213" s="121">
        <v>1878.6</v>
      </c>
      <c r="D213" s="119">
        <f>250+850+180.5+2679.5+300+345+653.28+584.31+440.96</f>
        <v>6283.55</v>
      </c>
      <c r="E213" s="119"/>
      <c r="F213" s="120">
        <f t="shared" si="62"/>
        <v>8162.15</v>
      </c>
      <c r="G213" s="202"/>
      <c r="H213" s="203"/>
      <c r="I213" s="201">
        <f t="shared" si="63"/>
        <v>8162.15</v>
      </c>
      <c r="J213" s="202">
        <f>155+265+230</f>
        <v>650</v>
      </c>
      <c r="K213" s="7"/>
      <c r="L213" s="201">
        <f t="shared" si="64"/>
        <v>8812.15</v>
      </c>
      <c r="M213" s="29"/>
      <c r="N213" s="7"/>
      <c r="O213" s="30"/>
      <c r="P213" s="85"/>
      <c r="Q213" s="193"/>
    </row>
    <row r="214" spans="1:17" ht="12.75">
      <c r="A214" s="52" t="s">
        <v>67</v>
      </c>
      <c r="B214" s="106"/>
      <c r="C214" s="133">
        <f>SUM(C216:C220)</f>
        <v>0</v>
      </c>
      <c r="D214" s="134">
        <f>SUM(D216:D220)</f>
        <v>96602.01999999999</v>
      </c>
      <c r="E214" s="134">
        <f>SUM(E216:E220)</f>
        <v>0</v>
      </c>
      <c r="F214" s="135">
        <f>SUM(F216:F220)</f>
        <v>96602.01999999999</v>
      </c>
      <c r="G214" s="218">
        <f aca="true" t="shared" si="65" ref="G214:Q214">SUM(G216:G220)</f>
        <v>43066.9</v>
      </c>
      <c r="H214" s="219">
        <f t="shared" si="65"/>
        <v>0</v>
      </c>
      <c r="I214" s="220">
        <f t="shared" si="65"/>
        <v>139668.92</v>
      </c>
      <c r="J214" s="218">
        <f t="shared" si="65"/>
        <v>96650.49</v>
      </c>
      <c r="K214" s="134">
        <f t="shared" si="65"/>
        <v>0</v>
      </c>
      <c r="L214" s="220">
        <f t="shared" si="65"/>
        <v>236319.41</v>
      </c>
      <c r="M214" s="133">
        <f t="shared" si="65"/>
        <v>0</v>
      </c>
      <c r="N214" s="134">
        <f t="shared" si="65"/>
        <v>0</v>
      </c>
      <c r="O214" s="135">
        <f t="shared" si="65"/>
        <v>42924.35</v>
      </c>
      <c r="P214" s="133">
        <f t="shared" si="65"/>
        <v>0</v>
      </c>
      <c r="Q214" s="135">
        <f t="shared" si="65"/>
        <v>42924.35</v>
      </c>
    </row>
    <row r="215" spans="1:17" ht="12.75">
      <c r="A215" s="54" t="s">
        <v>33</v>
      </c>
      <c r="B215" s="102"/>
      <c r="C215" s="121"/>
      <c r="D215" s="119"/>
      <c r="E215" s="119"/>
      <c r="F215" s="120"/>
      <c r="G215" s="202"/>
      <c r="H215" s="203"/>
      <c r="I215" s="201"/>
      <c r="J215" s="202"/>
      <c r="K215" s="7"/>
      <c r="L215" s="201"/>
      <c r="M215" s="29"/>
      <c r="N215" s="7"/>
      <c r="O215" s="30"/>
      <c r="P215" s="85"/>
      <c r="Q215" s="193"/>
    </row>
    <row r="216" spans="1:17" ht="12.75">
      <c r="A216" s="103" t="s">
        <v>340</v>
      </c>
      <c r="B216" s="102">
        <v>2057</v>
      </c>
      <c r="C216" s="121"/>
      <c r="D216" s="119">
        <v>42924.35</v>
      </c>
      <c r="E216" s="119"/>
      <c r="F216" s="120">
        <f>C216+D216+E216</f>
        <v>42924.35</v>
      </c>
      <c r="G216" s="202"/>
      <c r="H216" s="203"/>
      <c r="I216" s="201">
        <f>F216+G216+H216</f>
        <v>42924.35</v>
      </c>
      <c r="J216" s="202"/>
      <c r="K216" s="7"/>
      <c r="L216" s="201">
        <f>I216+J216+K216</f>
        <v>42924.35</v>
      </c>
      <c r="M216" s="29"/>
      <c r="N216" s="7"/>
      <c r="O216" s="30">
        <f>L216+M216+N216</f>
        <v>42924.35</v>
      </c>
      <c r="P216" s="85"/>
      <c r="Q216" s="193">
        <f aca="true" t="shared" si="66" ref="Q216:Q264">O216+P216</f>
        <v>42924.35</v>
      </c>
    </row>
    <row r="217" spans="1:17" ht="12.75">
      <c r="A217" s="188" t="s">
        <v>265</v>
      </c>
      <c r="B217" s="105">
        <v>2057</v>
      </c>
      <c r="C217" s="131"/>
      <c r="D217" s="132">
        <f>53677.67</f>
        <v>53677.67</v>
      </c>
      <c r="E217" s="132"/>
      <c r="F217" s="169">
        <f>C217+D217+E217</f>
        <v>53677.67</v>
      </c>
      <c r="G217" s="215">
        <f>43066.9</f>
        <v>43066.9</v>
      </c>
      <c r="H217" s="216"/>
      <c r="I217" s="217">
        <f>F217+G217+H217</f>
        <v>96744.57</v>
      </c>
      <c r="J217" s="215">
        <f>96650.49</f>
        <v>96650.49</v>
      </c>
      <c r="K217" s="10"/>
      <c r="L217" s="217">
        <f>I217+J217+K217</f>
        <v>193395.06</v>
      </c>
      <c r="M217" s="33"/>
      <c r="N217" s="10"/>
      <c r="O217" s="34"/>
      <c r="P217" s="90"/>
      <c r="Q217" s="194"/>
    </row>
    <row r="218" spans="1:17" ht="12.75" hidden="1">
      <c r="A218" s="45" t="s">
        <v>80</v>
      </c>
      <c r="B218" s="102"/>
      <c r="C218" s="121"/>
      <c r="D218" s="119"/>
      <c r="E218" s="119"/>
      <c r="F218" s="120">
        <f>C218+D218+E218</f>
        <v>0</v>
      </c>
      <c r="G218" s="202"/>
      <c r="H218" s="203"/>
      <c r="I218" s="201">
        <f>F218+G218+H218</f>
        <v>0</v>
      </c>
      <c r="J218" s="202"/>
      <c r="K218" s="7"/>
      <c r="L218" s="201">
        <f>I218+J218+K218</f>
        <v>0</v>
      </c>
      <c r="M218" s="29"/>
      <c r="N218" s="7"/>
      <c r="O218" s="30">
        <f>L218+M218+N218</f>
        <v>0</v>
      </c>
      <c r="P218" s="85"/>
      <c r="Q218" s="193">
        <f t="shared" si="66"/>
        <v>0</v>
      </c>
    </row>
    <row r="219" spans="1:17" ht="12.75" hidden="1">
      <c r="A219" s="48" t="s">
        <v>68</v>
      </c>
      <c r="B219" s="105"/>
      <c r="C219" s="131"/>
      <c r="D219" s="132"/>
      <c r="E219" s="132"/>
      <c r="F219" s="169">
        <f>C219+D219+E219</f>
        <v>0</v>
      </c>
      <c r="G219" s="202"/>
      <c r="H219" s="203"/>
      <c r="I219" s="201">
        <f>F219+G219+H219</f>
        <v>0</v>
      </c>
      <c r="J219" s="202"/>
      <c r="K219" s="7"/>
      <c r="L219" s="201">
        <f>I219+J219+K219</f>
        <v>0</v>
      </c>
      <c r="M219" s="29"/>
      <c r="N219" s="7"/>
      <c r="O219" s="30">
        <f>L219+M219+N219</f>
        <v>0</v>
      </c>
      <c r="P219" s="85"/>
      <c r="Q219" s="193">
        <f t="shared" si="66"/>
        <v>0</v>
      </c>
    </row>
    <row r="220" spans="1:17" ht="12.75" hidden="1">
      <c r="A220" s="48" t="s">
        <v>91</v>
      </c>
      <c r="B220" s="105"/>
      <c r="C220" s="131"/>
      <c r="D220" s="132"/>
      <c r="E220" s="132"/>
      <c r="F220" s="169">
        <f>C220+D220+E220</f>
        <v>0</v>
      </c>
      <c r="G220" s="215"/>
      <c r="H220" s="216"/>
      <c r="I220" s="217">
        <f>F220+G220+H220</f>
        <v>0</v>
      </c>
      <c r="J220" s="215"/>
      <c r="K220" s="10"/>
      <c r="L220" s="217">
        <f>I220+J220+K220</f>
        <v>0</v>
      </c>
      <c r="M220" s="33"/>
      <c r="N220" s="10"/>
      <c r="O220" s="34">
        <f>L220+M220+N220</f>
        <v>0</v>
      </c>
      <c r="P220" s="90"/>
      <c r="Q220" s="194">
        <f t="shared" si="66"/>
        <v>0</v>
      </c>
    </row>
    <row r="221" spans="1:17" ht="12.75">
      <c r="A221" s="42" t="s">
        <v>96</v>
      </c>
      <c r="B221" s="106"/>
      <c r="C221" s="116">
        <f aca="true" t="shared" si="67" ref="C221:Q221">C222+C258</f>
        <v>353164.7</v>
      </c>
      <c r="D221" s="117">
        <f t="shared" si="67"/>
        <v>5181401.79</v>
      </c>
      <c r="E221" s="117">
        <f t="shared" si="67"/>
        <v>0</v>
      </c>
      <c r="F221" s="118">
        <f t="shared" si="67"/>
        <v>5534566.49</v>
      </c>
      <c r="G221" s="198">
        <f t="shared" si="67"/>
        <v>85101.55</v>
      </c>
      <c r="H221" s="199">
        <f t="shared" si="67"/>
        <v>0</v>
      </c>
      <c r="I221" s="200">
        <f t="shared" si="67"/>
        <v>5619668.040000001</v>
      </c>
      <c r="J221" s="198">
        <f t="shared" si="67"/>
        <v>124479.60999999999</v>
      </c>
      <c r="K221" s="117">
        <f t="shared" si="67"/>
        <v>0</v>
      </c>
      <c r="L221" s="200">
        <f t="shared" si="67"/>
        <v>5744147.650000001</v>
      </c>
      <c r="M221" s="116">
        <f t="shared" si="67"/>
        <v>0</v>
      </c>
      <c r="N221" s="117">
        <f t="shared" si="67"/>
        <v>0</v>
      </c>
      <c r="O221" s="118">
        <f t="shared" si="67"/>
        <v>5687979.130000001</v>
      </c>
      <c r="P221" s="116">
        <f t="shared" si="67"/>
        <v>0</v>
      </c>
      <c r="Q221" s="118">
        <f t="shared" si="67"/>
        <v>5687979.130000001</v>
      </c>
    </row>
    <row r="222" spans="1:17" ht="12.75">
      <c r="A222" s="51" t="s">
        <v>62</v>
      </c>
      <c r="B222" s="106"/>
      <c r="C222" s="128">
        <f aca="true" t="shared" si="68" ref="C222:Q222">SUM(C224:C257)</f>
        <v>353164.7</v>
      </c>
      <c r="D222" s="129">
        <f t="shared" si="68"/>
        <v>5181269.49</v>
      </c>
      <c r="E222" s="129">
        <f t="shared" si="68"/>
        <v>0</v>
      </c>
      <c r="F222" s="130">
        <f t="shared" si="68"/>
        <v>5534434.19</v>
      </c>
      <c r="G222" s="212">
        <f t="shared" si="68"/>
        <v>84501.95</v>
      </c>
      <c r="H222" s="213">
        <f t="shared" si="68"/>
        <v>0</v>
      </c>
      <c r="I222" s="214">
        <f t="shared" si="68"/>
        <v>5618936.140000001</v>
      </c>
      <c r="J222" s="212">
        <f t="shared" si="68"/>
        <v>120415.20999999999</v>
      </c>
      <c r="K222" s="129">
        <f t="shared" si="68"/>
        <v>0</v>
      </c>
      <c r="L222" s="214">
        <f t="shared" si="68"/>
        <v>5739351.3500000015</v>
      </c>
      <c r="M222" s="128">
        <f t="shared" si="68"/>
        <v>0</v>
      </c>
      <c r="N222" s="129">
        <f t="shared" si="68"/>
        <v>0</v>
      </c>
      <c r="O222" s="130">
        <f t="shared" si="68"/>
        <v>5683182.830000001</v>
      </c>
      <c r="P222" s="128">
        <f t="shared" si="68"/>
        <v>0</v>
      </c>
      <c r="Q222" s="130">
        <f t="shared" si="68"/>
        <v>5683182.830000001</v>
      </c>
    </row>
    <row r="223" spans="1:17" ht="12.75">
      <c r="A223" s="43" t="s">
        <v>33</v>
      </c>
      <c r="B223" s="102"/>
      <c r="C223" s="121"/>
      <c r="D223" s="119"/>
      <c r="E223" s="119"/>
      <c r="F223" s="120"/>
      <c r="G223" s="202"/>
      <c r="H223" s="203"/>
      <c r="I223" s="201"/>
      <c r="J223" s="202"/>
      <c r="K223" s="7"/>
      <c r="L223" s="201"/>
      <c r="M223" s="29"/>
      <c r="N223" s="7"/>
      <c r="O223" s="30"/>
      <c r="P223" s="85"/>
      <c r="Q223" s="193"/>
    </row>
    <row r="224" spans="1:17" ht="12.75">
      <c r="A224" s="49" t="s">
        <v>88</v>
      </c>
      <c r="B224" s="102"/>
      <c r="C224" s="121">
        <v>324459.7</v>
      </c>
      <c r="D224" s="119">
        <f>1304+13289+1026+600</f>
        <v>16219</v>
      </c>
      <c r="E224" s="119"/>
      <c r="F224" s="120">
        <f aca="true" t="shared" si="69" ref="F224:F257">C224+D224+E224</f>
        <v>340678.7</v>
      </c>
      <c r="G224" s="202">
        <f>300+13650.7+179</f>
        <v>14129.7</v>
      </c>
      <c r="H224" s="203"/>
      <c r="I224" s="201">
        <f>F224+G224+H224</f>
        <v>354808.4</v>
      </c>
      <c r="J224" s="202">
        <f>868.7+233.5+6200.38+26.9</f>
        <v>7329.48</v>
      </c>
      <c r="K224" s="7"/>
      <c r="L224" s="201">
        <f>I224+J224+K224</f>
        <v>362137.88</v>
      </c>
      <c r="M224" s="29"/>
      <c r="N224" s="7"/>
      <c r="O224" s="30">
        <f>L224+M224+N224</f>
        <v>362137.88</v>
      </c>
      <c r="P224" s="85"/>
      <c r="Q224" s="193">
        <f t="shared" si="66"/>
        <v>362137.88</v>
      </c>
    </row>
    <row r="225" spans="1:17" ht="12.75">
      <c r="A225" s="49" t="s">
        <v>290</v>
      </c>
      <c r="B225" s="102"/>
      <c r="C225" s="121"/>
      <c r="D225" s="119"/>
      <c r="E225" s="119"/>
      <c r="F225" s="120"/>
      <c r="G225" s="202"/>
      <c r="H225" s="203"/>
      <c r="I225" s="201"/>
      <c r="J225" s="202"/>
      <c r="K225" s="7"/>
      <c r="L225" s="201"/>
      <c r="M225" s="29"/>
      <c r="N225" s="7"/>
      <c r="O225" s="30"/>
      <c r="P225" s="85"/>
      <c r="Q225" s="193"/>
    </row>
    <row r="226" spans="1:20" ht="12.75">
      <c r="A226" s="49" t="s">
        <v>97</v>
      </c>
      <c r="B226" s="102">
        <v>33353</v>
      </c>
      <c r="C226" s="121"/>
      <c r="D226" s="136">
        <v>1585037.69</v>
      </c>
      <c r="E226" s="119"/>
      <c r="F226" s="120">
        <f t="shared" si="69"/>
        <v>1585037.69</v>
      </c>
      <c r="G226" s="202">
        <f>761.86+4235.71</f>
        <v>4997.57</v>
      </c>
      <c r="H226" s="203"/>
      <c r="I226" s="201">
        <f aca="true" t="shared" si="70" ref="I226:I257">F226+G226+H226</f>
        <v>1590035.26</v>
      </c>
      <c r="J226" s="222">
        <f>2950.01+8-39.15</f>
        <v>2918.86</v>
      </c>
      <c r="K226" s="7"/>
      <c r="L226" s="201">
        <f aca="true" t="shared" si="71" ref="L226:L257">I226+J226+K226</f>
        <v>1592954.12</v>
      </c>
      <c r="M226" s="29"/>
      <c r="N226" s="7"/>
      <c r="O226" s="30">
        <f aca="true" t="shared" si="72" ref="O226:O257">L226+M226+N226</f>
        <v>1592954.12</v>
      </c>
      <c r="P226" s="85"/>
      <c r="Q226" s="193">
        <f t="shared" si="66"/>
        <v>1592954.12</v>
      </c>
      <c r="T226" s="177"/>
    </row>
    <row r="227" spans="1:17" ht="12.75">
      <c r="A227" s="49" t="s">
        <v>99</v>
      </c>
      <c r="B227" s="102">
        <v>33353</v>
      </c>
      <c r="C227" s="121"/>
      <c r="D227" s="119">
        <v>3460930.97</v>
      </c>
      <c r="E227" s="119"/>
      <c r="F227" s="120">
        <f t="shared" si="69"/>
        <v>3460930.97</v>
      </c>
      <c r="G227" s="202">
        <f>13827.51+3259.36</f>
        <v>17086.87</v>
      </c>
      <c r="H227" s="203"/>
      <c r="I227" s="201">
        <f t="shared" si="70"/>
        <v>3478017.8400000003</v>
      </c>
      <c r="J227" s="202">
        <f>7728.93+1608.06-182.46</f>
        <v>9154.53</v>
      </c>
      <c r="K227" s="7"/>
      <c r="L227" s="201">
        <f t="shared" si="71"/>
        <v>3487172.37</v>
      </c>
      <c r="M227" s="29"/>
      <c r="N227" s="7"/>
      <c r="O227" s="30">
        <f t="shared" si="72"/>
        <v>3487172.37</v>
      </c>
      <c r="P227" s="85"/>
      <c r="Q227" s="193">
        <f t="shared" si="66"/>
        <v>3487172.37</v>
      </c>
    </row>
    <row r="228" spans="1:17" ht="12.75">
      <c r="A228" s="49" t="s">
        <v>98</v>
      </c>
      <c r="B228" s="102">
        <v>33155</v>
      </c>
      <c r="C228" s="121"/>
      <c r="D228" s="136">
        <f>61775.7</f>
        <v>61775.7</v>
      </c>
      <c r="E228" s="119"/>
      <c r="F228" s="120">
        <f t="shared" si="69"/>
        <v>61775.7</v>
      </c>
      <c r="G228" s="202">
        <f>60538.18</f>
        <v>60538.18</v>
      </c>
      <c r="H228" s="203"/>
      <c r="I228" s="201">
        <f t="shared" si="70"/>
        <v>122313.88</v>
      </c>
      <c r="J228" s="202">
        <f>62368.6+2482</f>
        <v>64850.6</v>
      </c>
      <c r="K228" s="7"/>
      <c r="L228" s="201">
        <f t="shared" si="71"/>
        <v>187164.48</v>
      </c>
      <c r="M228" s="29"/>
      <c r="N228" s="7"/>
      <c r="O228" s="30">
        <f t="shared" si="72"/>
        <v>187164.48</v>
      </c>
      <c r="P228" s="85"/>
      <c r="Q228" s="193">
        <f t="shared" si="66"/>
        <v>187164.48</v>
      </c>
    </row>
    <row r="229" spans="1:17" ht="12.75">
      <c r="A229" s="49" t="s">
        <v>100</v>
      </c>
      <c r="B229" s="102" t="s">
        <v>271</v>
      </c>
      <c r="C229" s="121"/>
      <c r="D229" s="119"/>
      <c r="E229" s="119"/>
      <c r="F229" s="120">
        <f t="shared" si="69"/>
        <v>0</v>
      </c>
      <c r="G229" s="202">
        <f>215.47</f>
        <v>215.47</v>
      </c>
      <c r="H229" s="203"/>
      <c r="I229" s="201">
        <f t="shared" si="70"/>
        <v>215.47</v>
      </c>
      <c r="J229" s="202">
        <f>79.94</f>
        <v>79.94</v>
      </c>
      <c r="K229" s="7"/>
      <c r="L229" s="201">
        <f t="shared" si="71"/>
        <v>295.40999999999997</v>
      </c>
      <c r="M229" s="29"/>
      <c r="N229" s="7"/>
      <c r="O229" s="30">
        <f t="shared" si="72"/>
        <v>295.40999999999997</v>
      </c>
      <c r="P229" s="85"/>
      <c r="Q229" s="193">
        <f t="shared" si="66"/>
        <v>295.40999999999997</v>
      </c>
    </row>
    <row r="230" spans="1:17" ht="12.75" hidden="1">
      <c r="A230" s="49" t="s">
        <v>101</v>
      </c>
      <c r="B230" s="102"/>
      <c r="C230" s="121"/>
      <c r="D230" s="119"/>
      <c r="E230" s="119"/>
      <c r="F230" s="120">
        <f t="shared" si="69"/>
        <v>0</v>
      </c>
      <c r="G230" s="202"/>
      <c r="H230" s="203"/>
      <c r="I230" s="201">
        <f t="shared" si="70"/>
        <v>0</v>
      </c>
      <c r="J230" s="202"/>
      <c r="K230" s="7"/>
      <c r="L230" s="201">
        <f t="shared" si="71"/>
        <v>0</v>
      </c>
      <c r="M230" s="29"/>
      <c r="N230" s="7"/>
      <c r="O230" s="30">
        <f t="shared" si="72"/>
        <v>0</v>
      </c>
      <c r="P230" s="85"/>
      <c r="Q230" s="193">
        <f t="shared" si="66"/>
        <v>0</v>
      </c>
    </row>
    <row r="231" spans="1:17" ht="12.75" hidden="1">
      <c r="A231" s="49" t="s">
        <v>184</v>
      </c>
      <c r="B231" s="102"/>
      <c r="C231" s="121"/>
      <c r="D231" s="119"/>
      <c r="E231" s="119"/>
      <c r="F231" s="120">
        <f t="shared" si="69"/>
        <v>0</v>
      </c>
      <c r="G231" s="202"/>
      <c r="H231" s="203"/>
      <c r="I231" s="201">
        <f t="shared" si="70"/>
        <v>0</v>
      </c>
      <c r="J231" s="202"/>
      <c r="K231" s="7"/>
      <c r="L231" s="201">
        <f t="shared" si="71"/>
        <v>0</v>
      </c>
      <c r="M231" s="29"/>
      <c r="N231" s="7"/>
      <c r="O231" s="30">
        <f t="shared" si="72"/>
        <v>0</v>
      </c>
      <c r="P231" s="85"/>
      <c r="Q231" s="193">
        <f t="shared" si="66"/>
        <v>0</v>
      </c>
    </row>
    <row r="232" spans="1:17" ht="12.75" hidden="1">
      <c r="A232" s="49" t="s">
        <v>102</v>
      </c>
      <c r="B232" s="102"/>
      <c r="C232" s="121"/>
      <c r="D232" s="119"/>
      <c r="E232" s="119"/>
      <c r="F232" s="120">
        <f t="shared" si="69"/>
        <v>0</v>
      </c>
      <c r="G232" s="202"/>
      <c r="H232" s="203"/>
      <c r="I232" s="201">
        <f t="shared" si="70"/>
        <v>0</v>
      </c>
      <c r="J232" s="202"/>
      <c r="K232" s="7"/>
      <c r="L232" s="201">
        <f t="shared" si="71"/>
        <v>0</v>
      </c>
      <c r="M232" s="29"/>
      <c r="N232" s="7"/>
      <c r="O232" s="30">
        <f t="shared" si="72"/>
        <v>0</v>
      </c>
      <c r="P232" s="85"/>
      <c r="Q232" s="193">
        <f t="shared" si="66"/>
        <v>0</v>
      </c>
    </row>
    <row r="233" spans="1:17" ht="12.75" hidden="1">
      <c r="A233" s="49" t="s">
        <v>159</v>
      </c>
      <c r="B233" s="102"/>
      <c r="C233" s="121"/>
      <c r="D233" s="119"/>
      <c r="E233" s="119"/>
      <c r="F233" s="120">
        <f t="shared" si="69"/>
        <v>0</v>
      </c>
      <c r="G233" s="202"/>
      <c r="H233" s="203"/>
      <c r="I233" s="201">
        <f t="shared" si="70"/>
        <v>0</v>
      </c>
      <c r="J233" s="202"/>
      <c r="K233" s="7"/>
      <c r="L233" s="201">
        <f t="shared" si="71"/>
        <v>0</v>
      </c>
      <c r="M233" s="29"/>
      <c r="N233" s="7"/>
      <c r="O233" s="30">
        <f t="shared" si="72"/>
        <v>0</v>
      </c>
      <c r="P233" s="85"/>
      <c r="Q233" s="193">
        <f t="shared" si="66"/>
        <v>0</v>
      </c>
    </row>
    <row r="234" spans="1:17" ht="12.75">
      <c r="A234" s="49" t="s">
        <v>266</v>
      </c>
      <c r="B234" s="102">
        <v>33215</v>
      </c>
      <c r="C234" s="121"/>
      <c r="D234" s="119">
        <f>8587.89</f>
        <v>8587.89</v>
      </c>
      <c r="E234" s="119"/>
      <c r="F234" s="120">
        <f t="shared" si="69"/>
        <v>8587.89</v>
      </c>
      <c r="G234" s="202"/>
      <c r="H234" s="203"/>
      <c r="I234" s="201">
        <f t="shared" si="70"/>
        <v>8587.89</v>
      </c>
      <c r="J234" s="202">
        <f>-743.66</f>
        <v>-743.66</v>
      </c>
      <c r="K234" s="7"/>
      <c r="L234" s="201">
        <f t="shared" si="71"/>
        <v>7844.23</v>
      </c>
      <c r="M234" s="29"/>
      <c r="N234" s="7"/>
      <c r="O234" s="30">
        <f t="shared" si="72"/>
        <v>7844.23</v>
      </c>
      <c r="P234" s="85"/>
      <c r="Q234" s="193">
        <f t="shared" si="66"/>
        <v>7844.23</v>
      </c>
    </row>
    <row r="235" spans="1:17" ht="12.75">
      <c r="A235" s="49" t="s">
        <v>267</v>
      </c>
      <c r="B235" s="102">
        <v>33457</v>
      </c>
      <c r="C235" s="121"/>
      <c r="D235" s="119">
        <f>7762.19</f>
        <v>7762.19</v>
      </c>
      <c r="E235" s="119"/>
      <c r="F235" s="120">
        <f t="shared" si="69"/>
        <v>7762.19</v>
      </c>
      <c r="G235" s="202"/>
      <c r="H235" s="203"/>
      <c r="I235" s="201">
        <f t="shared" si="70"/>
        <v>7762.19</v>
      </c>
      <c r="J235" s="202"/>
      <c r="K235" s="7"/>
      <c r="L235" s="201">
        <f t="shared" si="71"/>
        <v>7762.19</v>
      </c>
      <c r="M235" s="29"/>
      <c r="N235" s="7"/>
      <c r="O235" s="30">
        <f t="shared" si="72"/>
        <v>7762.19</v>
      </c>
      <c r="P235" s="85"/>
      <c r="Q235" s="193">
        <f t="shared" si="66"/>
        <v>7762.19</v>
      </c>
    </row>
    <row r="236" spans="1:17" ht="12.75" hidden="1">
      <c r="A236" s="67" t="s">
        <v>242</v>
      </c>
      <c r="B236" s="102">
        <v>33052</v>
      </c>
      <c r="C236" s="121"/>
      <c r="D236" s="119"/>
      <c r="E236" s="119"/>
      <c r="F236" s="120">
        <f t="shared" si="69"/>
        <v>0</v>
      </c>
      <c r="G236" s="202"/>
      <c r="H236" s="203"/>
      <c r="I236" s="201">
        <f t="shared" si="70"/>
        <v>0</v>
      </c>
      <c r="J236" s="202"/>
      <c r="K236" s="7"/>
      <c r="L236" s="201">
        <f t="shared" si="71"/>
        <v>0</v>
      </c>
      <c r="M236" s="29"/>
      <c r="N236" s="7"/>
      <c r="O236" s="30">
        <f t="shared" si="72"/>
        <v>0</v>
      </c>
      <c r="P236" s="85"/>
      <c r="Q236" s="193">
        <f t="shared" si="66"/>
        <v>0</v>
      </c>
    </row>
    <row r="237" spans="1:17" ht="12.75">
      <c r="A237" s="67" t="s">
        <v>342</v>
      </c>
      <c r="B237" s="102">
        <v>33073</v>
      </c>
      <c r="C237" s="121"/>
      <c r="D237" s="119"/>
      <c r="E237" s="119"/>
      <c r="F237" s="120"/>
      <c r="G237" s="202"/>
      <c r="H237" s="203"/>
      <c r="I237" s="201">
        <f t="shared" si="70"/>
        <v>0</v>
      </c>
      <c r="J237" s="202">
        <f>36489.09</f>
        <v>36489.09</v>
      </c>
      <c r="K237" s="7"/>
      <c r="L237" s="201">
        <f t="shared" si="71"/>
        <v>36489.09</v>
      </c>
      <c r="M237" s="29"/>
      <c r="N237" s="7"/>
      <c r="O237" s="30"/>
      <c r="P237" s="85"/>
      <c r="Q237" s="193"/>
    </row>
    <row r="238" spans="1:17" ht="12.75">
      <c r="A238" s="67" t="s">
        <v>291</v>
      </c>
      <c r="B238" s="102">
        <v>33069</v>
      </c>
      <c r="C238" s="121"/>
      <c r="D238" s="119">
        <f>8921.07</f>
        <v>8921.07</v>
      </c>
      <c r="E238" s="119"/>
      <c r="F238" s="120">
        <f t="shared" si="69"/>
        <v>8921.07</v>
      </c>
      <c r="G238" s="202"/>
      <c r="H238" s="203"/>
      <c r="I238" s="201">
        <f t="shared" si="70"/>
        <v>8921.07</v>
      </c>
      <c r="J238" s="202"/>
      <c r="K238" s="7"/>
      <c r="L238" s="201">
        <f t="shared" si="71"/>
        <v>8921.07</v>
      </c>
      <c r="M238" s="29"/>
      <c r="N238" s="7"/>
      <c r="O238" s="30"/>
      <c r="P238" s="85"/>
      <c r="Q238" s="193"/>
    </row>
    <row r="239" spans="1:17" ht="12.75" hidden="1">
      <c r="A239" s="67" t="s">
        <v>180</v>
      </c>
      <c r="B239" s="102"/>
      <c r="C239" s="121"/>
      <c r="D239" s="119"/>
      <c r="E239" s="119"/>
      <c r="F239" s="120">
        <f t="shared" si="69"/>
        <v>0</v>
      </c>
      <c r="G239" s="202"/>
      <c r="H239" s="203"/>
      <c r="I239" s="201">
        <f t="shared" si="70"/>
        <v>0</v>
      </c>
      <c r="J239" s="202"/>
      <c r="K239" s="7"/>
      <c r="L239" s="201">
        <f t="shared" si="71"/>
        <v>0</v>
      </c>
      <c r="M239" s="29"/>
      <c r="N239" s="7"/>
      <c r="O239" s="30">
        <f t="shared" si="72"/>
        <v>0</v>
      </c>
      <c r="P239" s="85"/>
      <c r="Q239" s="193">
        <f t="shared" si="66"/>
        <v>0</v>
      </c>
    </row>
    <row r="240" spans="1:17" ht="12.75">
      <c r="A240" s="49" t="s">
        <v>243</v>
      </c>
      <c r="B240" s="102">
        <v>33050</v>
      </c>
      <c r="C240" s="121"/>
      <c r="D240" s="119">
        <f>149.6</f>
        <v>149.6</v>
      </c>
      <c r="E240" s="119"/>
      <c r="F240" s="120">
        <f t="shared" si="69"/>
        <v>149.6</v>
      </c>
      <c r="G240" s="202"/>
      <c r="H240" s="203"/>
      <c r="I240" s="201">
        <f t="shared" si="70"/>
        <v>149.6</v>
      </c>
      <c r="J240" s="202"/>
      <c r="K240" s="7"/>
      <c r="L240" s="201">
        <f t="shared" si="71"/>
        <v>149.6</v>
      </c>
      <c r="M240" s="29"/>
      <c r="N240" s="7"/>
      <c r="O240" s="30">
        <f t="shared" si="72"/>
        <v>149.6</v>
      </c>
      <c r="P240" s="85"/>
      <c r="Q240" s="193">
        <f t="shared" si="66"/>
        <v>149.6</v>
      </c>
    </row>
    <row r="241" spans="1:17" ht="12.75">
      <c r="A241" s="49" t="s">
        <v>179</v>
      </c>
      <c r="B241" s="102">
        <v>33435</v>
      </c>
      <c r="C241" s="121"/>
      <c r="D241" s="119">
        <f>984</f>
        <v>984</v>
      </c>
      <c r="E241" s="119"/>
      <c r="F241" s="120">
        <f t="shared" si="69"/>
        <v>984</v>
      </c>
      <c r="G241" s="202"/>
      <c r="H241" s="203"/>
      <c r="I241" s="201">
        <f t="shared" si="70"/>
        <v>984</v>
      </c>
      <c r="J241" s="202"/>
      <c r="K241" s="7"/>
      <c r="L241" s="201">
        <f t="shared" si="71"/>
        <v>984</v>
      </c>
      <c r="M241" s="29"/>
      <c r="N241" s="7"/>
      <c r="O241" s="30">
        <f t="shared" si="72"/>
        <v>984</v>
      </c>
      <c r="P241" s="85"/>
      <c r="Q241" s="193">
        <f t="shared" si="66"/>
        <v>984</v>
      </c>
    </row>
    <row r="242" spans="1:17" ht="12.75">
      <c r="A242" s="49" t="s">
        <v>275</v>
      </c>
      <c r="B242" s="102">
        <v>33049</v>
      </c>
      <c r="C242" s="121"/>
      <c r="D242" s="119">
        <f>8844.48</f>
        <v>8844.48</v>
      </c>
      <c r="E242" s="119"/>
      <c r="F242" s="120">
        <f t="shared" si="69"/>
        <v>8844.48</v>
      </c>
      <c r="G242" s="202"/>
      <c r="H242" s="203"/>
      <c r="I242" s="201">
        <f t="shared" si="70"/>
        <v>8844.48</v>
      </c>
      <c r="J242" s="202"/>
      <c r="K242" s="7"/>
      <c r="L242" s="201">
        <f t="shared" si="71"/>
        <v>8844.48</v>
      </c>
      <c r="M242" s="29"/>
      <c r="N242" s="7"/>
      <c r="O242" s="30"/>
      <c r="P242" s="85"/>
      <c r="Q242" s="193"/>
    </row>
    <row r="243" spans="1:17" ht="12.75" hidden="1">
      <c r="A243" s="49" t="s">
        <v>244</v>
      </c>
      <c r="B243" s="102">
        <v>33044</v>
      </c>
      <c r="C243" s="121"/>
      <c r="D243" s="119"/>
      <c r="E243" s="119"/>
      <c r="F243" s="120">
        <f t="shared" si="69"/>
        <v>0</v>
      </c>
      <c r="G243" s="202"/>
      <c r="H243" s="203"/>
      <c r="I243" s="201">
        <f t="shared" si="70"/>
        <v>0</v>
      </c>
      <c r="J243" s="202"/>
      <c r="K243" s="7"/>
      <c r="L243" s="201">
        <f t="shared" si="71"/>
        <v>0</v>
      </c>
      <c r="M243" s="29"/>
      <c r="N243" s="7"/>
      <c r="O243" s="30">
        <f t="shared" si="72"/>
        <v>0</v>
      </c>
      <c r="P243" s="85"/>
      <c r="Q243" s="193">
        <f t="shared" si="66"/>
        <v>0</v>
      </c>
    </row>
    <row r="244" spans="1:17" ht="12.75">
      <c r="A244" s="49" t="s">
        <v>250</v>
      </c>
      <c r="B244" s="102">
        <v>33024</v>
      </c>
      <c r="C244" s="121"/>
      <c r="D244" s="119"/>
      <c r="E244" s="119"/>
      <c r="F244" s="120">
        <f t="shared" si="69"/>
        <v>0</v>
      </c>
      <c r="G244" s="202"/>
      <c r="H244" s="203"/>
      <c r="I244" s="201">
        <f t="shared" si="70"/>
        <v>0</v>
      </c>
      <c r="J244" s="202">
        <f>311.13</f>
        <v>311.13</v>
      </c>
      <c r="K244" s="7"/>
      <c r="L244" s="201">
        <f t="shared" si="71"/>
        <v>311.13</v>
      </c>
      <c r="M244" s="29"/>
      <c r="N244" s="7"/>
      <c r="O244" s="30"/>
      <c r="P244" s="85"/>
      <c r="Q244" s="193"/>
    </row>
    <row r="245" spans="1:17" ht="12.75" hidden="1">
      <c r="A245" s="67" t="s">
        <v>186</v>
      </c>
      <c r="B245" s="102">
        <v>33018</v>
      </c>
      <c r="C245" s="121"/>
      <c r="D245" s="119"/>
      <c r="E245" s="119"/>
      <c r="F245" s="120">
        <f t="shared" si="69"/>
        <v>0</v>
      </c>
      <c r="G245" s="202"/>
      <c r="H245" s="203"/>
      <c r="I245" s="201">
        <f t="shared" si="70"/>
        <v>0</v>
      </c>
      <c r="J245" s="202"/>
      <c r="K245" s="7"/>
      <c r="L245" s="201">
        <f t="shared" si="71"/>
        <v>0</v>
      </c>
      <c r="M245" s="29"/>
      <c r="N245" s="7"/>
      <c r="O245" s="30">
        <f t="shared" si="72"/>
        <v>0</v>
      </c>
      <c r="P245" s="85"/>
      <c r="Q245" s="193">
        <f t="shared" si="66"/>
        <v>0</v>
      </c>
    </row>
    <row r="246" spans="1:17" ht="12.75" hidden="1">
      <c r="A246" s="47" t="s">
        <v>187</v>
      </c>
      <c r="B246" s="102"/>
      <c r="C246" s="121"/>
      <c r="D246" s="119"/>
      <c r="E246" s="119"/>
      <c r="F246" s="120">
        <f t="shared" si="69"/>
        <v>0</v>
      </c>
      <c r="G246" s="202"/>
      <c r="H246" s="203"/>
      <c r="I246" s="201">
        <f t="shared" si="70"/>
        <v>0</v>
      </c>
      <c r="J246" s="202"/>
      <c r="K246" s="7"/>
      <c r="L246" s="201">
        <f t="shared" si="71"/>
        <v>0</v>
      </c>
      <c r="M246" s="29"/>
      <c r="N246" s="7"/>
      <c r="O246" s="30">
        <f t="shared" si="72"/>
        <v>0</v>
      </c>
      <c r="P246" s="85"/>
      <c r="Q246" s="193">
        <f t="shared" si="66"/>
        <v>0</v>
      </c>
    </row>
    <row r="247" spans="1:17" ht="12.75">
      <c r="A247" s="67" t="s">
        <v>218</v>
      </c>
      <c r="B247" s="102">
        <v>33160</v>
      </c>
      <c r="C247" s="121"/>
      <c r="D247" s="119">
        <f>256.1</f>
        <v>256.1</v>
      </c>
      <c r="E247" s="119"/>
      <c r="F247" s="120">
        <f t="shared" si="69"/>
        <v>256.1</v>
      </c>
      <c r="G247" s="202"/>
      <c r="H247" s="203"/>
      <c r="I247" s="201">
        <f t="shared" si="70"/>
        <v>256.1</v>
      </c>
      <c r="J247" s="202">
        <f>-120.38</f>
        <v>-120.38</v>
      </c>
      <c r="K247" s="7"/>
      <c r="L247" s="201">
        <f t="shared" si="71"/>
        <v>135.72000000000003</v>
      </c>
      <c r="M247" s="29"/>
      <c r="N247" s="7"/>
      <c r="O247" s="30">
        <f t="shared" si="72"/>
        <v>135.72000000000003</v>
      </c>
      <c r="P247" s="85"/>
      <c r="Q247" s="193">
        <f t="shared" si="66"/>
        <v>135.72000000000003</v>
      </c>
    </row>
    <row r="248" spans="1:17" ht="12.75" hidden="1">
      <c r="A248" s="49" t="s">
        <v>166</v>
      </c>
      <c r="B248" s="102"/>
      <c r="C248" s="121"/>
      <c r="D248" s="119"/>
      <c r="E248" s="119"/>
      <c r="F248" s="120">
        <f t="shared" si="69"/>
        <v>0</v>
      </c>
      <c r="G248" s="202"/>
      <c r="H248" s="203"/>
      <c r="I248" s="201">
        <f t="shared" si="70"/>
        <v>0</v>
      </c>
      <c r="J248" s="202"/>
      <c r="K248" s="7"/>
      <c r="L248" s="201">
        <f t="shared" si="71"/>
        <v>0</v>
      </c>
      <c r="M248" s="29"/>
      <c r="N248" s="7"/>
      <c r="O248" s="30">
        <f t="shared" si="72"/>
        <v>0</v>
      </c>
      <c r="P248" s="85"/>
      <c r="Q248" s="193">
        <f t="shared" si="66"/>
        <v>0</v>
      </c>
    </row>
    <row r="249" spans="1:17" ht="12.75" hidden="1">
      <c r="A249" s="67" t="s">
        <v>165</v>
      </c>
      <c r="B249" s="102"/>
      <c r="C249" s="121"/>
      <c r="D249" s="119"/>
      <c r="E249" s="119"/>
      <c r="F249" s="120">
        <f t="shared" si="69"/>
        <v>0</v>
      </c>
      <c r="G249" s="202"/>
      <c r="H249" s="203"/>
      <c r="I249" s="201">
        <f t="shared" si="70"/>
        <v>0</v>
      </c>
      <c r="J249" s="202"/>
      <c r="K249" s="7"/>
      <c r="L249" s="201">
        <f t="shared" si="71"/>
        <v>0</v>
      </c>
      <c r="M249" s="29"/>
      <c r="N249" s="7"/>
      <c r="O249" s="30">
        <f t="shared" si="72"/>
        <v>0</v>
      </c>
      <c r="P249" s="85"/>
      <c r="Q249" s="193">
        <f t="shared" si="66"/>
        <v>0</v>
      </c>
    </row>
    <row r="250" spans="1:17" ht="12.75" hidden="1">
      <c r="A250" s="49" t="s">
        <v>103</v>
      </c>
      <c r="B250" s="102">
        <v>33025</v>
      </c>
      <c r="C250" s="121"/>
      <c r="D250" s="119"/>
      <c r="E250" s="119"/>
      <c r="F250" s="120">
        <f t="shared" si="69"/>
        <v>0</v>
      </c>
      <c r="G250" s="202"/>
      <c r="H250" s="203"/>
      <c r="I250" s="201">
        <f t="shared" si="70"/>
        <v>0</v>
      </c>
      <c r="J250" s="202"/>
      <c r="K250" s="7"/>
      <c r="L250" s="201">
        <f t="shared" si="71"/>
        <v>0</v>
      </c>
      <c r="M250" s="29"/>
      <c r="N250" s="7"/>
      <c r="O250" s="30">
        <f t="shared" si="72"/>
        <v>0</v>
      </c>
      <c r="P250" s="85"/>
      <c r="Q250" s="193">
        <f t="shared" si="66"/>
        <v>0</v>
      </c>
    </row>
    <row r="251" spans="1:17" ht="12.75">
      <c r="A251" s="103" t="s">
        <v>328</v>
      </c>
      <c r="B251" s="102">
        <v>2054</v>
      </c>
      <c r="C251" s="121"/>
      <c r="D251" s="119"/>
      <c r="E251" s="119"/>
      <c r="F251" s="120"/>
      <c r="G251" s="202"/>
      <c r="H251" s="203"/>
      <c r="I251" s="201">
        <f t="shared" si="70"/>
        <v>0</v>
      </c>
      <c r="J251" s="202">
        <f>1602.75</f>
        <v>1602.75</v>
      </c>
      <c r="K251" s="7"/>
      <c r="L251" s="201">
        <f t="shared" si="71"/>
        <v>1602.75</v>
      </c>
      <c r="M251" s="29"/>
      <c r="N251" s="7"/>
      <c r="O251" s="30"/>
      <c r="P251" s="85"/>
      <c r="Q251" s="193"/>
    </row>
    <row r="252" spans="1:17" ht="12.75">
      <c r="A252" s="49" t="s">
        <v>197</v>
      </c>
      <c r="B252" s="102">
        <v>33038</v>
      </c>
      <c r="C252" s="121"/>
      <c r="D252" s="119"/>
      <c r="E252" s="119"/>
      <c r="F252" s="120">
        <f t="shared" si="69"/>
        <v>0</v>
      </c>
      <c r="G252" s="202">
        <f>1171.4</f>
        <v>1171.4</v>
      </c>
      <c r="H252" s="203"/>
      <c r="I252" s="201">
        <f t="shared" si="70"/>
        <v>1171.4</v>
      </c>
      <c r="J252" s="202"/>
      <c r="K252" s="7"/>
      <c r="L252" s="201">
        <f t="shared" si="71"/>
        <v>1171.4</v>
      </c>
      <c r="M252" s="29"/>
      <c r="N252" s="7"/>
      <c r="O252" s="30">
        <f t="shared" si="72"/>
        <v>1171.4</v>
      </c>
      <c r="P252" s="85"/>
      <c r="Q252" s="193">
        <f t="shared" si="66"/>
        <v>1171.4</v>
      </c>
    </row>
    <row r="253" spans="1:17" ht="12.75">
      <c r="A253" s="49" t="s">
        <v>329</v>
      </c>
      <c r="B253" s="102">
        <v>33063</v>
      </c>
      <c r="C253" s="121"/>
      <c r="D253" s="119"/>
      <c r="E253" s="119"/>
      <c r="F253" s="120">
        <f t="shared" si="69"/>
        <v>0</v>
      </c>
      <c r="G253" s="202">
        <f>189.46+322.77</f>
        <v>512.23</v>
      </c>
      <c r="H253" s="203"/>
      <c r="I253" s="201">
        <f t="shared" si="70"/>
        <v>512.23</v>
      </c>
      <c r="J253" s="202">
        <f>633.34+1046.04+908.07+1139.29+971.95+1211.93</f>
        <v>5910.620000000001</v>
      </c>
      <c r="K253" s="7"/>
      <c r="L253" s="201">
        <f t="shared" si="71"/>
        <v>6422.85</v>
      </c>
      <c r="M253" s="29"/>
      <c r="N253" s="7"/>
      <c r="O253" s="30">
        <f t="shared" si="72"/>
        <v>6422.85</v>
      </c>
      <c r="P253" s="85"/>
      <c r="Q253" s="193">
        <f t="shared" si="66"/>
        <v>6422.85</v>
      </c>
    </row>
    <row r="254" spans="1:17" ht="12.75">
      <c r="A254" s="49" t="s">
        <v>314</v>
      </c>
      <c r="B254" s="102"/>
      <c r="C254" s="121"/>
      <c r="D254" s="119">
        <f>17565.21</f>
        <v>17565.21</v>
      </c>
      <c r="E254" s="119"/>
      <c r="F254" s="120">
        <f t="shared" si="69"/>
        <v>17565.21</v>
      </c>
      <c r="G254" s="202"/>
      <c r="H254" s="203"/>
      <c r="I254" s="201">
        <f t="shared" si="70"/>
        <v>17565.21</v>
      </c>
      <c r="J254" s="202"/>
      <c r="K254" s="7"/>
      <c r="L254" s="201">
        <f t="shared" si="71"/>
        <v>17565.21</v>
      </c>
      <c r="M254" s="29"/>
      <c r="N254" s="7"/>
      <c r="O254" s="30">
        <f t="shared" si="72"/>
        <v>17565.21</v>
      </c>
      <c r="P254" s="85"/>
      <c r="Q254" s="193">
        <f t="shared" si="66"/>
        <v>17565.21</v>
      </c>
    </row>
    <row r="255" spans="1:17" ht="12.75" hidden="1">
      <c r="A255" s="49" t="s">
        <v>104</v>
      </c>
      <c r="B255" s="102"/>
      <c r="C255" s="121"/>
      <c r="D255" s="119"/>
      <c r="E255" s="119"/>
      <c r="F255" s="120">
        <f t="shared" si="69"/>
        <v>0</v>
      </c>
      <c r="G255" s="202"/>
      <c r="H255" s="203"/>
      <c r="I255" s="201">
        <f t="shared" si="70"/>
        <v>0</v>
      </c>
      <c r="J255" s="202"/>
      <c r="K255" s="7"/>
      <c r="L255" s="201">
        <f t="shared" si="71"/>
        <v>0</v>
      </c>
      <c r="M255" s="29"/>
      <c r="N255" s="7"/>
      <c r="O255" s="30">
        <f t="shared" si="72"/>
        <v>0</v>
      </c>
      <c r="P255" s="85"/>
      <c r="Q255" s="193">
        <f t="shared" si="66"/>
        <v>0</v>
      </c>
    </row>
    <row r="256" spans="1:17" ht="12.75">
      <c r="A256" s="49" t="s">
        <v>90</v>
      </c>
      <c r="B256" s="102"/>
      <c r="C256" s="121"/>
      <c r="D256" s="119">
        <f>402</f>
        <v>402</v>
      </c>
      <c r="E256" s="119"/>
      <c r="F256" s="120">
        <f t="shared" si="69"/>
        <v>402</v>
      </c>
      <c r="G256" s="202"/>
      <c r="H256" s="203"/>
      <c r="I256" s="201">
        <f t="shared" si="70"/>
        <v>402</v>
      </c>
      <c r="J256" s="202"/>
      <c r="K256" s="7"/>
      <c r="L256" s="201">
        <f t="shared" si="71"/>
        <v>402</v>
      </c>
      <c r="M256" s="40"/>
      <c r="N256" s="7"/>
      <c r="O256" s="30">
        <f t="shared" si="72"/>
        <v>402</v>
      </c>
      <c r="P256" s="85"/>
      <c r="Q256" s="193">
        <f t="shared" si="66"/>
        <v>402</v>
      </c>
    </row>
    <row r="257" spans="1:17" ht="12.75">
      <c r="A257" s="49" t="s">
        <v>64</v>
      </c>
      <c r="B257" s="102"/>
      <c r="C257" s="121">
        <v>28705</v>
      </c>
      <c r="D257" s="119">
        <f>439+856.59-1000-13091+7400+9000+179+50</f>
        <v>3833.59</v>
      </c>
      <c r="E257" s="119"/>
      <c r="F257" s="120">
        <f t="shared" si="69"/>
        <v>32538.59</v>
      </c>
      <c r="G257" s="202">
        <f>4.43-13974.9-179</f>
        <v>-14149.47</v>
      </c>
      <c r="H257" s="203"/>
      <c r="I257" s="201">
        <f t="shared" si="70"/>
        <v>18389.120000000003</v>
      </c>
      <c r="J257" s="202">
        <f>-1613.1-6200.38+445.73</f>
        <v>-7367.75</v>
      </c>
      <c r="K257" s="7"/>
      <c r="L257" s="201">
        <f t="shared" si="71"/>
        <v>11021.370000000003</v>
      </c>
      <c r="M257" s="40"/>
      <c r="N257" s="7"/>
      <c r="O257" s="30">
        <f t="shared" si="72"/>
        <v>11021.370000000003</v>
      </c>
      <c r="P257" s="85"/>
      <c r="Q257" s="193">
        <f t="shared" si="66"/>
        <v>11021.370000000003</v>
      </c>
    </row>
    <row r="258" spans="1:17" ht="12.75">
      <c r="A258" s="52" t="s">
        <v>67</v>
      </c>
      <c r="B258" s="106"/>
      <c r="C258" s="133">
        <f>SUM(C260:C264)</f>
        <v>0</v>
      </c>
      <c r="D258" s="134">
        <f>SUM(D260:D264)</f>
        <v>132.3</v>
      </c>
      <c r="E258" s="134"/>
      <c r="F258" s="135">
        <f>SUM(F260:F264)</f>
        <v>132.3</v>
      </c>
      <c r="G258" s="218">
        <f aca="true" t="shared" si="73" ref="G258:Q258">SUM(G260:G264)</f>
        <v>599.6</v>
      </c>
      <c r="H258" s="219">
        <f t="shared" si="73"/>
        <v>0</v>
      </c>
      <c r="I258" s="220">
        <f t="shared" si="73"/>
        <v>731.9000000000001</v>
      </c>
      <c r="J258" s="218">
        <f t="shared" si="73"/>
        <v>4064.4</v>
      </c>
      <c r="K258" s="134">
        <f t="shared" si="73"/>
        <v>0</v>
      </c>
      <c r="L258" s="220">
        <f t="shared" si="73"/>
        <v>4796.3</v>
      </c>
      <c r="M258" s="133">
        <f t="shared" si="73"/>
        <v>0</v>
      </c>
      <c r="N258" s="134">
        <f t="shared" si="73"/>
        <v>0</v>
      </c>
      <c r="O258" s="135">
        <f t="shared" si="73"/>
        <v>4796.3</v>
      </c>
      <c r="P258" s="133">
        <f t="shared" si="73"/>
        <v>0</v>
      </c>
      <c r="Q258" s="135">
        <f t="shared" si="73"/>
        <v>4796.3</v>
      </c>
    </row>
    <row r="259" spans="1:17" ht="12.75">
      <c r="A259" s="47" t="s">
        <v>33</v>
      </c>
      <c r="B259" s="102"/>
      <c r="C259" s="121"/>
      <c r="D259" s="119"/>
      <c r="E259" s="119"/>
      <c r="F259" s="120"/>
      <c r="G259" s="202"/>
      <c r="H259" s="203"/>
      <c r="I259" s="200"/>
      <c r="J259" s="202"/>
      <c r="K259" s="7"/>
      <c r="L259" s="200"/>
      <c r="M259" s="29"/>
      <c r="N259" s="7"/>
      <c r="O259" s="28"/>
      <c r="P259" s="85"/>
      <c r="Q259" s="193"/>
    </row>
    <row r="260" spans="1:17" ht="12.75">
      <c r="A260" s="49" t="s">
        <v>105</v>
      </c>
      <c r="B260" s="102"/>
      <c r="C260" s="121"/>
      <c r="D260" s="119">
        <f>132.3</f>
        <v>132.3</v>
      </c>
      <c r="E260" s="119"/>
      <c r="F260" s="120">
        <f>C260+D260+E260</f>
        <v>132.3</v>
      </c>
      <c r="G260" s="202">
        <f>450.6</f>
        <v>450.6</v>
      </c>
      <c r="H260" s="203"/>
      <c r="I260" s="201">
        <f>F260+G260+H260</f>
        <v>582.9000000000001</v>
      </c>
      <c r="J260" s="202">
        <f>744.4</f>
        <v>744.4</v>
      </c>
      <c r="K260" s="7"/>
      <c r="L260" s="201">
        <f>I260+J260+K260</f>
        <v>1327.3000000000002</v>
      </c>
      <c r="M260" s="33"/>
      <c r="N260" s="10"/>
      <c r="O260" s="34">
        <f>L260+M260+N260</f>
        <v>1327.3000000000002</v>
      </c>
      <c r="P260" s="90"/>
      <c r="Q260" s="194">
        <f t="shared" si="66"/>
        <v>1327.3000000000002</v>
      </c>
    </row>
    <row r="261" spans="1:17" ht="12.75" hidden="1">
      <c r="A261" s="49" t="s">
        <v>80</v>
      </c>
      <c r="B261" s="102"/>
      <c r="C261" s="121"/>
      <c r="D261" s="119"/>
      <c r="E261" s="119"/>
      <c r="F261" s="120">
        <f>C261+D261+E261</f>
        <v>0</v>
      </c>
      <c r="G261" s="202"/>
      <c r="H261" s="203"/>
      <c r="I261" s="201">
        <f>F261+G261+H261</f>
        <v>0</v>
      </c>
      <c r="J261" s="202"/>
      <c r="K261" s="7"/>
      <c r="L261" s="201">
        <f>I261+J261+K261</f>
        <v>0</v>
      </c>
      <c r="M261" s="29"/>
      <c r="N261" s="7"/>
      <c r="O261" s="30">
        <f>L261+M261+N261</f>
        <v>0</v>
      </c>
      <c r="P261" s="85"/>
      <c r="Q261" s="193">
        <f t="shared" si="66"/>
        <v>0</v>
      </c>
    </row>
    <row r="262" spans="1:17" ht="12.75">
      <c r="A262" s="49" t="s">
        <v>314</v>
      </c>
      <c r="B262" s="102"/>
      <c r="C262" s="121"/>
      <c r="D262" s="119"/>
      <c r="E262" s="119"/>
      <c r="F262" s="120">
        <f>C262+D262+E262</f>
        <v>0</v>
      </c>
      <c r="G262" s="202">
        <f>149</f>
        <v>149</v>
      </c>
      <c r="H262" s="203"/>
      <c r="I262" s="201">
        <f>F262+G262+H262</f>
        <v>149</v>
      </c>
      <c r="J262" s="202"/>
      <c r="K262" s="7"/>
      <c r="L262" s="201">
        <f>I262+J262+K262</f>
        <v>149</v>
      </c>
      <c r="M262" s="29"/>
      <c r="N262" s="7"/>
      <c r="O262" s="30">
        <f>L262+M262+N262</f>
        <v>149</v>
      </c>
      <c r="P262" s="85"/>
      <c r="Q262" s="193">
        <f t="shared" si="66"/>
        <v>149</v>
      </c>
    </row>
    <row r="263" spans="1:17" ht="12.75" hidden="1">
      <c r="A263" s="49" t="s">
        <v>68</v>
      </c>
      <c r="B263" s="102"/>
      <c r="C263" s="121"/>
      <c r="D263" s="119"/>
      <c r="E263" s="119"/>
      <c r="F263" s="120">
        <f>C263+D263+E263</f>
        <v>0</v>
      </c>
      <c r="G263" s="202"/>
      <c r="H263" s="203"/>
      <c r="I263" s="201">
        <f>F263+G263+H263</f>
        <v>0</v>
      </c>
      <c r="J263" s="202"/>
      <c r="K263" s="9"/>
      <c r="L263" s="201">
        <f>I263+J263+K263</f>
        <v>0</v>
      </c>
      <c r="M263" s="29"/>
      <c r="N263" s="7"/>
      <c r="O263" s="30">
        <f>L263+M263+N263</f>
        <v>0</v>
      </c>
      <c r="P263" s="85"/>
      <c r="Q263" s="193">
        <f t="shared" si="66"/>
        <v>0</v>
      </c>
    </row>
    <row r="264" spans="1:17" ht="12.75">
      <c r="A264" s="56" t="s">
        <v>90</v>
      </c>
      <c r="B264" s="105"/>
      <c r="C264" s="131"/>
      <c r="D264" s="132"/>
      <c r="E264" s="132"/>
      <c r="F264" s="169">
        <f>C264+D264+E264</f>
        <v>0</v>
      </c>
      <c r="G264" s="215"/>
      <c r="H264" s="216"/>
      <c r="I264" s="217">
        <f>F264+G264+H264</f>
        <v>0</v>
      </c>
      <c r="J264" s="215">
        <f>3320</f>
        <v>3320</v>
      </c>
      <c r="K264" s="79"/>
      <c r="L264" s="217">
        <f>I264+J264+K264</f>
        <v>3320</v>
      </c>
      <c r="M264" s="33"/>
      <c r="N264" s="10"/>
      <c r="O264" s="34">
        <f>L264+M264+N264</f>
        <v>3320</v>
      </c>
      <c r="P264" s="90"/>
      <c r="Q264" s="194">
        <f t="shared" si="66"/>
        <v>3320</v>
      </c>
    </row>
    <row r="265" spans="1:17" ht="12.75">
      <c r="A265" s="42" t="s">
        <v>106</v>
      </c>
      <c r="B265" s="106"/>
      <c r="C265" s="116">
        <f>C266+C281</f>
        <v>383327.2</v>
      </c>
      <c r="D265" s="117">
        <f>D266+D281</f>
        <v>92423.39</v>
      </c>
      <c r="E265" s="117">
        <f>E266+E281</f>
        <v>0</v>
      </c>
      <c r="F265" s="118">
        <f>F266+F281</f>
        <v>475750.59</v>
      </c>
      <c r="G265" s="198">
        <f aca="true" t="shared" si="74" ref="G265:Q265">G266+G281</f>
        <v>1779.87</v>
      </c>
      <c r="H265" s="199">
        <f t="shared" si="74"/>
        <v>0</v>
      </c>
      <c r="I265" s="200">
        <f t="shared" si="74"/>
        <v>477530.46</v>
      </c>
      <c r="J265" s="198">
        <f t="shared" si="74"/>
        <v>22712</v>
      </c>
      <c r="K265" s="117">
        <f t="shared" si="74"/>
        <v>0</v>
      </c>
      <c r="L265" s="200">
        <f t="shared" si="74"/>
        <v>500242.45999999996</v>
      </c>
      <c r="M265" s="116">
        <f t="shared" si="74"/>
        <v>0</v>
      </c>
      <c r="N265" s="117">
        <f t="shared" si="74"/>
        <v>0</v>
      </c>
      <c r="O265" s="118">
        <f t="shared" si="74"/>
        <v>410806.57</v>
      </c>
      <c r="P265" s="116">
        <f t="shared" si="74"/>
        <v>0</v>
      </c>
      <c r="Q265" s="118">
        <f t="shared" si="74"/>
        <v>410806.57</v>
      </c>
    </row>
    <row r="266" spans="1:17" ht="12.75">
      <c r="A266" s="51" t="s">
        <v>62</v>
      </c>
      <c r="B266" s="106"/>
      <c r="C266" s="128">
        <f>SUM(C268:C280)</f>
        <v>383327.2</v>
      </c>
      <c r="D266" s="129">
        <f>SUM(D268:D280)</f>
        <v>46423.39</v>
      </c>
      <c r="E266" s="129">
        <f>SUM(E268:E280)</f>
        <v>0</v>
      </c>
      <c r="F266" s="130">
        <f>SUM(F268:F280)</f>
        <v>429750.59</v>
      </c>
      <c r="G266" s="212">
        <f aca="true" t="shared" si="75" ref="G266:Q266">SUM(G268:G280)</f>
        <v>1779.87</v>
      </c>
      <c r="H266" s="213">
        <f t="shared" si="75"/>
        <v>0</v>
      </c>
      <c r="I266" s="214">
        <f t="shared" si="75"/>
        <v>431530.46</v>
      </c>
      <c r="J266" s="212">
        <f t="shared" si="75"/>
        <v>22712</v>
      </c>
      <c r="K266" s="129">
        <f t="shared" si="75"/>
        <v>0</v>
      </c>
      <c r="L266" s="214">
        <f t="shared" si="75"/>
        <v>454242.45999999996</v>
      </c>
      <c r="M266" s="128">
        <f t="shared" si="75"/>
        <v>0</v>
      </c>
      <c r="N266" s="129">
        <f t="shared" si="75"/>
        <v>0</v>
      </c>
      <c r="O266" s="130">
        <f t="shared" si="75"/>
        <v>410806.57</v>
      </c>
      <c r="P266" s="128">
        <f t="shared" si="75"/>
        <v>0</v>
      </c>
      <c r="Q266" s="130">
        <f t="shared" si="75"/>
        <v>410806.57</v>
      </c>
    </row>
    <row r="267" spans="1:17" ht="12.75">
      <c r="A267" s="47" t="s">
        <v>33</v>
      </c>
      <c r="B267" s="102"/>
      <c r="C267" s="121"/>
      <c r="D267" s="119"/>
      <c r="E267" s="119"/>
      <c r="F267" s="118"/>
      <c r="G267" s="202"/>
      <c r="H267" s="203"/>
      <c r="I267" s="200"/>
      <c r="J267" s="202"/>
      <c r="K267" s="7"/>
      <c r="L267" s="200"/>
      <c r="M267" s="29"/>
      <c r="N267" s="7"/>
      <c r="O267" s="28"/>
      <c r="P267" s="85"/>
      <c r="Q267" s="193"/>
    </row>
    <row r="268" spans="1:17" ht="12.75">
      <c r="A268" s="44" t="s">
        <v>88</v>
      </c>
      <c r="B268" s="102"/>
      <c r="C268" s="121">
        <v>223604</v>
      </c>
      <c r="D268" s="119"/>
      <c r="E268" s="119"/>
      <c r="F268" s="120">
        <f aca="true" t="shared" si="76" ref="F268:F280">C268+D268+E268</f>
        <v>223604</v>
      </c>
      <c r="G268" s="202">
        <f>250</f>
        <v>250</v>
      </c>
      <c r="H268" s="203"/>
      <c r="I268" s="201">
        <f aca="true" t="shared" si="77" ref="I268:I280">F268+G268+H268</f>
        <v>223854</v>
      </c>
      <c r="J268" s="202"/>
      <c r="K268" s="7"/>
      <c r="L268" s="201">
        <f aca="true" t="shared" si="78" ref="L268:L280">I268+J268+K268</f>
        <v>223854</v>
      </c>
      <c r="M268" s="29"/>
      <c r="N268" s="7"/>
      <c r="O268" s="30">
        <f aca="true" t="shared" si="79" ref="O268:O280">L268+M268+N268</f>
        <v>223854</v>
      </c>
      <c r="P268" s="85"/>
      <c r="Q268" s="193">
        <f>O268+P268</f>
        <v>223854</v>
      </c>
    </row>
    <row r="269" spans="1:17" ht="12.75">
      <c r="A269" s="103" t="s">
        <v>258</v>
      </c>
      <c r="B269" s="102"/>
      <c r="C269" s="121">
        <v>8417.5</v>
      </c>
      <c r="D269" s="119">
        <f>2848+10000</f>
        <v>12848</v>
      </c>
      <c r="E269" s="119"/>
      <c r="F269" s="120">
        <f t="shared" si="76"/>
        <v>21265.5</v>
      </c>
      <c r="G269" s="202">
        <f>-250</f>
        <v>-250</v>
      </c>
      <c r="H269" s="203"/>
      <c r="I269" s="201">
        <f t="shared" si="77"/>
        <v>21015.5</v>
      </c>
      <c r="J269" s="202"/>
      <c r="K269" s="7"/>
      <c r="L269" s="201">
        <f t="shared" si="78"/>
        <v>21015.5</v>
      </c>
      <c r="M269" s="29"/>
      <c r="N269" s="7"/>
      <c r="O269" s="30"/>
      <c r="P269" s="85"/>
      <c r="Q269" s="193"/>
    </row>
    <row r="270" spans="1:17" ht="12.75">
      <c r="A270" s="49" t="s">
        <v>75</v>
      </c>
      <c r="B270" s="102"/>
      <c r="C270" s="121">
        <v>100000</v>
      </c>
      <c r="D270" s="119">
        <f>500+30000</f>
        <v>30500</v>
      </c>
      <c r="E270" s="119"/>
      <c r="F270" s="120">
        <f t="shared" si="76"/>
        <v>130500</v>
      </c>
      <c r="G270" s="202"/>
      <c r="H270" s="203">
        <f>203.2+350</f>
        <v>553.2</v>
      </c>
      <c r="I270" s="201">
        <f t="shared" si="77"/>
        <v>131053.2</v>
      </c>
      <c r="J270" s="202"/>
      <c r="K270" s="119">
        <f>30000</f>
        <v>30000</v>
      </c>
      <c r="L270" s="201">
        <f t="shared" si="78"/>
        <v>161053.2</v>
      </c>
      <c r="M270" s="29"/>
      <c r="N270" s="7"/>
      <c r="O270" s="30">
        <f t="shared" si="79"/>
        <v>161053.2</v>
      </c>
      <c r="P270" s="85"/>
      <c r="Q270" s="193">
        <f>O270+P270</f>
        <v>161053.2</v>
      </c>
    </row>
    <row r="271" spans="1:17" ht="12.75">
      <c r="A271" s="49" t="s">
        <v>208</v>
      </c>
      <c r="B271" s="102"/>
      <c r="C271" s="121">
        <v>30000</v>
      </c>
      <c r="D271" s="119"/>
      <c r="E271" s="119"/>
      <c r="F271" s="120">
        <f t="shared" si="76"/>
        <v>30000</v>
      </c>
      <c r="G271" s="202"/>
      <c r="H271" s="203"/>
      <c r="I271" s="201">
        <f t="shared" si="77"/>
        <v>30000</v>
      </c>
      <c r="J271" s="202"/>
      <c r="K271" s="119">
        <f>-30000</f>
        <v>-30000</v>
      </c>
      <c r="L271" s="201">
        <f t="shared" si="78"/>
        <v>0</v>
      </c>
      <c r="M271" s="29"/>
      <c r="N271" s="7"/>
      <c r="O271" s="30"/>
      <c r="P271" s="85"/>
      <c r="Q271" s="193"/>
    </row>
    <row r="272" spans="1:17" ht="12.75">
      <c r="A272" s="49" t="s">
        <v>64</v>
      </c>
      <c r="B272" s="102"/>
      <c r="C272" s="137">
        <v>21305.7</v>
      </c>
      <c r="D272" s="119">
        <f>2495+217</f>
        <v>2712</v>
      </c>
      <c r="E272" s="119"/>
      <c r="F272" s="120">
        <f t="shared" si="76"/>
        <v>24017.7</v>
      </c>
      <c r="G272" s="202"/>
      <c r="H272" s="203">
        <f>-203.2-350</f>
        <v>-553.2</v>
      </c>
      <c r="I272" s="201">
        <f t="shared" si="77"/>
        <v>23464.5</v>
      </c>
      <c r="J272" s="202"/>
      <c r="K272" s="7"/>
      <c r="L272" s="201">
        <f t="shared" si="78"/>
        <v>23464.5</v>
      </c>
      <c r="M272" s="29"/>
      <c r="N272" s="7"/>
      <c r="O272" s="30">
        <f t="shared" si="79"/>
        <v>23464.5</v>
      </c>
      <c r="P272" s="85"/>
      <c r="Q272" s="193">
        <f aca="true" t="shared" si="80" ref="Q272:Q280">O272+P272</f>
        <v>23464.5</v>
      </c>
    </row>
    <row r="273" spans="1:17" ht="12.75" hidden="1">
      <c r="A273" s="49" t="s">
        <v>91</v>
      </c>
      <c r="B273" s="102"/>
      <c r="C273" s="137"/>
      <c r="D273" s="119"/>
      <c r="E273" s="119"/>
      <c r="F273" s="120">
        <f t="shared" si="76"/>
        <v>0</v>
      </c>
      <c r="G273" s="202"/>
      <c r="H273" s="203"/>
      <c r="I273" s="201">
        <f t="shared" si="77"/>
        <v>0</v>
      </c>
      <c r="J273" s="202"/>
      <c r="K273" s="7"/>
      <c r="L273" s="201">
        <f t="shared" si="78"/>
        <v>0</v>
      </c>
      <c r="M273" s="29"/>
      <c r="N273" s="7"/>
      <c r="O273" s="30">
        <f t="shared" si="79"/>
        <v>0</v>
      </c>
      <c r="P273" s="85"/>
      <c r="Q273" s="193">
        <f t="shared" si="80"/>
        <v>0</v>
      </c>
    </row>
    <row r="274" spans="1:17" ht="12.75">
      <c r="A274" s="49" t="s">
        <v>352</v>
      </c>
      <c r="B274" s="102">
        <v>35020</v>
      </c>
      <c r="C274" s="137"/>
      <c r="D274" s="119"/>
      <c r="E274" s="119"/>
      <c r="F274" s="120"/>
      <c r="G274" s="202"/>
      <c r="H274" s="203"/>
      <c r="I274" s="201">
        <f t="shared" si="77"/>
        <v>0</v>
      </c>
      <c r="J274" s="202">
        <f>16871.35</f>
        <v>16871.35</v>
      </c>
      <c r="K274" s="7"/>
      <c r="L274" s="201">
        <f t="shared" si="78"/>
        <v>16871.35</v>
      </c>
      <c r="M274" s="29"/>
      <c r="N274" s="7"/>
      <c r="O274" s="30"/>
      <c r="P274" s="85"/>
      <c r="Q274" s="193"/>
    </row>
    <row r="275" spans="1:17" ht="12.75">
      <c r="A275" s="49" t="s">
        <v>330</v>
      </c>
      <c r="B275" s="102">
        <v>13013</v>
      </c>
      <c r="C275" s="137"/>
      <c r="D275" s="119"/>
      <c r="E275" s="119"/>
      <c r="F275" s="120">
        <f t="shared" si="76"/>
        <v>0</v>
      </c>
      <c r="G275" s="202">
        <f>1310.51</f>
        <v>1310.51</v>
      </c>
      <c r="H275" s="203"/>
      <c r="I275" s="201">
        <f t="shared" si="77"/>
        <v>1310.51</v>
      </c>
      <c r="J275" s="202"/>
      <c r="K275" s="7"/>
      <c r="L275" s="201">
        <f t="shared" si="78"/>
        <v>1310.51</v>
      </c>
      <c r="M275" s="29"/>
      <c r="N275" s="7"/>
      <c r="O275" s="30">
        <f t="shared" si="79"/>
        <v>1310.51</v>
      </c>
      <c r="P275" s="85"/>
      <c r="Q275" s="193">
        <f t="shared" si="80"/>
        <v>1310.51</v>
      </c>
    </row>
    <row r="276" spans="1:17" ht="12.75">
      <c r="A276" s="49" t="s">
        <v>343</v>
      </c>
      <c r="B276" s="102">
        <v>15018</v>
      </c>
      <c r="C276" s="137"/>
      <c r="D276" s="119"/>
      <c r="E276" s="119"/>
      <c r="F276" s="120"/>
      <c r="G276" s="202"/>
      <c r="H276" s="203"/>
      <c r="I276" s="201">
        <f t="shared" si="77"/>
        <v>0</v>
      </c>
      <c r="J276" s="202">
        <v>5508.04</v>
      </c>
      <c r="K276" s="7"/>
      <c r="L276" s="201">
        <f t="shared" si="78"/>
        <v>5508.04</v>
      </c>
      <c r="M276" s="29"/>
      <c r="N276" s="7"/>
      <c r="O276" s="30"/>
      <c r="P276" s="85"/>
      <c r="Q276" s="193"/>
    </row>
    <row r="277" spans="1:17" ht="12.75">
      <c r="A277" s="56" t="s">
        <v>107</v>
      </c>
      <c r="B277" s="105">
        <v>98335</v>
      </c>
      <c r="C277" s="131"/>
      <c r="D277" s="132">
        <f>176.59</f>
        <v>176.59</v>
      </c>
      <c r="E277" s="132"/>
      <c r="F277" s="169">
        <f t="shared" si="76"/>
        <v>176.59</v>
      </c>
      <c r="G277" s="215">
        <f>180.29</f>
        <v>180.29</v>
      </c>
      <c r="H277" s="216"/>
      <c r="I277" s="217">
        <f t="shared" si="77"/>
        <v>356.88</v>
      </c>
      <c r="J277" s="215">
        <f>181.11</f>
        <v>181.11</v>
      </c>
      <c r="K277" s="10"/>
      <c r="L277" s="217">
        <f t="shared" si="78"/>
        <v>537.99</v>
      </c>
      <c r="M277" s="41"/>
      <c r="N277" s="7"/>
      <c r="O277" s="30">
        <f t="shared" si="79"/>
        <v>537.99</v>
      </c>
      <c r="P277" s="85"/>
      <c r="Q277" s="193">
        <f t="shared" si="80"/>
        <v>537.99</v>
      </c>
    </row>
    <row r="278" spans="1:17" ht="12.75">
      <c r="A278" s="49" t="s">
        <v>108</v>
      </c>
      <c r="B278" s="102"/>
      <c r="C278" s="121"/>
      <c r="D278" s="119"/>
      <c r="E278" s="119"/>
      <c r="F278" s="120">
        <f t="shared" si="76"/>
        <v>0</v>
      </c>
      <c r="G278" s="202">
        <f>100</f>
        <v>100</v>
      </c>
      <c r="H278" s="203"/>
      <c r="I278" s="201">
        <f t="shared" si="77"/>
        <v>100</v>
      </c>
      <c r="J278" s="202"/>
      <c r="K278" s="7"/>
      <c r="L278" s="201">
        <f t="shared" si="78"/>
        <v>100</v>
      </c>
      <c r="M278" s="29"/>
      <c r="N278" s="7"/>
      <c r="O278" s="30">
        <f t="shared" si="79"/>
        <v>100</v>
      </c>
      <c r="P278" s="85"/>
      <c r="Q278" s="193">
        <f t="shared" si="80"/>
        <v>100</v>
      </c>
    </row>
    <row r="279" spans="1:17" ht="12.75">
      <c r="A279" s="49" t="s">
        <v>337</v>
      </c>
      <c r="B279" s="102"/>
      <c r="C279" s="121"/>
      <c r="D279" s="119"/>
      <c r="E279" s="119"/>
      <c r="F279" s="120">
        <f t="shared" si="76"/>
        <v>0</v>
      </c>
      <c r="G279" s="202">
        <f>41</f>
        <v>41</v>
      </c>
      <c r="H279" s="203"/>
      <c r="I279" s="201">
        <f t="shared" si="77"/>
        <v>41</v>
      </c>
      <c r="J279" s="202"/>
      <c r="K279" s="7"/>
      <c r="L279" s="201">
        <f t="shared" si="78"/>
        <v>41</v>
      </c>
      <c r="M279" s="29"/>
      <c r="N279" s="7"/>
      <c r="O279" s="30"/>
      <c r="P279" s="85"/>
      <c r="Q279" s="193"/>
    </row>
    <row r="280" spans="1:17" ht="12.75">
      <c r="A280" s="49" t="s">
        <v>109</v>
      </c>
      <c r="B280" s="102">
        <v>98297</v>
      </c>
      <c r="C280" s="121"/>
      <c r="D280" s="119">
        <f>186.8</f>
        <v>186.8</v>
      </c>
      <c r="E280" s="119"/>
      <c r="F280" s="120">
        <f t="shared" si="76"/>
        <v>186.8</v>
      </c>
      <c r="G280" s="202">
        <f>148.07</f>
        <v>148.07</v>
      </c>
      <c r="H280" s="203"/>
      <c r="I280" s="201">
        <f t="shared" si="77"/>
        <v>334.87</v>
      </c>
      <c r="J280" s="202">
        <f>151.5</f>
        <v>151.5</v>
      </c>
      <c r="K280" s="7"/>
      <c r="L280" s="201">
        <f t="shared" si="78"/>
        <v>486.37</v>
      </c>
      <c r="M280" s="29"/>
      <c r="N280" s="7"/>
      <c r="O280" s="30">
        <f t="shared" si="79"/>
        <v>486.37</v>
      </c>
      <c r="P280" s="85"/>
      <c r="Q280" s="193">
        <f t="shared" si="80"/>
        <v>486.37</v>
      </c>
    </row>
    <row r="281" spans="1:17" ht="12.75">
      <c r="A281" s="51" t="s">
        <v>67</v>
      </c>
      <c r="B281" s="106"/>
      <c r="C281" s="128">
        <f>SUM(C283:C287)</f>
        <v>0</v>
      </c>
      <c r="D281" s="129">
        <f>SUM(D283:D287)</f>
        <v>46000</v>
      </c>
      <c r="E281" s="129">
        <f>SUM(E283:E287)</f>
        <v>0</v>
      </c>
      <c r="F281" s="130">
        <f>SUM(F283:F287)</f>
        <v>46000</v>
      </c>
      <c r="G281" s="212">
        <f aca="true" t="shared" si="81" ref="G281:Q281">SUM(G283:G287)</f>
        <v>0</v>
      </c>
      <c r="H281" s="213">
        <f t="shared" si="81"/>
        <v>0</v>
      </c>
      <c r="I281" s="214">
        <f t="shared" si="81"/>
        <v>46000</v>
      </c>
      <c r="J281" s="212">
        <f t="shared" si="81"/>
        <v>0</v>
      </c>
      <c r="K281" s="129">
        <f t="shared" si="81"/>
        <v>0</v>
      </c>
      <c r="L281" s="214">
        <f t="shared" si="81"/>
        <v>46000</v>
      </c>
      <c r="M281" s="128">
        <f t="shared" si="81"/>
        <v>0</v>
      </c>
      <c r="N281" s="129">
        <f t="shared" si="81"/>
        <v>0</v>
      </c>
      <c r="O281" s="130">
        <f t="shared" si="81"/>
        <v>0</v>
      </c>
      <c r="P281" s="128">
        <f t="shared" si="81"/>
        <v>0</v>
      </c>
      <c r="Q281" s="130">
        <f t="shared" si="81"/>
        <v>0</v>
      </c>
    </row>
    <row r="282" spans="1:17" ht="12.75">
      <c r="A282" s="47" t="s">
        <v>33</v>
      </c>
      <c r="B282" s="102"/>
      <c r="C282" s="121"/>
      <c r="D282" s="119"/>
      <c r="E282" s="119"/>
      <c r="F282" s="120"/>
      <c r="G282" s="202"/>
      <c r="H282" s="203"/>
      <c r="I282" s="201"/>
      <c r="J282" s="202"/>
      <c r="K282" s="7"/>
      <c r="L282" s="201"/>
      <c r="M282" s="29"/>
      <c r="N282" s="7"/>
      <c r="O282" s="30"/>
      <c r="P282" s="85"/>
      <c r="Q282" s="193"/>
    </row>
    <row r="283" spans="1:17" ht="12.75">
      <c r="A283" s="49" t="s">
        <v>68</v>
      </c>
      <c r="B283" s="102"/>
      <c r="C283" s="121"/>
      <c r="D283" s="119"/>
      <c r="E283" s="119"/>
      <c r="F283" s="120">
        <f>C283+D283+E283</f>
        <v>0</v>
      </c>
      <c r="G283" s="202"/>
      <c r="H283" s="203"/>
      <c r="I283" s="201"/>
      <c r="J283" s="202"/>
      <c r="K283" s="7"/>
      <c r="L283" s="201"/>
      <c r="M283" s="29"/>
      <c r="N283" s="7"/>
      <c r="O283" s="30"/>
      <c r="P283" s="85"/>
      <c r="Q283" s="193"/>
    </row>
    <row r="284" spans="1:17" ht="12.75">
      <c r="A284" s="56" t="s">
        <v>316</v>
      </c>
      <c r="B284" s="105"/>
      <c r="C284" s="131"/>
      <c r="D284" s="132">
        <f>46000</f>
        <v>46000</v>
      </c>
      <c r="E284" s="132"/>
      <c r="F284" s="169">
        <f>C284+D284+E284</f>
        <v>46000</v>
      </c>
      <c r="G284" s="215"/>
      <c r="H284" s="216"/>
      <c r="I284" s="217">
        <f>F284+G284+H284</f>
        <v>46000</v>
      </c>
      <c r="J284" s="215"/>
      <c r="K284" s="10"/>
      <c r="L284" s="217">
        <f>I284+J284+K284</f>
        <v>46000</v>
      </c>
      <c r="M284" s="33"/>
      <c r="N284" s="10"/>
      <c r="O284" s="34"/>
      <c r="P284" s="90"/>
      <c r="Q284" s="194"/>
    </row>
    <row r="285" spans="1:17" ht="12.75" hidden="1">
      <c r="A285" s="49" t="s">
        <v>80</v>
      </c>
      <c r="B285" s="102"/>
      <c r="C285" s="121"/>
      <c r="D285" s="119"/>
      <c r="E285" s="119"/>
      <c r="F285" s="120">
        <f>C285+D285+E285</f>
        <v>0</v>
      </c>
      <c r="G285" s="202"/>
      <c r="H285" s="203"/>
      <c r="I285" s="201">
        <f>F285+G285+H285</f>
        <v>0</v>
      </c>
      <c r="J285" s="202"/>
      <c r="K285" s="7"/>
      <c r="L285" s="201">
        <f>I285+J285+K285</f>
        <v>0</v>
      </c>
      <c r="M285" s="29"/>
      <c r="N285" s="7"/>
      <c r="O285" s="30">
        <f>L285+M285+N285</f>
        <v>0</v>
      </c>
      <c r="P285" s="85"/>
      <c r="Q285" s="193">
        <f>O285+P285</f>
        <v>0</v>
      </c>
    </row>
    <row r="286" spans="1:17" ht="12.75" hidden="1">
      <c r="A286" s="56" t="s">
        <v>269</v>
      </c>
      <c r="B286" s="105"/>
      <c r="C286" s="131"/>
      <c r="D286" s="132"/>
      <c r="E286" s="132"/>
      <c r="F286" s="169">
        <f>C286+D286+E286</f>
        <v>0</v>
      </c>
      <c r="G286" s="215"/>
      <c r="H286" s="216"/>
      <c r="I286" s="217">
        <f>F286+G286+H286</f>
        <v>0</v>
      </c>
      <c r="J286" s="215"/>
      <c r="K286" s="10"/>
      <c r="L286" s="217">
        <f>I286+J286+K286</f>
        <v>0</v>
      </c>
      <c r="M286" s="33"/>
      <c r="N286" s="10"/>
      <c r="O286" s="34">
        <f>L286+M286+N286</f>
        <v>0</v>
      </c>
      <c r="P286" s="90"/>
      <c r="Q286" s="194">
        <f>O286+P286</f>
        <v>0</v>
      </c>
    </row>
    <row r="287" spans="1:17" ht="12.75" hidden="1">
      <c r="A287" s="48" t="s">
        <v>91</v>
      </c>
      <c r="B287" s="105"/>
      <c r="C287" s="131"/>
      <c r="D287" s="132"/>
      <c r="E287" s="132"/>
      <c r="F287" s="169">
        <f>C287+D287+E287</f>
        <v>0</v>
      </c>
      <c r="G287" s="215"/>
      <c r="H287" s="216"/>
      <c r="I287" s="217">
        <f>F287+G287+H287</f>
        <v>0</v>
      </c>
      <c r="J287" s="215"/>
      <c r="K287" s="10"/>
      <c r="L287" s="217">
        <f>I287+J287+K287</f>
        <v>0</v>
      </c>
      <c r="M287" s="33"/>
      <c r="N287" s="10"/>
      <c r="O287" s="34">
        <f>L287+M287+N287</f>
        <v>0</v>
      </c>
      <c r="P287" s="90"/>
      <c r="Q287" s="194">
        <f>O287+P287</f>
        <v>0</v>
      </c>
    </row>
    <row r="288" spans="1:17" ht="12.75">
      <c r="A288" s="57" t="s">
        <v>110</v>
      </c>
      <c r="B288" s="107"/>
      <c r="C288" s="122">
        <f aca="true" t="shared" si="82" ref="C288:Q288">C289+C303</f>
        <v>159458.4</v>
      </c>
      <c r="D288" s="123">
        <f t="shared" si="82"/>
        <v>12297.6</v>
      </c>
      <c r="E288" s="123">
        <f t="shared" si="82"/>
        <v>0</v>
      </c>
      <c r="F288" s="124">
        <f t="shared" si="82"/>
        <v>171756</v>
      </c>
      <c r="G288" s="206">
        <f t="shared" si="82"/>
        <v>2329.1</v>
      </c>
      <c r="H288" s="207">
        <f t="shared" si="82"/>
        <v>0</v>
      </c>
      <c r="I288" s="208">
        <f t="shared" si="82"/>
        <v>174085.1</v>
      </c>
      <c r="J288" s="206">
        <f t="shared" si="82"/>
        <v>9225</v>
      </c>
      <c r="K288" s="123">
        <f t="shared" si="82"/>
        <v>0</v>
      </c>
      <c r="L288" s="208">
        <f t="shared" si="82"/>
        <v>183310.1</v>
      </c>
      <c r="M288" s="122">
        <f t="shared" si="82"/>
        <v>0</v>
      </c>
      <c r="N288" s="123">
        <f t="shared" si="82"/>
        <v>0</v>
      </c>
      <c r="O288" s="124">
        <f t="shared" si="82"/>
        <v>182397.1</v>
      </c>
      <c r="P288" s="122">
        <f t="shared" si="82"/>
        <v>0</v>
      </c>
      <c r="Q288" s="124">
        <f t="shared" si="82"/>
        <v>182397.1</v>
      </c>
    </row>
    <row r="289" spans="1:17" ht="12.75">
      <c r="A289" s="51" t="s">
        <v>62</v>
      </c>
      <c r="B289" s="106"/>
      <c r="C289" s="128">
        <f aca="true" t="shared" si="83" ref="C289:Q289">SUM(C291:C302)</f>
        <v>159458.4</v>
      </c>
      <c r="D289" s="129">
        <f t="shared" si="83"/>
        <v>12297.6</v>
      </c>
      <c r="E289" s="129">
        <f t="shared" si="83"/>
        <v>0</v>
      </c>
      <c r="F289" s="130">
        <f t="shared" si="83"/>
        <v>171756</v>
      </c>
      <c r="G289" s="212">
        <f t="shared" si="83"/>
        <v>2329.1</v>
      </c>
      <c r="H289" s="213">
        <f t="shared" si="83"/>
        <v>0</v>
      </c>
      <c r="I289" s="214">
        <f t="shared" si="83"/>
        <v>174085.1</v>
      </c>
      <c r="J289" s="212">
        <f t="shared" si="83"/>
        <v>9225</v>
      </c>
      <c r="K289" s="129">
        <f t="shared" si="83"/>
        <v>0</v>
      </c>
      <c r="L289" s="214">
        <f t="shared" si="83"/>
        <v>183310.1</v>
      </c>
      <c r="M289" s="128">
        <f t="shared" si="83"/>
        <v>0</v>
      </c>
      <c r="N289" s="129">
        <f t="shared" si="83"/>
        <v>0</v>
      </c>
      <c r="O289" s="130">
        <f t="shared" si="83"/>
        <v>182397.1</v>
      </c>
      <c r="P289" s="128">
        <f t="shared" si="83"/>
        <v>0</v>
      </c>
      <c r="Q289" s="130">
        <f t="shared" si="83"/>
        <v>182397.1</v>
      </c>
    </row>
    <row r="290" spans="1:17" ht="12.75">
      <c r="A290" s="47" t="s">
        <v>33</v>
      </c>
      <c r="B290" s="102"/>
      <c r="C290" s="121"/>
      <c r="D290" s="119"/>
      <c r="E290" s="119"/>
      <c r="F290" s="120"/>
      <c r="G290" s="202"/>
      <c r="H290" s="203"/>
      <c r="I290" s="201"/>
      <c r="J290" s="202"/>
      <c r="K290" s="7"/>
      <c r="L290" s="201"/>
      <c r="M290" s="29"/>
      <c r="N290" s="7"/>
      <c r="O290" s="30"/>
      <c r="P290" s="85"/>
      <c r="Q290" s="193"/>
    </row>
    <row r="291" spans="1:17" ht="12.75">
      <c r="A291" s="49" t="s">
        <v>88</v>
      </c>
      <c r="B291" s="102"/>
      <c r="C291" s="121">
        <v>137599.9</v>
      </c>
      <c r="D291" s="119">
        <f>12811+100+206-1082.4+300</f>
        <v>12334.6</v>
      </c>
      <c r="E291" s="119"/>
      <c r="F291" s="120">
        <f aca="true" t="shared" si="84" ref="F291:F302">C291+D291+E291</f>
        <v>149934.5</v>
      </c>
      <c r="G291" s="202">
        <f>35+228.1+35+1400</f>
        <v>1698.1</v>
      </c>
      <c r="H291" s="203"/>
      <c r="I291" s="201">
        <f>F291+G291+H291</f>
        <v>151632.6</v>
      </c>
      <c r="J291" s="202">
        <f>4600+222+120+15+1400</f>
        <v>6357</v>
      </c>
      <c r="K291" s="7"/>
      <c r="L291" s="201">
        <f>I291+J291+K291</f>
        <v>157989.6</v>
      </c>
      <c r="M291" s="29"/>
      <c r="N291" s="7"/>
      <c r="O291" s="30">
        <f>L291+M291+N291</f>
        <v>157989.6</v>
      </c>
      <c r="P291" s="85"/>
      <c r="Q291" s="193">
        <f aca="true" t="shared" si="85" ref="Q291:Q302">O291+P291</f>
        <v>157989.6</v>
      </c>
    </row>
    <row r="292" spans="1:17" ht="12.75">
      <c r="A292" s="49" t="s">
        <v>64</v>
      </c>
      <c r="B292" s="102"/>
      <c r="C292" s="121">
        <v>18564.5</v>
      </c>
      <c r="D292" s="119">
        <f>-4714+185-100+178-300</f>
        <v>-4751</v>
      </c>
      <c r="E292" s="119">
        <v>-900</v>
      </c>
      <c r="F292" s="120">
        <f t="shared" si="84"/>
        <v>12913.5</v>
      </c>
      <c r="G292" s="202">
        <f>-117+77</f>
        <v>-40</v>
      </c>
      <c r="H292" s="203"/>
      <c r="I292" s="201">
        <f aca="true" t="shared" si="86" ref="I292:I302">F292+G292+H292</f>
        <v>12873.5</v>
      </c>
      <c r="J292" s="202">
        <f>147+1346-37</f>
        <v>1456</v>
      </c>
      <c r="K292" s="7"/>
      <c r="L292" s="201">
        <f aca="true" t="shared" si="87" ref="L292:L302">I292+J292+K292</f>
        <v>14329.5</v>
      </c>
      <c r="M292" s="29"/>
      <c r="N292" s="7"/>
      <c r="O292" s="30">
        <f aca="true" t="shared" si="88" ref="O292:O302">L292+M292+N292</f>
        <v>14329.5</v>
      </c>
      <c r="P292" s="85"/>
      <c r="Q292" s="193">
        <f t="shared" si="85"/>
        <v>14329.5</v>
      </c>
    </row>
    <row r="293" spans="1:17" ht="12.75">
      <c r="A293" s="49" t="s">
        <v>153</v>
      </c>
      <c r="B293" s="102"/>
      <c r="C293" s="121">
        <v>3294</v>
      </c>
      <c r="D293" s="119"/>
      <c r="E293" s="119"/>
      <c r="F293" s="120">
        <f t="shared" si="84"/>
        <v>3294</v>
      </c>
      <c r="G293" s="202">
        <f>-77</f>
        <v>-77</v>
      </c>
      <c r="H293" s="203"/>
      <c r="I293" s="201">
        <f t="shared" si="86"/>
        <v>3217</v>
      </c>
      <c r="J293" s="202">
        <f>22</f>
        <v>22</v>
      </c>
      <c r="K293" s="7"/>
      <c r="L293" s="201">
        <f t="shared" si="87"/>
        <v>3239</v>
      </c>
      <c r="M293" s="29"/>
      <c r="N293" s="7"/>
      <c r="O293" s="30">
        <f t="shared" si="88"/>
        <v>3239</v>
      </c>
      <c r="P293" s="85"/>
      <c r="Q293" s="193">
        <f t="shared" si="85"/>
        <v>3239</v>
      </c>
    </row>
    <row r="294" spans="1:17" ht="12.75">
      <c r="A294" s="49" t="s">
        <v>76</v>
      </c>
      <c r="B294" s="102"/>
      <c r="C294" s="121"/>
      <c r="D294" s="119">
        <f>4714</f>
        <v>4714</v>
      </c>
      <c r="E294" s="119">
        <v>900</v>
      </c>
      <c r="F294" s="120">
        <f t="shared" si="84"/>
        <v>5614</v>
      </c>
      <c r="G294" s="202">
        <f>117</f>
        <v>117</v>
      </c>
      <c r="H294" s="203"/>
      <c r="I294" s="201">
        <f t="shared" si="86"/>
        <v>5731</v>
      </c>
      <c r="J294" s="202">
        <f>286</f>
        <v>286</v>
      </c>
      <c r="K294" s="7"/>
      <c r="L294" s="201">
        <f t="shared" si="87"/>
        <v>6017</v>
      </c>
      <c r="M294" s="33"/>
      <c r="N294" s="10"/>
      <c r="O294" s="34">
        <f t="shared" si="88"/>
        <v>6017</v>
      </c>
      <c r="P294" s="90"/>
      <c r="Q294" s="194">
        <f t="shared" si="85"/>
        <v>6017</v>
      </c>
    </row>
    <row r="295" spans="1:17" ht="12.75">
      <c r="A295" s="49" t="s">
        <v>111</v>
      </c>
      <c r="B295" s="102">
        <v>34070</v>
      </c>
      <c r="C295" s="121"/>
      <c r="D295" s="119"/>
      <c r="E295" s="119"/>
      <c r="F295" s="120">
        <f t="shared" si="84"/>
        <v>0</v>
      </c>
      <c r="G295" s="202">
        <f>205</f>
        <v>205</v>
      </c>
      <c r="H295" s="203"/>
      <c r="I295" s="201">
        <f t="shared" si="86"/>
        <v>205</v>
      </c>
      <c r="J295" s="202">
        <f>347</f>
        <v>347</v>
      </c>
      <c r="K295" s="7"/>
      <c r="L295" s="201">
        <f t="shared" si="87"/>
        <v>552</v>
      </c>
      <c r="M295" s="29"/>
      <c r="N295" s="7"/>
      <c r="O295" s="30">
        <f t="shared" si="88"/>
        <v>552</v>
      </c>
      <c r="P295" s="85"/>
      <c r="Q295" s="193">
        <f t="shared" si="85"/>
        <v>552</v>
      </c>
    </row>
    <row r="296" spans="1:17" ht="12.75">
      <c r="A296" s="49" t="s">
        <v>353</v>
      </c>
      <c r="B296" s="102">
        <v>34012</v>
      </c>
      <c r="C296" s="121"/>
      <c r="D296" s="119"/>
      <c r="E296" s="119"/>
      <c r="F296" s="120"/>
      <c r="G296" s="202"/>
      <c r="H296" s="203"/>
      <c r="I296" s="201">
        <f t="shared" si="86"/>
        <v>0</v>
      </c>
      <c r="J296" s="202">
        <f>126</f>
        <v>126</v>
      </c>
      <c r="K296" s="7"/>
      <c r="L296" s="201">
        <f t="shared" si="87"/>
        <v>126</v>
      </c>
      <c r="M296" s="29"/>
      <c r="N296" s="7"/>
      <c r="O296" s="30"/>
      <c r="P296" s="85"/>
      <c r="Q296" s="193"/>
    </row>
    <row r="297" spans="1:17" ht="12.75">
      <c r="A297" s="49" t="s">
        <v>347</v>
      </c>
      <c r="B297" s="102">
        <v>34013</v>
      </c>
      <c r="C297" s="121"/>
      <c r="D297" s="119"/>
      <c r="E297" s="119"/>
      <c r="F297" s="120"/>
      <c r="G297" s="202"/>
      <c r="H297" s="203"/>
      <c r="I297" s="201">
        <f t="shared" si="86"/>
        <v>0</v>
      </c>
      <c r="J297" s="202">
        <f>77+28+69</f>
        <v>174</v>
      </c>
      <c r="K297" s="7"/>
      <c r="L297" s="201">
        <f t="shared" si="87"/>
        <v>174</v>
      </c>
      <c r="M297" s="29"/>
      <c r="N297" s="7"/>
      <c r="O297" s="30"/>
      <c r="P297" s="85"/>
      <c r="Q297" s="193"/>
    </row>
    <row r="298" spans="1:17" ht="12.75">
      <c r="A298" s="49" t="s">
        <v>346</v>
      </c>
      <c r="B298" s="102">
        <v>34017</v>
      </c>
      <c r="C298" s="121"/>
      <c r="D298" s="119"/>
      <c r="E298" s="119"/>
      <c r="F298" s="120"/>
      <c r="G298" s="202"/>
      <c r="H298" s="203"/>
      <c r="I298" s="201">
        <f t="shared" si="86"/>
        <v>0</v>
      </c>
      <c r="J298" s="202">
        <f>80+75+120</f>
        <v>275</v>
      </c>
      <c r="K298" s="7"/>
      <c r="L298" s="201">
        <f t="shared" si="87"/>
        <v>275</v>
      </c>
      <c r="M298" s="29"/>
      <c r="N298" s="7"/>
      <c r="O298" s="30"/>
      <c r="P298" s="85"/>
      <c r="Q298" s="193"/>
    </row>
    <row r="299" spans="1:17" ht="12.75">
      <c r="A299" s="49" t="s">
        <v>348</v>
      </c>
      <c r="B299" s="102">
        <v>34021</v>
      </c>
      <c r="C299" s="121"/>
      <c r="D299" s="119"/>
      <c r="E299" s="119"/>
      <c r="F299" s="120"/>
      <c r="G299" s="202"/>
      <c r="H299" s="203"/>
      <c r="I299" s="201">
        <f t="shared" si="86"/>
        <v>0</v>
      </c>
      <c r="J299" s="202">
        <f>130</f>
        <v>130</v>
      </c>
      <c r="K299" s="7"/>
      <c r="L299" s="201">
        <f t="shared" si="87"/>
        <v>130</v>
      </c>
      <c r="M299" s="29"/>
      <c r="N299" s="7"/>
      <c r="O299" s="30"/>
      <c r="P299" s="85"/>
      <c r="Q299" s="193"/>
    </row>
    <row r="300" spans="1:17" ht="12.75">
      <c r="A300" s="49" t="s">
        <v>112</v>
      </c>
      <c r="B300" s="102">
        <v>34053</v>
      </c>
      <c r="C300" s="121"/>
      <c r="D300" s="119"/>
      <c r="E300" s="132"/>
      <c r="F300" s="120">
        <f t="shared" si="84"/>
        <v>0</v>
      </c>
      <c r="G300" s="202">
        <f>270</f>
        <v>270</v>
      </c>
      <c r="H300" s="203"/>
      <c r="I300" s="201">
        <f t="shared" si="86"/>
        <v>270</v>
      </c>
      <c r="J300" s="202"/>
      <c r="K300" s="7"/>
      <c r="L300" s="201">
        <f>I300+J300+K300</f>
        <v>270</v>
      </c>
      <c r="M300" s="29"/>
      <c r="N300" s="7"/>
      <c r="O300" s="30">
        <f t="shared" si="88"/>
        <v>270</v>
      </c>
      <c r="P300" s="85"/>
      <c r="Q300" s="193">
        <f t="shared" si="85"/>
        <v>270</v>
      </c>
    </row>
    <row r="301" spans="1:17" ht="12.75">
      <c r="A301" s="56" t="s">
        <v>333</v>
      </c>
      <c r="B301" s="105">
        <v>34019</v>
      </c>
      <c r="C301" s="131"/>
      <c r="D301" s="132"/>
      <c r="E301" s="132"/>
      <c r="F301" s="169">
        <f t="shared" si="84"/>
        <v>0</v>
      </c>
      <c r="G301" s="215">
        <f>156</f>
        <v>156</v>
      </c>
      <c r="H301" s="216"/>
      <c r="I301" s="217">
        <f t="shared" si="86"/>
        <v>156</v>
      </c>
      <c r="J301" s="215">
        <f>52</f>
        <v>52</v>
      </c>
      <c r="K301" s="10"/>
      <c r="L301" s="217">
        <f>I301+J301+K301</f>
        <v>208</v>
      </c>
      <c r="M301" s="29"/>
      <c r="N301" s="7"/>
      <c r="O301" s="30"/>
      <c r="P301" s="85"/>
      <c r="Q301" s="193"/>
    </row>
    <row r="302" spans="1:17" ht="12.75" hidden="1">
      <c r="A302" s="49" t="s">
        <v>91</v>
      </c>
      <c r="B302" s="102"/>
      <c r="C302" s="121"/>
      <c r="D302" s="119"/>
      <c r="E302" s="119"/>
      <c r="F302" s="120">
        <f t="shared" si="84"/>
        <v>0</v>
      </c>
      <c r="G302" s="202"/>
      <c r="H302" s="203"/>
      <c r="I302" s="201">
        <f t="shared" si="86"/>
        <v>0</v>
      </c>
      <c r="J302" s="202"/>
      <c r="K302" s="7"/>
      <c r="L302" s="201">
        <f t="shared" si="87"/>
        <v>0</v>
      </c>
      <c r="M302" s="29"/>
      <c r="N302" s="7"/>
      <c r="O302" s="30">
        <f t="shared" si="88"/>
        <v>0</v>
      </c>
      <c r="P302" s="85"/>
      <c r="Q302" s="193">
        <f t="shared" si="85"/>
        <v>0</v>
      </c>
    </row>
    <row r="303" spans="1:17" ht="12.75" hidden="1">
      <c r="A303" s="51" t="s">
        <v>67</v>
      </c>
      <c r="B303" s="106"/>
      <c r="C303" s="128">
        <f>SUM(C305:C308)</f>
        <v>0</v>
      </c>
      <c r="D303" s="129">
        <f>SUM(D305:D308)</f>
        <v>0</v>
      </c>
      <c r="E303" s="129"/>
      <c r="F303" s="130">
        <f>SUM(F305:F308)</f>
        <v>0</v>
      </c>
      <c r="G303" s="212"/>
      <c r="H303" s="213"/>
      <c r="I303" s="214">
        <f>SUM(I305:I308)</f>
        <v>0</v>
      </c>
      <c r="J303" s="212"/>
      <c r="K303" s="11"/>
      <c r="L303" s="214">
        <f>SUM(L305:L308)</f>
        <v>0</v>
      </c>
      <c r="M303" s="35"/>
      <c r="N303" s="11"/>
      <c r="O303" s="36">
        <f>SUM(O305:O308)</f>
        <v>0</v>
      </c>
      <c r="P303" s="87"/>
      <c r="Q303" s="36">
        <f>SUM(Q305:Q308)</f>
        <v>0</v>
      </c>
    </row>
    <row r="304" spans="1:17" ht="12.75" hidden="1">
      <c r="A304" s="47" t="s">
        <v>33</v>
      </c>
      <c r="B304" s="102"/>
      <c r="C304" s="121"/>
      <c r="D304" s="119"/>
      <c r="E304" s="119"/>
      <c r="F304" s="120"/>
      <c r="G304" s="202"/>
      <c r="H304" s="203"/>
      <c r="I304" s="201"/>
      <c r="J304" s="202"/>
      <c r="K304" s="7"/>
      <c r="L304" s="201"/>
      <c r="M304" s="29"/>
      <c r="N304" s="7"/>
      <c r="O304" s="30"/>
      <c r="P304" s="85"/>
      <c r="Q304" s="193"/>
    </row>
    <row r="305" spans="1:17" ht="12.75" hidden="1">
      <c r="A305" s="49" t="s">
        <v>112</v>
      </c>
      <c r="B305" s="102">
        <v>34544</v>
      </c>
      <c r="C305" s="121"/>
      <c r="D305" s="119"/>
      <c r="E305" s="119"/>
      <c r="F305" s="120">
        <f>C305+D305+E305</f>
        <v>0</v>
      </c>
      <c r="G305" s="202"/>
      <c r="H305" s="203"/>
      <c r="I305" s="201"/>
      <c r="J305" s="202"/>
      <c r="K305" s="7"/>
      <c r="L305" s="201">
        <f>I305+J305+K305</f>
        <v>0</v>
      </c>
      <c r="M305" s="29"/>
      <c r="N305" s="7"/>
      <c r="O305" s="30">
        <f>L305+M305+N305</f>
        <v>0</v>
      </c>
      <c r="P305" s="85"/>
      <c r="Q305" s="193">
        <f>O305+P305</f>
        <v>0</v>
      </c>
    </row>
    <row r="306" spans="1:17" ht="12.75" hidden="1">
      <c r="A306" s="81" t="s">
        <v>80</v>
      </c>
      <c r="B306" s="102"/>
      <c r="C306" s="121"/>
      <c r="D306" s="119"/>
      <c r="E306" s="119"/>
      <c r="F306" s="120">
        <f>C306+D306+E306</f>
        <v>0</v>
      </c>
      <c r="G306" s="202"/>
      <c r="H306" s="203"/>
      <c r="I306" s="201">
        <f>F306+G306+H306</f>
        <v>0</v>
      </c>
      <c r="J306" s="202"/>
      <c r="K306" s="7"/>
      <c r="L306" s="201">
        <f>I306+J306+K306</f>
        <v>0</v>
      </c>
      <c r="M306" s="29"/>
      <c r="N306" s="7"/>
      <c r="O306" s="30">
        <f>L306+M306+N306</f>
        <v>0</v>
      </c>
      <c r="P306" s="85"/>
      <c r="Q306" s="193">
        <f>O306+P306</f>
        <v>0</v>
      </c>
    </row>
    <row r="307" spans="1:17" ht="12.75" hidden="1">
      <c r="A307" s="81" t="s">
        <v>68</v>
      </c>
      <c r="B307" s="102"/>
      <c r="C307" s="121"/>
      <c r="D307" s="119"/>
      <c r="E307" s="119"/>
      <c r="F307" s="120">
        <f>C307+D307+E307</f>
        <v>0</v>
      </c>
      <c r="G307" s="202"/>
      <c r="H307" s="203"/>
      <c r="I307" s="201"/>
      <c r="J307" s="202"/>
      <c r="K307" s="7"/>
      <c r="L307" s="201">
        <f>I307+J307+K307</f>
        <v>0</v>
      </c>
      <c r="M307" s="29"/>
      <c r="N307" s="7"/>
      <c r="O307" s="30">
        <f>L307+M307+N307</f>
        <v>0</v>
      </c>
      <c r="P307" s="85"/>
      <c r="Q307" s="193">
        <f>O307+P307</f>
        <v>0</v>
      </c>
    </row>
    <row r="308" spans="1:17" ht="13.5" hidden="1" thickBot="1">
      <c r="A308" s="176" t="s">
        <v>91</v>
      </c>
      <c r="B308" s="172"/>
      <c r="C308" s="173"/>
      <c r="D308" s="174"/>
      <c r="E308" s="174"/>
      <c r="F308" s="175">
        <f>C308+D308+E308</f>
        <v>0</v>
      </c>
      <c r="G308" s="215"/>
      <c r="H308" s="216"/>
      <c r="I308" s="217">
        <f>F308+G308+H308</f>
        <v>0</v>
      </c>
      <c r="J308" s="215"/>
      <c r="K308" s="10"/>
      <c r="L308" s="217">
        <f>I308+J308+K308</f>
        <v>0</v>
      </c>
      <c r="M308" s="82"/>
      <c r="N308" s="10"/>
      <c r="O308" s="34">
        <f>L308+M308+N308</f>
        <v>0</v>
      </c>
      <c r="P308" s="90"/>
      <c r="Q308" s="194">
        <f>O308+P308</f>
        <v>0</v>
      </c>
    </row>
    <row r="309" spans="1:17" ht="12.75">
      <c r="A309" s="57" t="s">
        <v>198</v>
      </c>
      <c r="B309" s="107"/>
      <c r="C309" s="116">
        <f>C310+C334</f>
        <v>389067</v>
      </c>
      <c r="D309" s="117">
        <f>D310+D334</f>
        <v>1009118.1599999999</v>
      </c>
      <c r="E309" s="117">
        <f>E310+E334</f>
        <v>0</v>
      </c>
      <c r="F309" s="118">
        <f>F310+F334</f>
        <v>1398185.1600000001</v>
      </c>
      <c r="G309" s="198">
        <f aca="true" t="shared" si="89" ref="G309:Q309">G310+G334</f>
        <v>549710.7000000001</v>
      </c>
      <c r="H309" s="199">
        <f t="shared" si="89"/>
        <v>0</v>
      </c>
      <c r="I309" s="200">
        <f t="shared" si="89"/>
        <v>1947895.86</v>
      </c>
      <c r="J309" s="198">
        <f t="shared" si="89"/>
        <v>189285.57</v>
      </c>
      <c r="K309" s="117">
        <f t="shared" si="89"/>
        <v>0</v>
      </c>
      <c r="L309" s="200">
        <f t="shared" si="89"/>
        <v>2137181.43</v>
      </c>
      <c r="M309" s="116">
        <f t="shared" si="89"/>
        <v>0</v>
      </c>
      <c r="N309" s="117">
        <f t="shared" si="89"/>
        <v>0</v>
      </c>
      <c r="O309" s="118">
        <f t="shared" si="89"/>
        <v>0</v>
      </c>
      <c r="P309" s="116">
        <f t="shared" si="89"/>
        <v>0</v>
      </c>
      <c r="Q309" s="118">
        <f t="shared" si="89"/>
        <v>0</v>
      </c>
    </row>
    <row r="310" spans="1:17" ht="12.75">
      <c r="A310" s="51" t="s">
        <v>62</v>
      </c>
      <c r="B310" s="106"/>
      <c r="C310" s="128">
        <f>SUM(C312:C322)</f>
        <v>58906</v>
      </c>
      <c r="D310" s="129">
        <f>SUM(D312:D322)</f>
        <v>80514.7</v>
      </c>
      <c r="E310" s="129">
        <f>SUM(E312:E322)</f>
        <v>0</v>
      </c>
      <c r="F310" s="130">
        <f>SUM(F312:F322)</f>
        <v>139420.7</v>
      </c>
      <c r="G310" s="212">
        <f aca="true" t="shared" si="90" ref="G310:Q310">SUM(G312:G322)</f>
        <v>-22959</v>
      </c>
      <c r="H310" s="213">
        <f t="shared" si="90"/>
        <v>0</v>
      </c>
      <c r="I310" s="214">
        <f t="shared" si="90"/>
        <v>116461.7</v>
      </c>
      <c r="J310" s="212">
        <f t="shared" si="90"/>
        <v>-650</v>
      </c>
      <c r="K310" s="129">
        <f t="shared" si="90"/>
        <v>0</v>
      </c>
      <c r="L310" s="214">
        <f t="shared" si="90"/>
        <v>115811.7</v>
      </c>
      <c r="M310" s="128">
        <f t="shared" si="90"/>
        <v>0</v>
      </c>
      <c r="N310" s="129">
        <f t="shared" si="90"/>
        <v>0</v>
      </c>
      <c r="O310" s="130">
        <f t="shared" si="90"/>
        <v>0</v>
      </c>
      <c r="P310" s="128">
        <f t="shared" si="90"/>
        <v>0</v>
      </c>
      <c r="Q310" s="130">
        <f t="shared" si="90"/>
        <v>0</v>
      </c>
    </row>
    <row r="311" spans="1:17" ht="12.75">
      <c r="A311" s="47" t="s">
        <v>33</v>
      </c>
      <c r="B311" s="102"/>
      <c r="C311" s="128"/>
      <c r="D311" s="159"/>
      <c r="E311" s="159"/>
      <c r="F311" s="130"/>
      <c r="G311" s="202"/>
      <c r="H311" s="203"/>
      <c r="I311" s="201"/>
      <c r="J311" s="202"/>
      <c r="K311" s="7"/>
      <c r="L311" s="201"/>
      <c r="M311" s="40"/>
      <c r="N311" s="7"/>
      <c r="O311" s="30"/>
      <c r="P311" s="85"/>
      <c r="Q311" s="193"/>
    </row>
    <row r="312" spans="1:17" ht="12.75">
      <c r="A312" s="49" t="s">
        <v>64</v>
      </c>
      <c r="B312" s="102"/>
      <c r="C312" s="121">
        <v>1582</v>
      </c>
      <c r="D312" s="136"/>
      <c r="E312" s="136"/>
      <c r="F312" s="120">
        <f aca="true" t="shared" si="91" ref="F312:F333">C312+D312+E312</f>
        <v>1582</v>
      </c>
      <c r="G312" s="202"/>
      <c r="H312" s="203"/>
      <c r="I312" s="201">
        <f>F312+G312+H312</f>
        <v>1582</v>
      </c>
      <c r="J312" s="202"/>
      <c r="K312" s="7"/>
      <c r="L312" s="201">
        <f aca="true" t="shared" si="92" ref="L312:L332">I312+J312+K312</f>
        <v>1582</v>
      </c>
      <c r="M312" s="40"/>
      <c r="N312" s="7"/>
      <c r="O312" s="30"/>
      <c r="P312" s="85"/>
      <c r="Q312" s="193"/>
    </row>
    <row r="313" spans="1:17" ht="12.75">
      <c r="A313" s="49" t="s">
        <v>209</v>
      </c>
      <c r="B313" s="102"/>
      <c r="C313" s="121"/>
      <c r="D313" s="136">
        <f>2721.15</f>
        <v>2721.15</v>
      </c>
      <c r="E313" s="136"/>
      <c r="F313" s="120">
        <f t="shared" si="91"/>
        <v>2721.15</v>
      </c>
      <c r="G313" s="202"/>
      <c r="H313" s="203"/>
      <c r="I313" s="201">
        <f aca="true" t="shared" si="93" ref="I313:I332">F313+G313+H313</f>
        <v>2721.15</v>
      </c>
      <c r="J313" s="202"/>
      <c r="K313" s="7"/>
      <c r="L313" s="201">
        <f t="shared" si="92"/>
        <v>2721.15</v>
      </c>
      <c r="M313" s="40"/>
      <c r="N313" s="7"/>
      <c r="O313" s="30"/>
      <c r="P313" s="85"/>
      <c r="Q313" s="193"/>
    </row>
    <row r="314" spans="1:17" ht="12.75">
      <c r="A314" s="49" t="s">
        <v>210</v>
      </c>
      <c r="B314" s="102"/>
      <c r="C314" s="121">
        <v>3090</v>
      </c>
      <c r="D314" s="136">
        <f>1114.3</f>
        <v>1114.3</v>
      </c>
      <c r="E314" s="136"/>
      <c r="F314" s="120">
        <f t="shared" si="91"/>
        <v>4204.3</v>
      </c>
      <c r="G314" s="202"/>
      <c r="H314" s="203"/>
      <c r="I314" s="201">
        <f t="shared" si="93"/>
        <v>4204.3</v>
      </c>
      <c r="J314" s="202"/>
      <c r="K314" s="7"/>
      <c r="L314" s="201">
        <f t="shared" si="92"/>
        <v>4204.3</v>
      </c>
      <c r="M314" s="40"/>
      <c r="N314" s="7"/>
      <c r="O314" s="30"/>
      <c r="P314" s="85"/>
      <c r="Q314" s="193"/>
    </row>
    <row r="315" spans="1:17" ht="12.75">
      <c r="A315" s="103" t="s">
        <v>94</v>
      </c>
      <c r="B315" s="102"/>
      <c r="C315" s="121">
        <v>600</v>
      </c>
      <c r="D315" s="136"/>
      <c r="E315" s="136"/>
      <c r="F315" s="120">
        <f t="shared" si="91"/>
        <v>600</v>
      </c>
      <c r="G315" s="202"/>
      <c r="H315" s="203"/>
      <c r="I315" s="201">
        <f t="shared" si="93"/>
        <v>600</v>
      </c>
      <c r="J315" s="202"/>
      <c r="K315" s="7"/>
      <c r="L315" s="201">
        <f t="shared" si="92"/>
        <v>600</v>
      </c>
      <c r="M315" s="40"/>
      <c r="N315" s="7"/>
      <c r="O315" s="30"/>
      <c r="P315" s="85"/>
      <c r="Q315" s="193"/>
    </row>
    <row r="316" spans="1:17" ht="12.75">
      <c r="A316" s="45" t="s">
        <v>221</v>
      </c>
      <c r="B316" s="102"/>
      <c r="C316" s="121">
        <v>6400</v>
      </c>
      <c r="D316" s="136"/>
      <c r="E316" s="136"/>
      <c r="F316" s="120">
        <f t="shared" si="91"/>
        <v>6400</v>
      </c>
      <c r="G316" s="202"/>
      <c r="H316" s="203"/>
      <c r="I316" s="201">
        <f t="shared" si="93"/>
        <v>6400</v>
      </c>
      <c r="J316" s="202"/>
      <c r="K316" s="7"/>
      <c r="L316" s="201">
        <f t="shared" si="92"/>
        <v>6400</v>
      </c>
      <c r="M316" s="40"/>
      <c r="N316" s="7"/>
      <c r="O316" s="30"/>
      <c r="P316" s="85"/>
      <c r="Q316" s="193"/>
    </row>
    <row r="317" spans="1:17" ht="12.75">
      <c r="A317" s="49" t="s">
        <v>222</v>
      </c>
      <c r="B317" s="102"/>
      <c r="C317" s="121">
        <v>3500</v>
      </c>
      <c r="D317" s="136"/>
      <c r="E317" s="136"/>
      <c r="F317" s="120">
        <f t="shared" si="91"/>
        <v>3500</v>
      </c>
      <c r="G317" s="202"/>
      <c r="H317" s="203"/>
      <c r="I317" s="201">
        <f t="shared" si="93"/>
        <v>3500</v>
      </c>
      <c r="J317" s="202"/>
      <c r="K317" s="7"/>
      <c r="L317" s="201">
        <f t="shared" si="92"/>
        <v>3500</v>
      </c>
      <c r="M317" s="40"/>
      <c r="N317" s="7"/>
      <c r="O317" s="30"/>
      <c r="P317" s="85"/>
      <c r="Q317" s="193"/>
    </row>
    <row r="318" spans="1:17" ht="12.75" hidden="1">
      <c r="A318" s="49" t="s">
        <v>296</v>
      </c>
      <c r="B318" s="102"/>
      <c r="C318" s="121"/>
      <c r="D318" s="136"/>
      <c r="E318" s="136"/>
      <c r="F318" s="120">
        <f t="shared" si="91"/>
        <v>0</v>
      </c>
      <c r="G318" s="202"/>
      <c r="H318" s="203"/>
      <c r="I318" s="201">
        <f t="shared" si="93"/>
        <v>0</v>
      </c>
      <c r="J318" s="202"/>
      <c r="K318" s="7"/>
      <c r="L318" s="201">
        <f t="shared" si="92"/>
        <v>0</v>
      </c>
      <c r="M318" s="40"/>
      <c r="N318" s="7"/>
      <c r="O318" s="30"/>
      <c r="P318" s="85"/>
      <c r="Q318" s="193"/>
    </row>
    <row r="319" spans="1:17" ht="12.75">
      <c r="A319" s="49" t="s">
        <v>300</v>
      </c>
      <c r="B319" s="102"/>
      <c r="C319" s="121"/>
      <c r="D319" s="136">
        <f>482.7</f>
        <v>482.7</v>
      </c>
      <c r="E319" s="136"/>
      <c r="F319" s="120">
        <f t="shared" si="91"/>
        <v>482.7</v>
      </c>
      <c r="G319" s="202"/>
      <c r="H319" s="203"/>
      <c r="I319" s="201">
        <f t="shared" si="93"/>
        <v>482.7</v>
      </c>
      <c r="J319" s="202"/>
      <c r="K319" s="7"/>
      <c r="L319" s="201">
        <f t="shared" si="92"/>
        <v>482.7</v>
      </c>
      <c r="M319" s="40"/>
      <c r="N319" s="7"/>
      <c r="O319" s="30"/>
      <c r="P319" s="85"/>
      <c r="Q319" s="193"/>
    </row>
    <row r="320" spans="1:17" ht="12.75">
      <c r="A320" s="45" t="s">
        <v>246</v>
      </c>
      <c r="B320" s="180">
        <v>212163</v>
      </c>
      <c r="C320" s="121"/>
      <c r="D320" s="136">
        <f>2165.82</f>
        <v>2165.82</v>
      </c>
      <c r="E320" s="136"/>
      <c r="F320" s="120">
        <f t="shared" si="91"/>
        <v>2165.82</v>
      </c>
      <c r="G320" s="202"/>
      <c r="H320" s="203"/>
      <c r="I320" s="201">
        <f t="shared" si="93"/>
        <v>2165.82</v>
      </c>
      <c r="J320" s="202"/>
      <c r="K320" s="7"/>
      <c r="L320" s="201">
        <f t="shared" si="92"/>
        <v>2165.82</v>
      </c>
      <c r="M320" s="40"/>
      <c r="N320" s="7"/>
      <c r="O320" s="30"/>
      <c r="P320" s="85"/>
      <c r="Q320" s="193"/>
    </row>
    <row r="321" spans="1:17" ht="12.75">
      <c r="A321" s="49" t="s">
        <v>202</v>
      </c>
      <c r="B321" s="180">
        <v>212162</v>
      </c>
      <c r="C321" s="121"/>
      <c r="D321" s="136">
        <f>658.97</f>
        <v>658.97</v>
      </c>
      <c r="E321" s="136"/>
      <c r="F321" s="120">
        <f t="shared" si="91"/>
        <v>658.97</v>
      </c>
      <c r="G321" s="202"/>
      <c r="H321" s="203"/>
      <c r="I321" s="201">
        <f t="shared" si="93"/>
        <v>658.97</v>
      </c>
      <c r="J321" s="202"/>
      <c r="K321" s="7"/>
      <c r="L321" s="201">
        <f t="shared" si="92"/>
        <v>658.97</v>
      </c>
      <c r="M321" s="40"/>
      <c r="N321" s="7"/>
      <c r="O321" s="30"/>
      <c r="P321" s="85"/>
      <c r="Q321" s="193"/>
    </row>
    <row r="322" spans="1:17" ht="12.75">
      <c r="A322" s="45" t="s">
        <v>91</v>
      </c>
      <c r="B322" s="102"/>
      <c r="C322" s="137">
        <f aca="true" t="shared" si="94" ref="C322:Q322">SUM(C323:C333)</f>
        <v>43734</v>
      </c>
      <c r="D322" s="136">
        <f t="shared" si="94"/>
        <v>73371.76</v>
      </c>
      <c r="E322" s="136">
        <f t="shared" si="94"/>
        <v>0</v>
      </c>
      <c r="F322" s="189">
        <f t="shared" si="94"/>
        <v>117105.76</v>
      </c>
      <c r="G322" s="222">
        <f t="shared" si="94"/>
        <v>-22959</v>
      </c>
      <c r="H322" s="223">
        <f t="shared" si="94"/>
        <v>0</v>
      </c>
      <c r="I322" s="224">
        <f t="shared" si="94"/>
        <v>94146.76</v>
      </c>
      <c r="J322" s="222">
        <f t="shared" si="94"/>
        <v>-650</v>
      </c>
      <c r="K322" s="136">
        <f t="shared" si="94"/>
        <v>0</v>
      </c>
      <c r="L322" s="224">
        <f t="shared" si="94"/>
        <v>93496.76</v>
      </c>
      <c r="M322" s="137">
        <f t="shared" si="94"/>
        <v>0</v>
      </c>
      <c r="N322" s="136">
        <f t="shared" si="94"/>
        <v>0</v>
      </c>
      <c r="O322" s="189">
        <f t="shared" si="94"/>
        <v>0</v>
      </c>
      <c r="P322" s="137">
        <f t="shared" si="94"/>
        <v>0</v>
      </c>
      <c r="Q322" s="189">
        <f t="shared" si="94"/>
        <v>0</v>
      </c>
    </row>
    <row r="323" spans="1:17" ht="12.75">
      <c r="A323" s="45" t="s">
        <v>278</v>
      </c>
      <c r="B323" s="102"/>
      <c r="C323" s="137">
        <v>35450</v>
      </c>
      <c r="D323" s="136">
        <f>12447.5+4465.69</f>
        <v>16913.19</v>
      </c>
      <c r="E323" s="119"/>
      <c r="F323" s="120">
        <f t="shared" si="91"/>
        <v>52363.19</v>
      </c>
      <c r="G323" s="202">
        <f>1972</f>
        <v>1972</v>
      </c>
      <c r="H323" s="203"/>
      <c r="I323" s="201">
        <f t="shared" si="93"/>
        <v>54335.19</v>
      </c>
      <c r="J323" s="202"/>
      <c r="K323" s="7"/>
      <c r="L323" s="201">
        <f t="shared" si="92"/>
        <v>54335.19</v>
      </c>
      <c r="M323" s="40"/>
      <c r="N323" s="7"/>
      <c r="O323" s="30"/>
      <c r="P323" s="85"/>
      <c r="Q323" s="193"/>
    </row>
    <row r="324" spans="1:17" ht="12.75">
      <c r="A324" s="45" t="s">
        <v>220</v>
      </c>
      <c r="B324" s="102"/>
      <c r="C324" s="137"/>
      <c r="D324" s="136">
        <f>10502.38+7976.61</f>
        <v>18478.989999999998</v>
      </c>
      <c r="E324" s="119"/>
      <c r="F324" s="120">
        <f t="shared" si="91"/>
        <v>18478.989999999998</v>
      </c>
      <c r="G324" s="202"/>
      <c r="H324" s="203"/>
      <c r="I324" s="201">
        <f t="shared" si="93"/>
        <v>18478.989999999998</v>
      </c>
      <c r="J324" s="202"/>
      <c r="K324" s="7"/>
      <c r="L324" s="201">
        <f t="shared" si="92"/>
        <v>18478.989999999998</v>
      </c>
      <c r="M324" s="40"/>
      <c r="N324" s="7"/>
      <c r="O324" s="30"/>
      <c r="P324" s="85"/>
      <c r="Q324" s="193"/>
    </row>
    <row r="325" spans="1:17" ht="12.75" hidden="1">
      <c r="A325" s="45" t="s">
        <v>263</v>
      </c>
      <c r="B325" s="102"/>
      <c r="C325" s="137"/>
      <c r="D325" s="160"/>
      <c r="E325" s="119"/>
      <c r="F325" s="120">
        <f t="shared" si="91"/>
        <v>0</v>
      </c>
      <c r="G325" s="202"/>
      <c r="H325" s="203"/>
      <c r="I325" s="201">
        <f t="shared" si="93"/>
        <v>0</v>
      </c>
      <c r="J325" s="202"/>
      <c r="K325" s="7"/>
      <c r="L325" s="201">
        <f t="shared" si="92"/>
        <v>0</v>
      </c>
      <c r="M325" s="40"/>
      <c r="N325" s="7"/>
      <c r="O325" s="30"/>
      <c r="P325" s="85"/>
      <c r="Q325" s="193"/>
    </row>
    <row r="326" spans="1:17" ht="12.75" hidden="1">
      <c r="A326" s="45" t="s">
        <v>257</v>
      </c>
      <c r="B326" s="102"/>
      <c r="C326" s="137"/>
      <c r="D326" s="136"/>
      <c r="E326" s="119"/>
      <c r="F326" s="120">
        <f t="shared" si="91"/>
        <v>0</v>
      </c>
      <c r="G326" s="202"/>
      <c r="H326" s="203"/>
      <c r="I326" s="201">
        <f t="shared" si="93"/>
        <v>0</v>
      </c>
      <c r="J326" s="202"/>
      <c r="K326" s="7"/>
      <c r="L326" s="201">
        <f t="shared" si="92"/>
        <v>0</v>
      </c>
      <c r="M326" s="40"/>
      <c r="N326" s="7"/>
      <c r="O326" s="30"/>
      <c r="P326" s="85"/>
      <c r="Q326" s="193"/>
    </row>
    <row r="327" spans="1:17" ht="12.75">
      <c r="A327" s="45" t="s">
        <v>297</v>
      </c>
      <c r="B327" s="102"/>
      <c r="C327" s="137"/>
      <c r="D327" s="136">
        <f>40745.16</f>
        <v>40745.16</v>
      </c>
      <c r="E327" s="119"/>
      <c r="F327" s="120">
        <f t="shared" si="91"/>
        <v>40745.16</v>
      </c>
      <c r="G327" s="202">
        <f>-30000</f>
        <v>-30000</v>
      </c>
      <c r="H327" s="203"/>
      <c r="I327" s="201">
        <f t="shared" si="93"/>
        <v>10745.160000000003</v>
      </c>
      <c r="J327" s="202"/>
      <c r="K327" s="7"/>
      <c r="L327" s="201">
        <f t="shared" si="92"/>
        <v>10745.160000000003</v>
      </c>
      <c r="M327" s="40"/>
      <c r="N327" s="7"/>
      <c r="O327" s="30"/>
      <c r="P327" s="85"/>
      <c r="Q327" s="193"/>
    </row>
    <row r="328" spans="1:17" ht="12.75">
      <c r="A328" s="45" t="s">
        <v>219</v>
      </c>
      <c r="B328" s="102"/>
      <c r="C328" s="137"/>
      <c r="D328" s="136">
        <f>340.4+6.33</f>
        <v>346.72999999999996</v>
      </c>
      <c r="E328" s="119"/>
      <c r="F328" s="120">
        <f t="shared" si="91"/>
        <v>346.72999999999996</v>
      </c>
      <c r="G328" s="202"/>
      <c r="H328" s="203"/>
      <c r="I328" s="201">
        <f t="shared" si="93"/>
        <v>346.72999999999996</v>
      </c>
      <c r="J328" s="202"/>
      <c r="K328" s="7"/>
      <c r="L328" s="201">
        <f t="shared" si="92"/>
        <v>346.72999999999996</v>
      </c>
      <c r="M328" s="40"/>
      <c r="N328" s="7"/>
      <c r="O328" s="30"/>
      <c r="P328" s="85"/>
      <c r="Q328" s="193"/>
    </row>
    <row r="329" spans="1:17" ht="12.75">
      <c r="A329" s="45" t="s">
        <v>223</v>
      </c>
      <c r="B329" s="102"/>
      <c r="C329" s="137"/>
      <c r="D329" s="136">
        <f>2617.13</f>
        <v>2617.13</v>
      </c>
      <c r="E329" s="119"/>
      <c r="F329" s="120">
        <f t="shared" si="91"/>
        <v>2617.13</v>
      </c>
      <c r="G329" s="202"/>
      <c r="H329" s="203"/>
      <c r="I329" s="201">
        <f t="shared" si="93"/>
        <v>2617.13</v>
      </c>
      <c r="J329" s="202"/>
      <c r="K329" s="7"/>
      <c r="L329" s="201">
        <f t="shared" si="92"/>
        <v>2617.13</v>
      </c>
      <c r="M329" s="40"/>
      <c r="N329" s="7"/>
      <c r="O329" s="30"/>
      <c r="P329" s="85"/>
      <c r="Q329" s="193"/>
    </row>
    <row r="330" spans="1:17" ht="12.75" hidden="1">
      <c r="A330" s="45" t="s">
        <v>228</v>
      </c>
      <c r="B330" s="102"/>
      <c r="C330" s="137"/>
      <c r="D330" s="136"/>
      <c r="E330" s="119"/>
      <c r="F330" s="120">
        <f t="shared" si="91"/>
        <v>0</v>
      </c>
      <c r="G330" s="202"/>
      <c r="H330" s="203"/>
      <c r="I330" s="201">
        <f t="shared" si="93"/>
        <v>0</v>
      </c>
      <c r="J330" s="202"/>
      <c r="K330" s="7"/>
      <c r="L330" s="201">
        <f t="shared" si="92"/>
        <v>0</v>
      </c>
      <c r="M330" s="40"/>
      <c r="N330" s="7"/>
      <c r="O330" s="30"/>
      <c r="P330" s="85"/>
      <c r="Q330" s="193"/>
    </row>
    <row r="331" spans="1:17" ht="12.75">
      <c r="A331" s="45" t="s">
        <v>226</v>
      </c>
      <c r="B331" s="102"/>
      <c r="C331" s="137">
        <v>6163</v>
      </c>
      <c r="D331" s="136">
        <f>-5794+214.56</f>
        <v>-5579.44</v>
      </c>
      <c r="E331" s="119"/>
      <c r="F331" s="120">
        <f t="shared" si="91"/>
        <v>583.5600000000004</v>
      </c>
      <c r="G331" s="202">
        <f>5069</f>
        <v>5069</v>
      </c>
      <c r="H331" s="203"/>
      <c r="I331" s="201">
        <f t="shared" si="93"/>
        <v>5652.56</v>
      </c>
      <c r="J331" s="202"/>
      <c r="K331" s="7"/>
      <c r="L331" s="201">
        <f t="shared" si="92"/>
        <v>5652.56</v>
      </c>
      <c r="M331" s="40"/>
      <c r="N331" s="7"/>
      <c r="O331" s="30"/>
      <c r="P331" s="85"/>
      <c r="Q331" s="193"/>
    </row>
    <row r="332" spans="1:17" ht="12.75">
      <c r="A332" s="45" t="s">
        <v>264</v>
      </c>
      <c r="B332" s="102"/>
      <c r="C332" s="137">
        <v>2121</v>
      </c>
      <c r="D332" s="136">
        <f>-250+1595-850-300-345</f>
        <v>-150</v>
      </c>
      <c r="E332" s="119"/>
      <c r="F332" s="120">
        <f t="shared" si="91"/>
        <v>1971</v>
      </c>
      <c r="G332" s="202"/>
      <c r="H332" s="203"/>
      <c r="I332" s="201">
        <f t="shared" si="93"/>
        <v>1971</v>
      </c>
      <c r="J332" s="202">
        <f>-155-265-230</f>
        <v>-650</v>
      </c>
      <c r="K332" s="7"/>
      <c r="L332" s="201">
        <f t="shared" si="92"/>
        <v>1321</v>
      </c>
      <c r="M332" s="40"/>
      <c r="N332" s="7"/>
      <c r="O332" s="30"/>
      <c r="P332" s="85"/>
      <c r="Q332" s="193"/>
    </row>
    <row r="333" spans="1:17" ht="12.75" hidden="1">
      <c r="A333" s="45" t="s">
        <v>322</v>
      </c>
      <c r="B333" s="102"/>
      <c r="C333" s="137"/>
      <c r="D333" s="160"/>
      <c r="E333" s="119"/>
      <c r="F333" s="120">
        <f t="shared" si="91"/>
        <v>0</v>
      </c>
      <c r="G333" s="202"/>
      <c r="H333" s="203"/>
      <c r="I333" s="201"/>
      <c r="J333" s="202"/>
      <c r="K333" s="7"/>
      <c r="L333" s="201"/>
      <c r="M333" s="40"/>
      <c r="N333" s="7"/>
      <c r="O333" s="30"/>
      <c r="P333" s="85"/>
      <c r="Q333" s="193"/>
    </row>
    <row r="334" spans="1:17" ht="12.75">
      <c r="A334" s="51" t="s">
        <v>67</v>
      </c>
      <c r="B334" s="106"/>
      <c r="C334" s="128">
        <f>SUM(C336:C351)</f>
        <v>330161</v>
      </c>
      <c r="D334" s="129">
        <f>SUM(D336:D351)</f>
        <v>928603.46</v>
      </c>
      <c r="E334" s="129">
        <f>SUM(E336:E351)</f>
        <v>0</v>
      </c>
      <c r="F334" s="130">
        <f>SUM(F336:F351)</f>
        <v>1258764.4600000002</v>
      </c>
      <c r="G334" s="212">
        <f aca="true" t="shared" si="95" ref="G334:Q334">SUM(G336:G351)</f>
        <v>572669.7000000001</v>
      </c>
      <c r="H334" s="213">
        <f t="shared" si="95"/>
        <v>0</v>
      </c>
      <c r="I334" s="214">
        <f t="shared" si="95"/>
        <v>1831434.1600000001</v>
      </c>
      <c r="J334" s="212">
        <f t="shared" si="95"/>
        <v>189935.57</v>
      </c>
      <c r="K334" s="129">
        <f t="shared" si="95"/>
        <v>0</v>
      </c>
      <c r="L334" s="214">
        <f t="shared" si="95"/>
        <v>2021369.7300000002</v>
      </c>
      <c r="M334" s="128">
        <f t="shared" si="95"/>
        <v>0</v>
      </c>
      <c r="N334" s="129">
        <f t="shared" si="95"/>
        <v>0</v>
      </c>
      <c r="O334" s="130">
        <f t="shared" si="95"/>
        <v>0</v>
      </c>
      <c r="P334" s="128">
        <f t="shared" si="95"/>
        <v>0</v>
      </c>
      <c r="Q334" s="130">
        <f t="shared" si="95"/>
        <v>0</v>
      </c>
    </row>
    <row r="335" spans="1:17" ht="12.75">
      <c r="A335" s="49" t="s">
        <v>33</v>
      </c>
      <c r="B335" s="102"/>
      <c r="C335" s="121"/>
      <c r="D335" s="119"/>
      <c r="E335" s="119"/>
      <c r="F335" s="120"/>
      <c r="G335" s="202"/>
      <c r="H335" s="203"/>
      <c r="I335" s="201"/>
      <c r="J335" s="202"/>
      <c r="K335" s="7"/>
      <c r="L335" s="201"/>
      <c r="M335" s="40"/>
      <c r="N335" s="7"/>
      <c r="O335" s="30"/>
      <c r="P335" s="85"/>
      <c r="Q335" s="193"/>
    </row>
    <row r="336" spans="1:17" ht="12.75" hidden="1">
      <c r="A336" s="49" t="s">
        <v>211</v>
      </c>
      <c r="B336" s="102"/>
      <c r="C336" s="121"/>
      <c r="D336" s="119"/>
      <c r="E336" s="119"/>
      <c r="F336" s="120">
        <f aca="true" t="shared" si="96" ref="F336:F363">C336+D336+E336</f>
        <v>0</v>
      </c>
      <c r="G336" s="202"/>
      <c r="H336" s="203"/>
      <c r="I336" s="201"/>
      <c r="J336" s="202"/>
      <c r="K336" s="7"/>
      <c r="L336" s="201"/>
      <c r="M336" s="40"/>
      <c r="N336" s="7"/>
      <c r="O336" s="30"/>
      <c r="P336" s="85"/>
      <c r="Q336" s="193"/>
    </row>
    <row r="337" spans="1:17" ht="12.75">
      <c r="A337" s="49" t="s">
        <v>210</v>
      </c>
      <c r="B337" s="102"/>
      <c r="C337" s="121">
        <v>5136</v>
      </c>
      <c r="D337" s="119">
        <f>992.88</f>
        <v>992.88</v>
      </c>
      <c r="E337" s="119"/>
      <c r="F337" s="120">
        <f t="shared" si="96"/>
        <v>6128.88</v>
      </c>
      <c r="G337" s="202"/>
      <c r="H337" s="203"/>
      <c r="I337" s="201">
        <f aca="true" t="shared" si="97" ref="I337:I350">F337+G337+H337</f>
        <v>6128.88</v>
      </c>
      <c r="J337" s="202">
        <f>1136.24</f>
        <v>1136.24</v>
      </c>
      <c r="K337" s="7"/>
      <c r="L337" s="201">
        <f aca="true" t="shared" si="98" ref="L337:L350">I337+J337+K337</f>
        <v>7265.12</v>
      </c>
      <c r="M337" s="40"/>
      <c r="N337" s="7"/>
      <c r="O337" s="30"/>
      <c r="P337" s="85"/>
      <c r="Q337" s="193"/>
    </row>
    <row r="338" spans="1:17" ht="12.75">
      <c r="A338" s="49" t="s">
        <v>201</v>
      </c>
      <c r="B338" s="102"/>
      <c r="C338" s="121">
        <v>13580</v>
      </c>
      <c r="D338" s="119">
        <f>600</f>
        <v>600</v>
      </c>
      <c r="E338" s="119"/>
      <c r="F338" s="120">
        <f t="shared" si="96"/>
        <v>14180</v>
      </c>
      <c r="G338" s="202"/>
      <c r="H338" s="203"/>
      <c r="I338" s="201">
        <f t="shared" si="97"/>
        <v>14180</v>
      </c>
      <c r="J338" s="202">
        <f>12546.42+13000</f>
        <v>25546.42</v>
      </c>
      <c r="K338" s="7"/>
      <c r="L338" s="201">
        <f t="shared" si="98"/>
        <v>39726.42</v>
      </c>
      <c r="M338" s="40"/>
      <c r="N338" s="7"/>
      <c r="O338" s="30"/>
      <c r="P338" s="85"/>
      <c r="Q338" s="193"/>
    </row>
    <row r="339" spans="1:17" ht="12.75" hidden="1">
      <c r="A339" s="49" t="s">
        <v>296</v>
      </c>
      <c r="B339" s="102">
        <v>3000</v>
      </c>
      <c r="C339" s="121"/>
      <c r="D339" s="136"/>
      <c r="E339" s="136"/>
      <c r="F339" s="120">
        <f t="shared" si="96"/>
        <v>0</v>
      </c>
      <c r="G339" s="202"/>
      <c r="H339" s="203"/>
      <c r="I339" s="201">
        <f t="shared" si="97"/>
        <v>0</v>
      </c>
      <c r="J339" s="202"/>
      <c r="K339" s="7"/>
      <c r="L339" s="201">
        <f t="shared" si="98"/>
        <v>0</v>
      </c>
      <c r="M339" s="40"/>
      <c r="N339" s="7"/>
      <c r="O339" s="30"/>
      <c r="P339" s="85"/>
      <c r="Q339" s="193"/>
    </row>
    <row r="340" spans="1:17" ht="12.75">
      <c r="A340" s="49" t="s">
        <v>276</v>
      </c>
      <c r="B340" s="102"/>
      <c r="C340" s="121"/>
      <c r="D340" s="136">
        <f>600+500</f>
        <v>1100</v>
      </c>
      <c r="E340" s="136"/>
      <c r="F340" s="120">
        <f t="shared" si="96"/>
        <v>1100</v>
      </c>
      <c r="G340" s="202"/>
      <c r="H340" s="203"/>
      <c r="I340" s="201">
        <f t="shared" si="97"/>
        <v>1100</v>
      </c>
      <c r="J340" s="202"/>
      <c r="K340" s="7"/>
      <c r="L340" s="201">
        <f t="shared" si="98"/>
        <v>1100</v>
      </c>
      <c r="M340" s="40"/>
      <c r="N340" s="7"/>
      <c r="O340" s="30"/>
      <c r="P340" s="85"/>
      <c r="Q340" s="193"/>
    </row>
    <row r="341" spans="1:17" ht="12.75">
      <c r="A341" s="178" t="s">
        <v>300</v>
      </c>
      <c r="B341" s="102"/>
      <c r="C341" s="121">
        <v>50000</v>
      </c>
      <c r="D341" s="160">
        <f>120936.33-46000</f>
        <v>74936.33</v>
      </c>
      <c r="E341" s="160"/>
      <c r="F341" s="120">
        <f t="shared" si="96"/>
        <v>124936.33</v>
      </c>
      <c r="G341" s="202">
        <f>100000</f>
        <v>100000</v>
      </c>
      <c r="H341" s="203"/>
      <c r="I341" s="201">
        <f t="shared" si="97"/>
        <v>224936.33000000002</v>
      </c>
      <c r="J341" s="202"/>
      <c r="K341" s="7"/>
      <c r="L341" s="201">
        <f t="shared" si="98"/>
        <v>224936.33000000002</v>
      </c>
      <c r="M341" s="40"/>
      <c r="N341" s="7"/>
      <c r="O341" s="30"/>
      <c r="P341" s="85"/>
      <c r="Q341" s="193"/>
    </row>
    <row r="342" spans="1:17" ht="12.75" hidden="1">
      <c r="A342" s="49" t="s">
        <v>280</v>
      </c>
      <c r="B342" s="180">
        <v>212161</v>
      </c>
      <c r="C342" s="121"/>
      <c r="D342" s="136"/>
      <c r="E342" s="136"/>
      <c r="F342" s="120">
        <f t="shared" si="96"/>
        <v>0</v>
      </c>
      <c r="G342" s="202"/>
      <c r="H342" s="203"/>
      <c r="I342" s="201">
        <f t="shared" si="97"/>
        <v>0</v>
      </c>
      <c r="J342" s="202"/>
      <c r="K342" s="7"/>
      <c r="L342" s="201">
        <f t="shared" si="98"/>
        <v>0</v>
      </c>
      <c r="M342" s="40"/>
      <c r="N342" s="7"/>
      <c r="O342" s="30"/>
      <c r="P342" s="85"/>
      <c r="Q342" s="193"/>
    </row>
    <row r="343" spans="1:17" ht="12.75">
      <c r="A343" s="45" t="s">
        <v>279</v>
      </c>
      <c r="B343" s="180">
        <v>212163</v>
      </c>
      <c r="C343" s="121">
        <v>59070</v>
      </c>
      <c r="D343" s="136">
        <f>33451.08+8000</f>
        <v>41451.08</v>
      </c>
      <c r="E343" s="136"/>
      <c r="F343" s="120">
        <f t="shared" si="96"/>
        <v>100521.08</v>
      </c>
      <c r="G343" s="202"/>
      <c r="H343" s="203"/>
      <c r="I343" s="201">
        <f t="shared" si="97"/>
        <v>100521.08</v>
      </c>
      <c r="J343" s="202"/>
      <c r="K343" s="7"/>
      <c r="L343" s="201">
        <f t="shared" si="98"/>
        <v>100521.08</v>
      </c>
      <c r="M343" s="40"/>
      <c r="N343" s="7"/>
      <c r="O343" s="30"/>
      <c r="P343" s="85"/>
      <c r="Q343" s="193"/>
    </row>
    <row r="344" spans="1:17" ht="12.75">
      <c r="A344" s="49" t="s">
        <v>311</v>
      </c>
      <c r="B344" s="180">
        <v>97573</v>
      </c>
      <c r="C344" s="121"/>
      <c r="D344" s="136">
        <v>1698.56</v>
      </c>
      <c r="E344" s="136"/>
      <c r="F344" s="120">
        <f t="shared" si="96"/>
        <v>1698.56</v>
      </c>
      <c r="G344" s="202">
        <f>57957.64</f>
        <v>57957.64</v>
      </c>
      <c r="H344" s="203"/>
      <c r="I344" s="201">
        <f t="shared" si="97"/>
        <v>59656.2</v>
      </c>
      <c r="J344" s="202"/>
      <c r="K344" s="7"/>
      <c r="L344" s="201">
        <f t="shared" si="98"/>
        <v>59656.2</v>
      </c>
      <c r="M344" s="40"/>
      <c r="N344" s="7"/>
      <c r="O344" s="30"/>
      <c r="P344" s="85"/>
      <c r="Q344" s="193"/>
    </row>
    <row r="345" spans="1:17" ht="12.75">
      <c r="A345" s="49" t="s">
        <v>202</v>
      </c>
      <c r="B345" s="180">
        <v>212162</v>
      </c>
      <c r="C345" s="121">
        <v>30000</v>
      </c>
      <c r="D345" s="136">
        <f>71857.18+590.5</f>
        <v>72447.68</v>
      </c>
      <c r="E345" s="136"/>
      <c r="F345" s="120">
        <f t="shared" si="96"/>
        <v>102447.68</v>
      </c>
      <c r="G345" s="202"/>
      <c r="H345" s="203"/>
      <c r="I345" s="201">
        <f t="shared" si="97"/>
        <v>102447.68</v>
      </c>
      <c r="J345" s="202"/>
      <c r="K345" s="7"/>
      <c r="L345" s="201">
        <f t="shared" si="98"/>
        <v>102447.68</v>
      </c>
      <c r="M345" s="40"/>
      <c r="N345" s="7"/>
      <c r="O345" s="30"/>
      <c r="P345" s="85"/>
      <c r="Q345" s="193"/>
    </row>
    <row r="346" spans="1:17" ht="12.75">
      <c r="A346" s="49" t="s">
        <v>344</v>
      </c>
      <c r="B346" s="180">
        <v>22777</v>
      </c>
      <c r="C346" s="121"/>
      <c r="D346" s="136"/>
      <c r="E346" s="136"/>
      <c r="F346" s="120"/>
      <c r="G346" s="202"/>
      <c r="H346" s="203"/>
      <c r="I346" s="201">
        <f t="shared" si="97"/>
        <v>0</v>
      </c>
      <c r="J346" s="202">
        <f>232.99+850.58+48389.17</f>
        <v>49472.74</v>
      </c>
      <c r="K346" s="7"/>
      <c r="L346" s="201">
        <f t="shared" si="98"/>
        <v>49472.74</v>
      </c>
      <c r="M346" s="40"/>
      <c r="N346" s="7"/>
      <c r="O346" s="30"/>
      <c r="P346" s="85"/>
      <c r="Q346" s="193"/>
    </row>
    <row r="347" spans="1:17" ht="12.75">
      <c r="A347" s="67" t="s">
        <v>332</v>
      </c>
      <c r="B347" s="180"/>
      <c r="C347" s="121"/>
      <c r="D347" s="136"/>
      <c r="E347" s="136"/>
      <c r="F347" s="120">
        <f t="shared" si="96"/>
        <v>0</v>
      </c>
      <c r="G347" s="202">
        <f>185316</f>
        <v>185316</v>
      </c>
      <c r="H347" s="203"/>
      <c r="I347" s="201">
        <f t="shared" si="97"/>
        <v>185316</v>
      </c>
      <c r="J347" s="202"/>
      <c r="K347" s="7"/>
      <c r="L347" s="201">
        <f t="shared" si="98"/>
        <v>185316</v>
      </c>
      <c r="M347" s="40"/>
      <c r="N347" s="7"/>
      <c r="O347" s="30"/>
      <c r="P347" s="85"/>
      <c r="Q347" s="193"/>
    </row>
    <row r="348" spans="1:17" ht="12.75">
      <c r="A348" s="67" t="s">
        <v>339</v>
      </c>
      <c r="B348" s="180"/>
      <c r="C348" s="121"/>
      <c r="D348" s="136">
        <f>52007</f>
        <v>52007</v>
      </c>
      <c r="E348" s="136"/>
      <c r="F348" s="120">
        <f t="shared" si="96"/>
        <v>52007</v>
      </c>
      <c r="G348" s="202"/>
      <c r="H348" s="203"/>
      <c r="I348" s="201">
        <f t="shared" si="97"/>
        <v>52007</v>
      </c>
      <c r="J348" s="202"/>
      <c r="K348" s="7"/>
      <c r="L348" s="201">
        <f t="shared" si="98"/>
        <v>52007</v>
      </c>
      <c r="M348" s="40"/>
      <c r="N348" s="7"/>
      <c r="O348" s="30"/>
      <c r="P348" s="85"/>
      <c r="Q348" s="193"/>
    </row>
    <row r="349" spans="1:17" ht="12.75">
      <c r="A349" s="67" t="s">
        <v>354</v>
      </c>
      <c r="B349" s="180"/>
      <c r="C349" s="121"/>
      <c r="D349" s="136"/>
      <c r="E349" s="136"/>
      <c r="F349" s="120"/>
      <c r="G349" s="202"/>
      <c r="H349" s="203"/>
      <c r="I349" s="201">
        <f t="shared" si="97"/>
        <v>0</v>
      </c>
      <c r="J349" s="202">
        <f>2325</f>
        <v>2325</v>
      </c>
      <c r="K349" s="7"/>
      <c r="L349" s="201">
        <f t="shared" si="98"/>
        <v>2325</v>
      </c>
      <c r="M349" s="40"/>
      <c r="N349" s="7"/>
      <c r="O349" s="30"/>
      <c r="P349" s="85"/>
      <c r="Q349" s="193"/>
    </row>
    <row r="350" spans="1:17" ht="12.75" hidden="1">
      <c r="A350" s="49" t="s">
        <v>252</v>
      </c>
      <c r="B350" s="102"/>
      <c r="C350" s="121"/>
      <c r="D350" s="136"/>
      <c r="E350" s="136"/>
      <c r="F350" s="120">
        <f t="shared" si="96"/>
        <v>0</v>
      </c>
      <c r="G350" s="202"/>
      <c r="H350" s="203"/>
      <c r="I350" s="201">
        <f t="shared" si="97"/>
        <v>0</v>
      </c>
      <c r="J350" s="202"/>
      <c r="K350" s="7"/>
      <c r="L350" s="201">
        <f t="shared" si="98"/>
        <v>0</v>
      </c>
      <c r="M350" s="40"/>
      <c r="N350" s="7"/>
      <c r="O350" s="30"/>
      <c r="P350" s="85"/>
      <c r="Q350" s="193"/>
    </row>
    <row r="351" spans="1:17" ht="12.75">
      <c r="A351" s="49" t="s">
        <v>203</v>
      </c>
      <c r="B351" s="102"/>
      <c r="C351" s="121">
        <f>SUM(C352:C363)</f>
        <v>172375</v>
      </c>
      <c r="D351" s="119">
        <f>SUM(D352:D363)</f>
        <v>683369.9299999999</v>
      </c>
      <c r="E351" s="119">
        <f>SUM(E352:E363)</f>
        <v>0</v>
      </c>
      <c r="F351" s="120">
        <f>SUM(F352:F363)</f>
        <v>855744.9300000002</v>
      </c>
      <c r="G351" s="202">
        <f aca="true" t="shared" si="99" ref="G351:Q351">SUM(G352:G363)</f>
        <v>229396.06000000003</v>
      </c>
      <c r="H351" s="203">
        <f t="shared" si="99"/>
        <v>0</v>
      </c>
      <c r="I351" s="201">
        <f>SUM(I352:I363)</f>
        <v>1085140.99</v>
      </c>
      <c r="J351" s="202">
        <f t="shared" si="99"/>
        <v>111455.17000000001</v>
      </c>
      <c r="K351" s="119">
        <f t="shared" si="99"/>
        <v>0</v>
      </c>
      <c r="L351" s="201">
        <f>SUM(L352:L363)</f>
        <v>1196596.1600000001</v>
      </c>
      <c r="M351" s="121">
        <f t="shared" si="99"/>
        <v>0</v>
      </c>
      <c r="N351" s="119">
        <f t="shared" si="99"/>
        <v>0</v>
      </c>
      <c r="O351" s="120">
        <f t="shared" si="99"/>
        <v>0</v>
      </c>
      <c r="P351" s="121">
        <f t="shared" si="99"/>
        <v>0</v>
      </c>
      <c r="Q351" s="120">
        <f t="shared" si="99"/>
        <v>0</v>
      </c>
    </row>
    <row r="352" spans="1:17" ht="12.75">
      <c r="A352" s="49" t="s">
        <v>204</v>
      </c>
      <c r="B352" s="102"/>
      <c r="C352" s="121">
        <v>26000</v>
      </c>
      <c r="D352" s="136">
        <f>28036.77</f>
        <v>28036.77</v>
      </c>
      <c r="E352" s="119"/>
      <c r="F352" s="120">
        <f t="shared" si="96"/>
        <v>54036.770000000004</v>
      </c>
      <c r="G352" s="202">
        <f>100000+5160.95</f>
        <v>105160.95</v>
      </c>
      <c r="H352" s="203"/>
      <c r="I352" s="201">
        <f aca="true" t="shared" si="100" ref="I352:I363">F352+G352+H352</f>
        <v>159197.72</v>
      </c>
      <c r="J352" s="202">
        <f>1172.39+1000</f>
        <v>2172.3900000000003</v>
      </c>
      <c r="K352" s="7"/>
      <c r="L352" s="201">
        <f aca="true" t="shared" si="101" ref="L352:L363">I352+J352+K352</f>
        <v>161370.11000000002</v>
      </c>
      <c r="M352" s="40"/>
      <c r="N352" s="7"/>
      <c r="O352" s="30"/>
      <c r="P352" s="85"/>
      <c r="Q352" s="193"/>
    </row>
    <row r="353" spans="1:17" ht="12.75">
      <c r="A353" s="49" t="s">
        <v>229</v>
      </c>
      <c r="B353" s="102"/>
      <c r="C353" s="121">
        <v>1000</v>
      </c>
      <c r="D353" s="136"/>
      <c r="E353" s="119"/>
      <c r="F353" s="120">
        <f t="shared" si="96"/>
        <v>1000</v>
      </c>
      <c r="G353" s="202"/>
      <c r="H353" s="203"/>
      <c r="I353" s="201">
        <f t="shared" si="100"/>
        <v>1000</v>
      </c>
      <c r="J353" s="202"/>
      <c r="K353" s="7"/>
      <c r="L353" s="201">
        <f t="shared" si="101"/>
        <v>1000</v>
      </c>
      <c r="M353" s="40"/>
      <c r="N353" s="7"/>
      <c r="O353" s="30"/>
      <c r="P353" s="85"/>
      <c r="Q353" s="193"/>
    </row>
    <row r="354" spans="1:17" ht="12.75">
      <c r="A354" s="49" t="s">
        <v>212</v>
      </c>
      <c r="B354" s="102"/>
      <c r="C354" s="121">
        <v>3450</v>
      </c>
      <c r="D354" s="136">
        <f>3471.7</f>
        <v>3471.7</v>
      </c>
      <c r="E354" s="119"/>
      <c r="F354" s="120">
        <f t="shared" si="96"/>
        <v>6921.7</v>
      </c>
      <c r="G354" s="202"/>
      <c r="H354" s="203"/>
      <c r="I354" s="201">
        <f t="shared" si="100"/>
        <v>6921.7</v>
      </c>
      <c r="J354" s="202"/>
      <c r="K354" s="7"/>
      <c r="L354" s="201">
        <f t="shared" si="101"/>
        <v>6921.7</v>
      </c>
      <c r="M354" s="40"/>
      <c r="N354" s="7"/>
      <c r="O354" s="30"/>
      <c r="P354" s="85"/>
      <c r="Q354" s="193"/>
    </row>
    <row r="355" spans="1:17" ht="12.75" hidden="1">
      <c r="A355" s="49" t="s">
        <v>245</v>
      </c>
      <c r="B355" s="102"/>
      <c r="C355" s="121"/>
      <c r="D355" s="136"/>
      <c r="E355" s="119"/>
      <c r="F355" s="120">
        <f t="shared" si="96"/>
        <v>0</v>
      </c>
      <c r="G355" s="202"/>
      <c r="H355" s="203"/>
      <c r="I355" s="201">
        <f t="shared" si="100"/>
        <v>0</v>
      </c>
      <c r="J355" s="202"/>
      <c r="K355" s="7"/>
      <c r="L355" s="201">
        <f t="shared" si="101"/>
        <v>0</v>
      </c>
      <c r="M355" s="40"/>
      <c r="N355" s="7"/>
      <c r="O355" s="30"/>
      <c r="P355" s="85"/>
      <c r="Q355" s="193"/>
    </row>
    <row r="356" spans="1:17" ht="12.75">
      <c r="A356" s="49" t="s">
        <v>205</v>
      </c>
      <c r="B356" s="102"/>
      <c r="C356" s="121">
        <v>65000</v>
      </c>
      <c r="D356" s="136">
        <f>855.97+170593.23+1053.69</f>
        <v>172502.89</v>
      </c>
      <c r="E356" s="119"/>
      <c r="F356" s="120">
        <f t="shared" si="96"/>
        <v>237502.89</v>
      </c>
      <c r="G356" s="202">
        <f>9198.75-1053.69+30000</f>
        <v>38145.06</v>
      </c>
      <c r="H356" s="203"/>
      <c r="I356" s="201">
        <f t="shared" si="100"/>
        <v>275647.95</v>
      </c>
      <c r="J356" s="202">
        <f>118335.38</f>
        <v>118335.38</v>
      </c>
      <c r="K356" s="7"/>
      <c r="L356" s="201">
        <f t="shared" si="101"/>
        <v>393983.33</v>
      </c>
      <c r="M356" s="40"/>
      <c r="N356" s="7"/>
      <c r="O356" s="30"/>
      <c r="P356" s="85"/>
      <c r="Q356" s="193"/>
    </row>
    <row r="357" spans="1:17" ht="12.75">
      <c r="A357" s="49" t="s">
        <v>206</v>
      </c>
      <c r="B357" s="102"/>
      <c r="C357" s="121">
        <v>35000</v>
      </c>
      <c r="D357" s="136">
        <f>2486.19+276.24+45.98+118.58+1093.83+334.39+4755.38+18.15-340.4-20000+400+508.56</f>
        <v>-10303.1</v>
      </c>
      <c r="E357" s="119"/>
      <c r="F357" s="120">
        <f t="shared" si="96"/>
        <v>24696.9</v>
      </c>
      <c r="G357" s="202">
        <f>294.03+1663.99-276.24</f>
        <v>1681.78</v>
      </c>
      <c r="H357" s="203"/>
      <c r="I357" s="201">
        <f t="shared" si="100"/>
        <v>26378.68</v>
      </c>
      <c r="J357" s="202">
        <f>1003.56+2474.7+854.87</f>
        <v>4333.13</v>
      </c>
      <c r="K357" s="7"/>
      <c r="L357" s="201">
        <f t="shared" si="101"/>
        <v>30711.81</v>
      </c>
      <c r="M357" s="40"/>
      <c r="N357" s="7"/>
      <c r="O357" s="30"/>
      <c r="P357" s="85"/>
      <c r="Q357" s="193"/>
    </row>
    <row r="358" spans="1:17" ht="12.75">
      <c r="A358" s="49" t="s">
        <v>213</v>
      </c>
      <c r="B358" s="102"/>
      <c r="C358" s="121">
        <v>8000</v>
      </c>
      <c r="D358" s="136">
        <f>11617.4+2000</f>
        <v>13617.4</v>
      </c>
      <c r="E358" s="119"/>
      <c r="F358" s="120">
        <f t="shared" si="96"/>
        <v>21617.4</v>
      </c>
      <c r="G358" s="202">
        <f>3000</f>
        <v>3000</v>
      </c>
      <c r="H358" s="203"/>
      <c r="I358" s="201">
        <f t="shared" si="100"/>
        <v>24617.4</v>
      </c>
      <c r="J358" s="202">
        <f>2200</f>
        <v>2200</v>
      </c>
      <c r="K358" s="7"/>
      <c r="L358" s="201">
        <f t="shared" si="101"/>
        <v>26817.4</v>
      </c>
      <c r="M358" s="40"/>
      <c r="N358" s="7"/>
      <c r="O358" s="30"/>
      <c r="P358" s="85"/>
      <c r="Q358" s="193"/>
    </row>
    <row r="359" spans="1:17" ht="12.75">
      <c r="A359" s="49" t="s">
        <v>227</v>
      </c>
      <c r="B359" s="102"/>
      <c r="C359" s="121">
        <v>26000</v>
      </c>
      <c r="D359" s="136">
        <f>16373.79+2736.03</f>
        <v>19109.82</v>
      </c>
      <c r="E359" s="119">
        <v>140</v>
      </c>
      <c r="F359" s="120">
        <f t="shared" si="96"/>
        <v>45249.82</v>
      </c>
      <c r="G359" s="202">
        <f>-4000</f>
        <v>-4000</v>
      </c>
      <c r="H359" s="203"/>
      <c r="I359" s="201">
        <f t="shared" si="100"/>
        <v>41249.82</v>
      </c>
      <c r="J359" s="202">
        <f>370.05+10+937.87</f>
        <v>1317.92</v>
      </c>
      <c r="K359" s="7"/>
      <c r="L359" s="201">
        <f t="shared" si="101"/>
        <v>42567.74</v>
      </c>
      <c r="M359" s="40"/>
      <c r="N359" s="7"/>
      <c r="O359" s="30"/>
      <c r="P359" s="85"/>
      <c r="Q359" s="193"/>
    </row>
    <row r="360" spans="1:17" ht="12.75">
      <c r="A360" s="49" t="s">
        <v>207</v>
      </c>
      <c r="B360" s="102"/>
      <c r="C360" s="121">
        <v>5925</v>
      </c>
      <c r="D360" s="119">
        <f>58284+10000+200</f>
        <v>68484</v>
      </c>
      <c r="E360" s="119"/>
      <c r="F360" s="120">
        <f t="shared" si="96"/>
        <v>74409</v>
      </c>
      <c r="G360" s="202">
        <f>6931+4000</f>
        <v>10931</v>
      </c>
      <c r="H360" s="203"/>
      <c r="I360" s="201">
        <f t="shared" si="100"/>
        <v>85340</v>
      </c>
      <c r="J360" s="202">
        <f>1794.63</f>
        <v>1794.63</v>
      </c>
      <c r="K360" s="7"/>
      <c r="L360" s="201">
        <f t="shared" si="101"/>
        <v>87134.63</v>
      </c>
      <c r="M360" s="40"/>
      <c r="N360" s="7"/>
      <c r="O360" s="30"/>
      <c r="P360" s="85"/>
      <c r="Q360" s="193"/>
    </row>
    <row r="361" spans="1:17" ht="12.75">
      <c r="A361" s="49" t="s">
        <v>306</v>
      </c>
      <c r="B361" s="102">
        <v>2088</v>
      </c>
      <c r="C361" s="121"/>
      <c r="D361" s="119">
        <f>6918.64+11340.81+7316.8+77036.9+5994.23+6188.99</f>
        <v>114796.37</v>
      </c>
      <c r="E361" s="119"/>
      <c r="F361" s="120">
        <f t="shared" si="96"/>
        <v>114796.37</v>
      </c>
      <c r="G361" s="202">
        <f>4759.19+4414.57+9320.91+17006.27+8370.9-9198.75+14982.04</f>
        <v>49655.130000000005</v>
      </c>
      <c r="H361" s="203"/>
      <c r="I361" s="201">
        <f t="shared" si="100"/>
        <v>164451.5</v>
      </c>
      <c r="J361" s="202">
        <f>15548.49-118335.38+19898.24+29539.05</f>
        <v>-53349.59999999999</v>
      </c>
      <c r="K361" s="7"/>
      <c r="L361" s="201">
        <f t="shared" si="101"/>
        <v>111101.90000000001</v>
      </c>
      <c r="M361" s="40"/>
      <c r="N361" s="7"/>
      <c r="O361" s="30"/>
      <c r="P361" s="85"/>
      <c r="Q361" s="193"/>
    </row>
    <row r="362" spans="1:17" ht="12.75">
      <c r="A362" s="49" t="s">
        <v>307</v>
      </c>
      <c r="B362" s="102">
        <v>2077</v>
      </c>
      <c r="C362" s="121">
        <v>2000</v>
      </c>
      <c r="D362" s="119">
        <f>-276.24-45.98+2540+8+41.13-18.15+20000+69819.04+349.73-400-180.5</f>
        <v>91837.02999999998</v>
      </c>
      <c r="E362" s="119">
        <v>-140</v>
      </c>
      <c r="F362" s="120">
        <f t="shared" si="96"/>
        <v>93697.02999999998</v>
      </c>
      <c r="G362" s="202">
        <f>60.5+276.24+5000+445.05</f>
        <v>5781.79</v>
      </c>
      <c r="H362" s="203"/>
      <c r="I362" s="201">
        <f t="shared" si="100"/>
        <v>99478.81999999998</v>
      </c>
      <c r="J362" s="202">
        <f>-222.03-602.14+5+41788.2-1484.82-10-605.51</f>
        <v>38868.7</v>
      </c>
      <c r="K362" s="7"/>
      <c r="L362" s="201">
        <f t="shared" si="101"/>
        <v>138347.51999999996</v>
      </c>
      <c r="M362" s="40"/>
      <c r="N362" s="7"/>
      <c r="O362" s="30"/>
      <c r="P362" s="85"/>
      <c r="Q362" s="193"/>
    </row>
    <row r="363" spans="1:17" ht="13.5" thickBot="1">
      <c r="A363" s="176" t="s">
        <v>308</v>
      </c>
      <c r="B363" s="172">
        <v>2099</v>
      </c>
      <c r="C363" s="173"/>
      <c r="D363" s="174">
        <f>44.83+27.24-2486.19-25000+27.1+212347.41+44.72-2679.5-508.56</f>
        <v>181817.05000000002</v>
      </c>
      <c r="E363" s="174"/>
      <c r="F363" s="175">
        <f t="shared" si="96"/>
        <v>181817.05000000002</v>
      </c>
      <c r="G363" s="263">
        <f>35.84+41.21+18.22-360.1-294.03-1663.99-600+25000-445.05-341.75-2350</f>
        <v>19040.350000000002</v>
      </c>
      <c r="H363" s="264"/>
      <c r="I363" s="265">
        <f t="shared" si="100"/>
        <v>200857.40000000002</v>
      </c>
      <c r="J363" s="263">
        <f>17.36+1083.11-3320-148.02-401.42+728.31+0.39-989.88-462.83-392.04-332.36</f>
        <v>-4217.38</v>
      </c>
      <c r="K363" s="266"/>
      <c r="L363" s="265">
        <f t="shared" si="101"/>
        <v>196640.02000000002</v>
      </c>
      <c r="M363" s="82"/>
      <c r="N363" s="10"/>
      <c r="O363" s="34"/>
      <c r="P363" s="90"/>
      <c r="Q363" s="194"/>
    </row>
    <row r="364" spans="1:17" ht="12.75">
      <c r="A364" s="42" t="s">
        <v>113</v>
      </c>
      <c r="B364" s="106"/>
      <c r="C364" s="116">
        <f aca="true" t="shared" si="102" ref="C364:Q364">C365+C385</f>
        <v>188000</v>
      </c>
      <c r="D364" s="117">
        <f t="shared" si="102"/>
        <v>640908.78</v>
      </c>
      <c r="E364" s="117">
        <f t="shared" si="102"/>
        <v>0</v>
      </c>
      <c r="F364" s="118">
        <f t="shared" si="102"/>
        <v>828908.78</v>
      </c>
      <c r="G364" s="198">
        <f t="shared" si="102"/>
        <v>-18320.15</v>
      </c>
      <c r="H364" s="199">
        <f t="shared" si="102"/>
        <v>0</v>
      </c>
      <c r="I364" s="200">
        <f t="shared" si="102"/>
        <v>810588.63</v>
      </c>
      <c r="J364" s="198">
        <f t="shared" si="102"/>
        <v>97897.25</v>
      </c>
      <c r="K364" s="117">
        <f t="shared" si="102"/>
        <v>0</v>
      </c>
      <c r="L364" s="200">
        <f t="shared" si="102"/>
        <v>908485.88</v>
      </c>
      <c r="M364" s="116">
        <f t="shared" si="102"/>
        <v>0</v>
      </c>
      <c r="N364" s="117">
        <f t="shared" si="102"/>
        <v>0</v>
      </c>
      <c r="O364" s="118">
        <f t="shared" si="102"/>
        <v>184868.64</v>
      </c>
      <c r="P364" s="116">
        <f t="shared" si="102"/>
        <v>0</v>
      </c>
      <c r="Q364" s="118">
        <f t="shared" si="102"/>
        <v>184868.64</v>
      </c>
    </row>
    <row r="365" spans="1:17" ht="12.75">
      <c r="A365" s="51" t="s">
        <v>62</v>
      </c>
      <c r="B365" s="106"/>
      <c r="C365" s="128">
        <f aca="true" t="shared" si="103" ref="C365:Q365">SUM(C367:C384)</f>
        <v>188000</v>
      </c>
      <c r="D365" s="129">
        <f t="shared" si="103"/>
        <v>640908.78</v>
      </c>
      <c r="E365" s="129">
        <f t="shared" si="103"/>
        <v>0</v>
      </c>
      <c r="F365" s="130">
        <f t="shared" si="103"/>
        <v>828908.78</v>
      </c>
      <c r="G365" s="212">
        <f t="shared" si="103"/>
        <v>-18680.25</v>
      </c>
      <c r="H365" s="213">
        <f t="shared" si="103"/>
        <v>0</v>
      </c>
      <c r="I365" s="214">
        <f t="shared" si="103"/>
        <v>810228.53</v>
      </c>
      <c r="J365" s="212">
        <f t="shared" si="103"/>
        <v>97897.25</v>
      </c>
      <c r="K365" s="129">
        <f t="shared" si="103"/>
        <v>0</v>
      </c>
      <c r="L365" s="214">
        <f t="shared" si="103"/>
        <v>908125.78</v>
      </c>
      <c r="M365" s="128">
        <f t="shared" si="103"/>
        <v>0</v>
      </c>
      <c r="N365" s="129">
        <f t="shared" si="103"/>
        <v>0</v>
      </c>
      <c r="O365" s="130">
        <f t="shared" si="103"/>
        <v>184508.54</v>
      </c>
      <c r="P365" s="128">
        <f t="shared" si="103"/>
        <v>0</v>
      </c>
      <c r="Q365" s="130">
        <f t="shared" si="103"/>
        <v>184508.54</v>
      </c>
    </row>
    <row r="366" spans="1:17" ht="12.75">
      <c r="A366" s="47" t="s">
        <v>33</v>
      </c>
      <c r="B366" s="102"/>
      <c r="C366" s="121"/>
      <c r="D366" s="119"/>
      <c r="E366" s="119"/>
      <c r="F366" s="120"/>
      <c r="G366" s="202"/>
      <c r="H366" s="203"/>
      <c r="I366" s="201"/>
      <c r="J366" s="202"/>
      <c r="K366" s="7"/>
      <c r="L366" s="201"/>
      <c r="M366" s="29"/>
      <c r="N366" s="7"/>
      <c r="O366" s="30"/>
      <c r="P366" s="85"/>
      <c r="Q366" s="193"/>
    </row>
    <row r="367" spans="1:17" ht="12.75">
      <c r="A367" s="58" t="s">
        <v>114</v>
      </c>
      <c r="B367" s="108"/>
      <c r="C367" s="121">
        <v>149300</v>
      </c>
      <c r="D367" s="119">
        <v>12000</v>
      </c>
      <c r="E367" s="119"/>
      <c r="F367" s="120">
        <f aca="true" t="shared" si="104" ref="F367:F384">C367+D367+E367</f>
        <v>161300</v>
      </c>
      <c r="G367" s="202">
        <f>45</f>
        <v>45</v>
      </c>
      <c r="H367" s="203"/>
      <c r="I367" s="201">
        <f>F367+G367+H367</f>
        <v>161345</v>
      </c>
      <c r="J367" s="202"/>
      <c r="K367" s="7"/>
      <c r="L367" s="201">
        <f>I367+J367+K367</f>
        <v>161345</v>
      </c>
      <c r="M367" s="29"/>
      <c r="N367" s="7"/>
      <c r="O367" s="30">
        <f>L367+M367+N367</f>
        <v>161345</v>
      </c>
      <c r="P367" s="85"/>
      <c r="Q367" s="193">
        <f>O367+P367</f>
        <v>161345</v>
      </c>
    </row>
    <row r="368" spans="1:17" ht="12.75" hidden="1">
      <c r="A368" s="103" t="s">
        <v>258</v>
      </c>
      <c r="B368" s="108"/>
      <c r="C368" s="121"/>
      <c r="D368" s="119"/>
      <c r="E368" s="119"/>
      <c r="F368" s="120">
        <f t="shared" si="104"/>
        <v>0</v>
      </c>
      <c r="G368" s="202"/>
      <c r="H368" s="203"/>
      <c r="I368" s="201">
        <f aca="true" t="shared" si="105" ref="I368:I379">F368+G368+H368</f>
        <v>0</v>
      </c>
      <c r="J368" s="202"/>
      <c r="K368" s="7"/>
      <c r="L368" s="201">
        <f aca="true" t="shared" si="106" ref="L368:L379">I368+J368+K368</f>
        <v>0</v>
      </c>
      <c r="M368" s="29"/>
      <c r="N368" s="7"/>
      <c r="O368" s="30"/>
      <c r="P368" s="85"/>
      <c r="Q368" s="193"/>
    </row>
    <row r="369" spans="1:17" ht="12.75" hidden="1">
      <c r="A369" s="45" t="s">
        <v>167</v>
      </c>
      <c r="B369" s="102"/>
      <c r="C369" s="121"/>
      <c r="D369" s="119"/>
      <c r="E369" s="119"/>
      <c r="F369" s="120">
        <f t="shared" si="104"/>
        <v>0</v>
      </c>
      <c r="G369" s="202"/>
      <c r="H369" s="203"/>
      <c r="I369" s="201">
        <f t="shared" si="105"/>
        <v>0</v>
      </c>
      <c r="J369" s="202"/>
      <c r="K369" s="7"/>
      <c r="L369" s="201">
        <f t="shared" si="106"/>
        <v>0</v>
      </c>
      <c r="M369" s="29"/>
      <c r="N369" s="7"/>
      <c r="O369" s="30">
        <f>L369+M369+N369</f>
        <v>0</v>
      </c>
      <c r="P369" s="85"/>
      <c r="Q369" s="193">
        <f>O369+P369</f>
        <v>0</v>
      </c>
    </row>
    <row r="370" spans="1:17" ht="12.75">
      <c r="A370" s="45" t="s">
        <v>193</v>
      </c>
      <c r="B370" s="102"/>
      <c r="C370" s="121">
        <v>30700</v>
      </c>
      <c r="D370" s="119">
        <f>-2200+246.77</f>
        <v>-1953.23</v>
      </c>
      <c r="E370" s="119"/>
      <c r="F370" s="120">
        <f t="shared" si="104"/>
        <v>28746.77</v>
      </c>
      <c r="G370" s="202"/>
      <c r="H370" s="203"/>
      <c r="I370" s="201">
        <f t="shared" si="105"/>
        <v>28746.77</v>
      </c>
      <c r="J370" s="202"/>
      <c r="K370" s="7"/>
      <c r="L370" s="201">
        <f t="shared" si="106"/>
        <v>28746.77</v>
      </c>
      <c r="M370" s="29"/>
      <c r="N370" s="7"/>
      <c r="O370" s="30"/>
      <c r="P370" s="85"/>
      <c r="Q370" s="193"/>
    </row>
    <row r="371" spans="1:17" ht="12.75">
      <c r="A371" s="45" t="s">
        <v>64</v>
      </c>
      <c r="B371" s="102"/>
      <c r="C371" s="121">
        <v>8000</v>
      </c>
      <c r="D371" s="119">
        <f>2200</f>
        <v>2200</v>
      </c>
      <c r="E371" s="119"/>
      <c r="F371" s="120">
        <f t="shared" si="104"/>
        <v>10200</v>
      </c>
      <c r="G371" s="202"/>
      <c r="H371" s="203"/>
      <c r="I371" s="201">
        <f t="shared" si="105"/>
        <v>10200</v>
      </c>
      <c r="J371" s="202"/>
      <c r="K371" s="7"/>
      <c r="L371" s="201">
        <f t="shared" si="106"/>
        <v>10200</v>
      </c>
      <c r="M371" s="29"/>
      <c r="N371" s="7"/>
      <c r="O371" s="30">
        <f>L371+M371+N371</f>
        <v>10200</v>
      </c>
      <c r="P371" s="85"/>
      <c r="Q371" s="193">
        <f>O371+P371</f>
        <v>10200</v>
      </c>
    </row>
    <row r="372" spans="1:17" ht="12.75" hidden="1">
      <c r="A372" s="45" t="s">
        <v>76</v>
      </c>
      <c r="B372" s="102"/>
      <c r="C372" s="121"/>
      <c r="D372" s="119"/>
      <c r="E372" s="119"/>
      <c r="F372" s="120">
        <f t="shared" si="104"/>
        <v>0</v>
      </c>
      <c r="G372" s="202"/>
      <c r="H372" s="203"/>
      <c r="I372" s="201">
        <f t="shared" si="105"/>
        <v>0</v>
      </c>
      <c r="J372" s="202"/>
      <c r="K372" s="7"/>
      <c r="L372" s="201">
        <f t="shared" si="106"/>
        <v>0</v>
      </c>
      <c r="M372" s="29"/>
      <c r="N372" s="7"/>
      <c r="O372" s="30">
        <f>L372+M372+N372</f>
        <v>0</v>
      </c>
      <c r="P372" s="85"/>
      <c r="Q372" s="193">
        <f>O372+P372</f>
        <v>0</v>
      </c>
    </row>
    <row r="373" spans="1:17" ht="12.75">
      <c r="A373" s="45" t="s">
        <v>335</v>
      </c>
      <c r="B373" s="102"/>
      <c r="C373" s="121"/>
      <c r="D373" s="119"/>
      <c r="E373" s="119"/>
      <c r="F373" s="120">
        <f t="shared" si="104"/>
        <v>0</v>
      </c>
      <c r="G373" s="202">
        <f>367.11+549.91+485.54</f>
        <v>1402.56</v>
      </c>
      <c r="H373" s="203"/>
      <c r="I373" s="201">
        <f t="shared" si="105"/>
        <v>1402.56</v>
      </c>
      <c r="J373" s="202"/>
      <c r="K373" s="7"/>
      <c r="L373" s="201">
        <f t="shared" si="106"/>
        <v>1402.56</v>
      </c>
      <c r="M373" s="29"/>
      <c r="N373" s="7"/>
      <c r="O373" s="30"/>
      <c r="P373" s="85"/>
      <c r="Q373" s="193"/>
    </row>
    <row r="374" spans="1:17" ht="12.75">
      <c r="A374" s="103" t="s">
        <v>327</v>
      </c>
      <c r="B374" s="102">
        <v>2043</v>
      </c>
      <c r="C374" s="121"/>
      <c r="D374" s="119">
        <f>2680.55</f>
        <v>2680.55</v>
      </c>
      <c r="E374" s="119"/>
      <c r="F374" s="120">
        <f t="shared" si="104"/>
        <v>2680.55</v>
      </c>
      <c r="G374" s="202"/>
      <c r="H374" s="203"/>
      <c r="I374" s="201">
        <f t="shared" si="105"/>
        <v>2680.55</v>
      </c>
      <c r="J374" s="202"/>
      <c r="K374" s="7"/>
      <c r="L374" s="201">
        <f t="shared" si="106"/>
        <v>2680.55</v>
      </c>
      <c r="M374" s="29"/>
      <c r="N374" s="7"/>
      <c r="O374" s="30"/>
      <c r="P374" s="85"/>
      <c r="Q374" s="193"/>
    </row>
    <row r="375" spans="1:17" ht="12.75">
      <c r="A375" s="103" t="s">
        <v>345</v>
      </c>
      <c r="B375" s="102">
        <v>2043</v>
      </c>
      <c r="C375" s="121"/>
      <c r="D375" s="119"/>
      <c r="E375" s="119"/>
      <c r="F375" s="120"/>
      <c r="G375" s="202"/>
      <c r="H375" s="203"/>
      <c r="I375" s="201">
        <f t="shared" si="105"/>
        <v>0</v>
      </c>
      <c r="J375" s="202">
        <f>1661.33</f>
        <v>1661.33</v>
      </c>
      <c r="K375" s="7"/>
      <c r="L375" s="201">
        <f t="shared" si="106"/>
        <v>1661.33</v>
      </c>
      <c r="M375" s="29"/>
      <c r="N375" s="7"/>
      <c r="O375" s="30"/>
      <c r="P375" s="85"/>
      <c r="Q375" s="193"/>
    </row>
    <row r="376" spans="1:17" ht="12.75">
      <c r="A376" s="45" t="s">
        <v>310</v>
      </c>
      <c r="B376" s="102">
        <v>2050</v>
      </c>
      <c r="C376" s="121"/>
      <c r="D376" s="119">
        <f>5089.85</f>
        <v>5089.85</v>
      </c>
      <c r="E376" s="119"/>
      <c r="F376" s="120">
        <f t="shared" si="104"/>
        <v>5089.85</v>
      </c>
      <c r="G376" s="202">
        <f>1326.38</f>
        <v>1326.38</v>
      </c>
      <c r="H376" s="203"/>
      <c r="I376" s="201">
        <f t="shared" si="105"/>
        <v>6416.2300000000005</v>
      </c>
      <c r="J376" s="202"/>
      <c r="K376" s="7"/>
      <c r="L376" s="201">
        <f t="shared" si="106"/>
        <v>6416.2300000000005</v>
      </c>
      <c r="M376" s="29"/>
      <c r="N376" s="7"/>
      <c r="O376" s="30"/>
      <c r="P376" s="85"/>
      <c r="Q376" s="193"/>
    </row>
    <row r="377" spans="1:17" ht="12.75">
      <c r="A377" s="45" t="s">
        <v>315</v>
      </c>
      <c r="B377" s="102">
        <v>2050</v>
      </c>
      <c r="C377" s="121"/>
      <c r="D377" s="119">
        <f>94024.14</f>
        <v>94024.14</v>
      </c>
      <c r="E377" s="119"/>
      <c r="F377" s="120">
        <f t="shared" si="104"/>
        <v>94024.14</v>
      </c>
      <c r="G377" s="202"/>
      <c r="H377" s="203"/>
      <c r="I377" s="201">
        <f t="shared" si="105"/>
        <v>94024.14</v>
      </c>
      <c r="J377" s="202">
        <f>33033.92</f>
        <v>33033.92</v>
      </c>
      <c r="K377" s="7"/>
      <c r="L377" s="201">
        <f t="shared" si="106"/>
        <v>127058.06</v>
      </c>
      <c r="M377" s="29"/>
      <c r="N377" s="7"/>
      <c r="O377" s="30"/>
      <c r="P377" s="85"/>
      <c r="Q377" s="193"/>
    </row>
    <row r="378" spans="1:17" ht="12.75">
      <c r="A378" s="45" t="s">
        <v>309</v>
      </c>
      <c r="B378" s="102">
        <v>2044</v>
      </c>
      <c r="C378" s="121"/>
      <c r="D378" s="119">
        <f>6509.74</f>
        <v>6509.74</v>
      </c>
      <c r="E378" s="119"/>
      <c r="F378" s="120">
        <f t="shared" si="104"/>
        <v>6509.74</v>
      </c>
      <c r="G378" s="202"/>
      <c r="H378" s="203"/>
      <c r="I378" s="201">
        <f t="shared" si="105"/>
        <v>6509.74</v>
      </c>
      <c r="J378" s="202"/>
      <c r="K378" s="7"/>
      <c r="L378" s="201">
        <f t="shared" si="106"/>
        <v>6509.74</v>
      </c>
      <c r="M378" s="29"/>
      <c r="N378" s="7"/>
      <c r="O378" s="30"/>
      <c r="P378" s="85"/>
      <c r="Q378" s="193"/>
    </row>
    <row r="379" spans="1:17" ht="12.75">
      <c r="A379" s="103" t="s">
        <v>253</v>
      </c>
      <c r="B379" s="102">
        <v>13305</v>
      </c>
      <c r="C379" s="121"/>
      <c r="D379" s="119">
        <f>485940</f>
        <v>485940</v>
      </c>
      <c r="E379" s="119"/>
      <c r="F379" s="120">
        <f t="shared" si="104"/>
        <v>485940</v>
      </c>
      <c r="G379" s="202"/>
      <c r="H379" s="203"/>
      <c r="I379" s="201">
        <f t="shared" si="105"/>
        <v>485940</v>
      </c>
      <c r="J379" s="202">
        <f>62790</f>
        <v>62790</v>
      </c>
      <c r="K379" s="7"/>
      <c r="L379" s="201">
        <f t="shared" si="106"/>
        <v>548730</v>
      </c>
      <c r="M379" s="29"/>
      <c r="N379" s="7"/>
      <c r="O379" s="30"/>
      <c r="P379" s="85"/>
      <c r="Q379" s="193"/>
    </row>
    <row r="380" spans="1:17" ht="12.75">
      <c r="A380" s="45" t="s">
        <v>115</v>
      </c>
      <c r="B380" s="102">
        <v>13307</v>
      </c>
      <c r="C380" s="121"/>
      <c r="D380" s="119">
        <f>2500</f>
        <v>2500</v>
      </c>
      <c r="E380" s="119"/>
      <c r="F380" s="120">
        <f t="shared" si="104"/>
        <v>2500</v>
      </c>
      <c r="G380" s="202">
        <f>2500</f>
        <v>2500</v>
      </c>
      <c r="H380" s="203"/>
      <c r="I380" s="201">
        <f>F380+G380+H380</f>
        <v>5000</v>
      </c>
      <c r="J380" s="202"/>
      <c r="K380" s="7"/>
      <c r="L380" s="201">
        <f>I380+J380+K380</f>
        <v>5000</v>
      </c>
      <c r="M380" s="29"/>
      <c r="N380" s="7"/>
      <c r="O380" s="30">
        <f>L380+M380+N380</f>
        <v>5000</v>
      </c>
      <c r="P380" s="85"/>
      <c r="Q380" s="193">
        <f>O380+P380</f>
        <v>5000</v>
      </c>
    </row>
    <row r="381" spans="1:17" ht="12.75">
      <c r="A381" s="45" t="s">
        <v>338</v>
      </c>
      <c r="B381" s="102">
        <v>14018</v>
      </c>
      <c r="C381" s="121"/>
      <c r="D381" s="119"/>
      <c r="E381" s="119"/>
      <c r="F381" s="120">
        <f t="shared" si="104"/>
        <v>0</v>
      </c>
      <c r="G381" s="202">
        <f>288</f>
        <v>288</v>
      </c>
      <c r="H381" s="203"/>
      <c r="I381" s="201">
        <f>F381+G381+H381</f>
        <v>288</v>
      </c>
      <c r="J381" s="202"/>
      <c r="K381" s="7"/>
      <c r="L381" s="201">
        <f>I381+J381+K381</f>
        <v>288</v>
      </c>
      <c r="M381" s="29"/>
      <c r="N381" s="7"/>
      <c r="O381" s="30">
        <f>L381+M381+N381</f>
        <v>288</v>
      </c>
      <c r="P381" s="85"/>
      <c r="Q381" s="193">
        <f>O381+P381</f>
        <v>288</v>
      </c>
    </row>
    <row r="382" spans="1:17" ht="12.75">
      <c r="A382" s="45" t="s">
        <v>349</v>
      </c>
      <c r="B382" s="102">
        <v>13016</v>
      </c>
      <c r="C382" s="121"/>
      <c r="D382" s="119"/>
      <c r="E382" s="119"/>
      <c r="F382" s="120"/>
      <c r="G382" s="202"/>
      <c r="H382" s="203"/>
      <c r="I382" s="201">
        <f>F382+G382+H382</f>
        <v>0</v>
      </c>
      <c r="J382" s="202">
        <f>412</f>
        <v>412</v>
      </c>
      <c r="K382" s="7"/>
      <c r="L382" s="201">
        <f>I382+J382+K382</f>
        <v>412</v>
      </c>
      <c r="M382" s="29"/>
      <c r="N382" s="7"/>
      <c r="O382" s="30"/>
      <c r="P382" s="85"/>
      <c r="Q382" s="193"/>
    </row>
    <row r="383" spans="1:17" ht="12.75">
      <c r="A383" s="54" t="s">
        <v>181</v>
      </c>
      <c r="B383" s="102">
        <v>4359</v>
      </c>
      <c r="C383" s="121"/>
      <c r="D383" s="119"/>
      <c r="E383" s="119"/>
      <c r="F383" s="120">
        <f t="shared" si="104"/>
        <v>0</v>
      </c>
      <c r="G383" s="202">
        <f>88</f>
        <v>88</v>
      </c>
      <c r="H383" s="203"/>
      <c r="I383" s="201">
        <f>F383+G383+H383</f>
        <v>88</v>
      </c>
      <c r="J383" s="202"/>
      <c r="K383" s="7"/>
      <c r="L383" s="201">
        <f>I383+J383+K383</f>
        <v>88</v>
      </c>
      <c r="M383" s="29"/>
      <c r="N383" s="7"/>
      <c r="O383" s="30">
        <f>L383+M383+N383</f>
        <v>88</v>
      </c>
      <c r="P383" s="85"/>
      <c r="Q383" s="193">
        <f>O383+P383</f>
        <v>88</v>
      </c>
    </row>
    <row r="384" spans="1:17" ht="12.75">
      <c r="A384" s="45" t="s">
        <v>90</v>
      </c>
      <c r="B384" s="102"/>
      <c r="C384" s="121"/>
      <c r="D384" s="119">
        <f>25000+5794+136.54+139.37+847.82</f>
        <v>31917.73</v>
      </c>
      <c r="E384" s="119"/>
      <c r="F384" s="120">
        <f t="shared" si="104"/>
        <v>31917.73</v>
      </c>
      <c r="G384" s="202">
        <f>600-25000+69.81</f>
        <v>-24330.19</v>
      </c>
      <c r="H384" s="203"/>
      <c r="I384" s="201">
        <f>F384+G384+H384</f>
        <v>7587.540000000001</v>
      </c>
      <c r="J384" s="202"/>
      <c r="K384" s="7"/>
      <c r="L384" s="201">
        <f>I384+J384+K384</f>
        <v>7587.540000000001</v>
      </c>
      <c r="M384" s="33"/>
      <c r="N384" s="10"/>
      <c r="O384" s="34">
        <f>L384+M384+N384</f>
        <v>7587.540000000001</v>
      </c>
      <c r="P384" s="90"/>
      <c r="Q384" s="194">
        <f>O384+P384</f>
        <v>7587.540000000001</v>
      </c>
    </row>
    <row r="385" spans="1:17" ht="12.75">
      <c r="A385" s="51" t="s">
        <v>67</v>
      </c>
      <c r="B385" s="106"/>
      <c r="C385" s="128">
        <f>SUM(C387:C389)</f>
        <v>0</v>
      </c>
      <c r="D385" s="129">
        <f>SUM(D387:D389)</f>
        <v>0</v>
      </c>
      <c r="E385" s="129">
        <f>SUM(E387:E389)</f>
        <v>0</v>
      </c>
      <c r="F385" s="130">
        <f>SUM(F387:F389)</f>
        <v>0</v>
      </c>
      <c r="G385" s="128">
        <f>SUM(G387:G389)</f>
        <v>360.1</v>
      </c>
      <c r="H385" s="213"/>
      <c r="I385" s="214">
        <f>SUM(I387:I389)</f>
        <v>360.1</v>
      </c>
      <c r="J385" s="212"/>
      <c r="K385" s="11"/>
      <c r="L385" s="214">
        <f>SUM(L387:L389)</f>
        <v>360.1</v>
      </c>
      <c r="M385" s="35"/>
      <c r="N385" s="11"/>
      <c r="O385" s="36">
        <f>SUM(O387:O389)</f>
        <v>360.1</v>
      </c>
      <c r="P385" s="87"/>
      <c r="Q385" s="36">
        <f>SUM(Q387:Q389)</f>
        <v>360.1</v>
      </c>
    </row>
    <row r="386" spans="1:17" ht="12.75">
      <c r="A386" s="47" t="s">
        <v>33</v>
      </c>
      <c r="B386" s="102"/>
      <c r="C386" s="121"/>
      <c r="D386" s="119"/>
      <c r="E386" s="119"/>
      <c r="F386" s="120"/>
      <c r="G386" s="202"/>
      <c r="H386" s="203"/>
      <c r="I386" s="201"/>
      <c r="J386" s="202"/>
      <c r="K386" s="7"/>
      <c r="L386" s="201"/>
      <c r="M386" s="29"/>
      <c r="N386" s="7"/>
      <c r="O386" s="30"/>
      <c r="P386" s="85"/>
      <c r="Q386" s="193"/>
    </row>
    <row r="387" spans="1:17" ht="12.75" hidden="1">
      <c r="A387" s="45" t="s">
        <v>105</v>
      </c>
      <c r="B387" s="102"/>
      <c r="C387" s="121"/>
      <c r="D387" s="119"/>
      <c r="E387" s="119"/>
      <c r="F387" s="120">
        <f>C387+D387+E387</f>
        <v>0</v>
      </c>
      <c r="G387" s="202"/>
      <c r="H387" s="203"/>
      <c r="I387" s="201">
        <f>F387+G387+H387</f>
        <v>0</v>
      </c>
      <c r="J387" s="202"/>
      <c r="K387" s="7"/>
      <c r="L387" s="201">
        <f>I387+J387+K387</f>
        <v>0</v>
      </c>
      <c r="M387" s="29"/>
      <c r="N387" s="7"/>
      <c r="O387" s="30">
        <f>L387+M387+N387</f>
        <v>0</v>
      </c>
      <c r="P387" s="85"/>
      <c r="Q387" s="193">
        <f>O387+P387</f>
        <v>0</v>
      </c>
    </row>
    <row r="388" spans="1:17" ht="12.75" hidden="1">
      <c r="A388" s="45" t="s">
        <v>68</v>
      </c>
      <c r="B388" s="102"/>
      <c r="C388" s="121"/>
      <c r="D388" s="119"/>
      <c r="E388" s="119"/>
      <c r="F388" s="120">
        <f>C388+D388+E388</f>
        <v>0</v>
      </c>
      <c r="G388" s="202"/>
      <c r="H388" s="203"/>
      <c r="I388" s="201"/>
      <c r="J388" s="202"/>
      <c r="K388" s="7"/>
      <c r="L388" s="201">
        <f>I388+J388+K388</f>
        <v>0</v>
      </c>
      <c r="M388" s="29"/>
      <c r="N388" s="7"/>
      <c r="O388" s="30">
        <f>L388+M388+N388</f>
        <v>0</v>
      </c>
      <c r="P388" s="85"/>
      <c r="Q388" s="193">
        <f>O388+P388</f>
        <v>0</v>
      </c>
    </row>
    <row r="389" spans="1:17" ht="12.75">
      <c r="A389" s="48" t="s">
        <v>90</v>
      </c>
      <c r="B389" s="105"/>
      <c r="C389" s="131"/>
      <c r="D389" s="132"/>
      <c r="E389" s="132"/>
      <c r="F389" s="169">
        <f>C389+D389+E389</f>
        <v>0</v>
      </c>
      <c r="G389" s="215">
        <f>360.1</f>
        <v>360.1</v>
      </c>
      <c r="H389" s="216"/>
      <c r="I389" s="217">
        <f>F389+G389+H389</f>
        <v>360.1</v>
      </c>
      <c r="J389" s="215"/>
      <c r="K389" s="10"/>
      <c r="L389" s="217">
        <f>I389+J389+K389</f>
        <v>360.1</v>
      </c>
      <c r="M389" s="29"/>
      <c r="N389" s="7"/>
      <c r="O389" s="30">
        <f>L389+M389+N389</f>
        <v>360.1</v>
      </c>
      <c r="P389" s="85"/>
      <c r="Q389" s="193">
        <f>O389+P389</f>
        <v>360.1</v>
      </c>
    </row>
    <row r="390" spans="1:17" ht="12.75">
      <c r="A390" s="46" t="s">
        <v>224</v>
      </c>
      <c r="B390" s="106"/>
      <c r="C390" s="116">
        <f>C391+C403</f>
        <v>63360</v>
      </c>
      <c r="D390" s="117">
        <f>D391+D403</f>
        <v>-28006.37</v>
      </c>
      <c r="E390" s="117">
        <f>E391+E403</f>
        <v>0</v>
      </c>
      <c r="F390" s="118">
        <f>F391+F403</f>
        <v>35353.630000000005</v>
      </c>
      <c r="G390" s="198">
        <f aca="true" t="shared" si="107" ref="G390:Q390">G391+G403</f>
        <v>3815.95</v>
      </c>
      <c r="H390" s="199">
        <f t="shared" si="107"/>
        <v>18746.47</v>
      </c>
      <c r="I390" s="200">
        <f t="shared" si="107"/>
        <v>57916.049999999996</v>
      </c>
      <c r="J390" s="198">
        <f t="shared" si="107"/>
        <v>1640.16</v>
      </c>
      <c r="K390" s="117">
        <f t="shared" si="107"/>
        <v>16652.77</v>
      </c>
      <c r="L390" s="200">
        <f t="shared" si="107"/>
        <v>76208.98000000001</v>
      </c>
      <c r="M390" s="116">
        <f t="shared" si="107"/>
        <v>0</v>
      </c>
      <c r="N390" s="117">
        <f t="shared" si="107"/>
        <v>0</v>
      </c>
      <c r="O390" s="118">
        <f t="shared" si="107"/>
        <v>16578.620000000003</v>
      </c>
      <c r="P390" s="116">
        <f t="shared" si="107"/>
        <v>0</v>
      </c>
      <c r="Q390" s="118">
        <f t="shared" si="107"/>
        <v>16578.620000000003</v>
      </c>
    </row>
    <row r="391" spans="1:17" ht="12.75">
      <c r="A391" s="51" t="s">
        <v>62</v>
      </c>
      <c r="B391" s="106"/>
      <c r="C391" s="128">
        <f>SUM(C393:C402)</f>
        <v>61860</v>
      </c>
      <c r="D391" s="129">
        <f>SUM(D393:D402)</f>
        <v>-28006.37</v>
      </c>
      <c r="E391" s="129">
        <f>SUM(E393:E402)</f>
        <v>0</v>
      </c>
      <c r="F391" s="130">
        <f>SUM(F393:F402)</f>
        <v>33853.630000000005</v>
      </c>
      <c r="G391" s="212">
        <f aca="true" t="shared" si="108" ref="G391:Q391">SUM(G393:G402)</f>
        <v>3615.95</v>
      </c>
      <c r="H391" s="213">
        <f t="shared" si="108"/>
        <v>0</v>
      </c>
      <c r="I391" s="214">
        <f t="shared" si="108"/>
        <v>37469.579999999994</v>
      </c>
      <c r="J391" s="212">
        <f t="shared" si="108"/>
        <v>1640.16</v>
      </c>
      <c r="K391" s="129">
        <f t="shared" si="108"/>
        <v>0</v>
      </c>
      <c r="L391" s="214">
        <f t="shared" si="108"/>
        <v>39109.74</v>
      </c>
      <c r="M391" s="128">
        <f t="shared" si="108"/>
        <v>0</v>
      </c>
      <c r="N391" s="129">
        <f t="shared" si="108"/>
        <v>0</v>
      </c>
      <c r="O391" s="130">
        <f t="shared" si="108"/>
        <v>14878.62</v>
      </c>
      <c r="P391" s="128">
        <f t="shared" si="108"/>
        <v>0</v>
      </c>
      <c r="Q391" s="130">
        <f t="shared" si="108"/>
        <v>14878.62</v>
      </c>
    </row>
    <row r="392" spans="1:17" ht="12.75">
      <c r="A392" s="47" t="s">
        <v>33</v>
      </c>
      <c r="B392" s="102"/>
      <c r="C392" s="121"/>
      <c r="D392" s="119"/>
      <c r="E392" s="119"/>
      <c r="F392" s="118"/>
      <c r="G392" s="202"/>
      <c r="H392" s="203"/>
      <c r="I392" s="200"/>
      <c r="J392" s="202"/>
      <c r="K392" s="7"/>
      <c r="L392" s="200"/>
      <c r="M392" s="29"/>
      <c r="N392" s="7"/>
      <c r="O392" s="28"/>
      <c r="P392" s="85"/>
      <c r="Q392" s="193"/>
    </row>
    <row r="393" spans="1:17" ht="12.75">
      <c r="A393" s="45" t="s">
        <v>64</v>
      </c>
      <c r="B393" s="102"/>
      <c r="C393" s="121">
        <v>10350</v>
      </c>
      <c r="D393" s="119">
        <f>1042+200</f>
        <v>1242</v>
      </c>
      <c r="E393" s="119"/>
      <c r="F393" s="120">
        <f aca="true" t="shared" si="109" ref="F393:F402">C393+D393+E393</f>
        <v>11592</v>
      </c>
      <c r="G393" s="202">
        <f>465.95+2350-200+1000</f>
        <v>3615.95</v>
      </c>
      <c r="H393" s="203"/>
      <c r="I393" s="201">
        <f>F393+G393+H393</f>
        <v>15207.95</v>
      </c>
      <c r="J393" s="202">
        <f>200+38.2-737.73-800</f>
        <v>-1299.53</v>
      </c>
      <c r="K393" s="7"/>
      <c r="L393" s="201">
        <f>I393+J393+K393</f>
        <v>13908.42</v>
      </c>
      <c r="M393" s="29"/>
      <c r="N393" s="7"/>
      <c r="O393" s="30">
        <f>L393+M393+N393</f>
        <v>13908.42</v>
      </c>
      <c r="P393" s="85"/>
      <c r="Q393" s="193">
        <f>O393+P393</f>
        <v>13908.42</v>
      </c>
    </row>
    <row r="394" spans="1:17" ht="12.75" hidden="1">
      <c r="A394" s="49" t="s">
        <v>255</v>
      </c>
      <c r="B394" s="102"/>
      <c r="C394" s="121"/>
      <c r="D394" s="119"/>
      <c r="E394" s="119"/>
      <c r="F394" s="120">
        <f t="shared" si="109"/>
        <v>0</v>
      </c>
      <c r="G394" s="202"/>
      <c r="H394" s="203"/>
      <c r="I394" s="201">
        <f aca="true" t="shared" si="110" ref="I394:I402">F394+G394+H394</f>
        <v>0</v>
      </c>
      <c r="J394" s="202"/>
      <c r="K394" s="7"/>
      <c r="L394" s="201">
        <f aca="true" t="shared" si="111" ref="L394:L402">I394+J394+K394</f>
        <v>0</v>
      </c>
      <c r="M394" s="29"/>
      <c r="N394" s="7"/>
      <c r="O394" s="30">
        <f aca="true" t="shared" si="112" ref="O394:O399">L394+M394+N394</f>
        <v>0</v>
      </c>
      <c r="P394" s="85"/>
      <c r="Q394" s="193">
        <f>O394+P394</f>
        <v>0</v>
      </c>
    </row>
    <row r="395" spans="1:17" ht="12.75">
      <c r="A395" s="49" t="s">
        <v>256</v>
      </c>
      <c r="B395" s="102"/>
      <c r="C395" s="121">
        <v>50000</v>
      </c>
      <c r="D395" s="119">
        <f>-29000</f>
        <v>-29000</v>
      </c>
      <c r="E395" s="119"/>
      <c r="F395" s="120">
        <f t="shared" si="109"/>
        <v>21000</v>
      </c>
      <c r="G395" s="202"/>
      <c r="H395" s="203"/>
      <c r="I395" s="201">
        <f t="shared" si="110"/>
        <v>21000</v>
      </c>
      <c r="J395" s="202"/>
      <c r="K395" s="7"/>
      <c r="L395" s="201">
        <f t="shared" si="111"/>
        <v>21000</v>
      </c>
      <c r="M395" s="29"/>
      <c r="N395" s="7"/>
      <c r="O395" s="30"/>
      <c r="P395" s="85"/>
      <c r="Q395" s="193"/>
    </row>
    <row r="396" spans="1:17" ht="12.75">
      <c r="A396" s="49" t="s">
        <v>259</v>
      </c>
      <c r="B396" s="102">
        <v>1400</v>
      </c>
      <c r="C396" s="121">
        <v>1510</v>
      </c>
      <c r="D396" s="136">
        <f>-1510</f>
        <v>-1510</v>
      </c>
      <c r="E396" s="119"/>
      <c r="F396" s="120">
        <f t="shared" si="109"/>
        <v>0</v>
      </c>
      <c r="G396" s="202"/>
      <c r="H396" s="203"/>
      <c r="I396" s="201">
        <f t="shared" si="110"/>
        <v>0</v>
      </c>
      <c r="J396" s="202"/>
      <c r="K396" s="7"/>
      <c r="L396" s="201">
        <f t="shared" si="111"/>
        <v>0</v>
      </c>
      <c r="M396" s="29"/>
      <c r="N396" s="7"/>
      <c r="O396" s="30"/>
      <c r="P396" s="85"/>
      <c r="Q396" s="193"/>
    </row>
    <row r="397" spans="1:17" ht="12.75">
      <c r="A397" s="45" t="s">
        <v>90</v>
      </c>
      <c r="B397" s="102"/>
      <c r="C397" s="121"/>
      <c r="D397" s="136">
        <f>156.9+13.3</f>
        <v>170.20000000000002</v>
      </c>
      <c r="E397" s="119"/>
      <c r="F397" s="120">
        <f t="shared" si="109"/>
        <v>170.20000000000002</v>
      </c>
      <c r="G397" s="202"/>
      <c r="H397" s="203"/>
      <c r="I397" s="201">
        <f t="shared" si="110"/>
        <v>170.20000000000002</v>
      </c>
      <c r="J397" s="202">
        <f>800</f>
        <v>800</v>
      </c>
      <c r="K397" s="7"/>
      <c r="L397" s="201">
        <f t="shared" si="111"/>
        <v>970.2</v>
      </c>
      <c r="M397" s="29"/>
      <c r="N397" s="7"/>
      <c r="O397" s="30">
        <f t="shared" si="112"/>
        <v>970.2</v>
      </c>
      <c r="P397" s="85"/>
      <c r="Q397" s="193">
        <f>O397+P397</f>
        <v>970.2</v>
      </c>
    </row>
    <row r="398" spans="1:17" ht="12.75" hidden="1">
      <c r="A398" s="45" t="s">
        <v>76</v>
      </c>
      <c r="B398" s="102"/>
      <c r="C398" s="121"/>
      <c r="D398" s="119"/>
      <c r="E398" s="119"/>
      <c r="F398" s="120">
        <f t="shared" si="109"/>
        <v>0</v>
      </c>
      <c r="G398" s="202"/>
      <c r="H398" s="203"/>
      <c r="I398" s="201">
        <f t="shared" si="110"/>
        <v>0</v>
      </c>
      <c r="J398" s="222"/>
      <c r="K398" s="7"/>
      <c r="L398" s="201">
        <f t="shared" si="111"/>
        <v>0</v>
      </c>
      <c r="M398" s="29"/>
      <c r="N398" s="7"/>
      <c r="O398" s="30">
        <f t="shared" si="112"/>
        <v>0</v>
      </c>
      <c r="P398" s="85"/>
      <c r="Q398" s="193">
        <f>O398+P398</f>
        <v>0</v>
      </c>
    </row>
    <row r="399" spans="1:17" ht="12.75" hidden="1">
      <c r="A399" s="45" t="s">
        <v>189</v>
      </c>
      <c r="B399" s="102"/>
      <c r="C399" s="121"/>
      <c r="D399" s="119"/>
      <c r="E399" s="119"/>
      <c r="F399" s="120">
        <f t="shared" si="109"/>
        <v>0</v>
      </c>
      <c r="G399" s="202"/>
      <c r="H399" s="203"/>
      <c r="I399" s="201">
        <f t="shared" si="110"/>
        <v>0</v>
      </c>
      <c r="J399" s="222"/>
      <c r="K399" s="7"/>
      <c r="L399" s="201">
        <f t="shared" si="111"/>
        <v>0</v>
      </c>
      <c r="M399" s="29"/>
      <c r="N399" s="7"/>
      <c r="O399" s="30">
        <f t="shared" si="112"/>
        <v>0</v>
      </c>
      <c r="P399" s="85"/>
      <c r="Q399" s="193">
        <f>O399+P399</f>
        <v>0</v>
      </c>
    </row>
    <row r="400" spans="1:17" ht="12.75">
      <c r="A400" s="45" t="s">
        <v>355</v>
      </c>
      <c r="B400" s="102">
        <v>17055</v>
      </c>
      <c r="C400" s="121"/>
      <c r="D400" s="119"/>
      <c r="E400" s="119"/>
      <c r="F400" s="120"/>
      <c r="G400" s="202"/>
      <c r="H400" s="203"/>
      <c r="I400" s="201">
        <f t="shared" si="110"/>
        <v>0</v>
      </c>
      <c r="J400" s="222">
        <f>1315</f>
        <v>1315</v>
      </c>
      <c r="K400" s="7"/>
      <c r="L400" s="201">
        <f t="shared" si="111"/>
        <v>1315</v>
      </c>
      <c r="M400" s="29"/>
      <c r="N400" s="7"/>
      <c r="O400" s="30"/>
      <c r="P400" s="85"/>
      <c r="Q400" s="193"/>
    </row>
    <row r="401" spans="1:17" ht="12.75">
      <c r="A401" s="45" t="s">
        <v>302</v>
      </c>
      <c r="B401" s="187" t="s">
        <v>303</v>
      </c>
      <c r="C401" s="121"/>
      <c r="D401" s="119">
        <v>728.31</v>
      </c>
      <c r="E401" s="119"/>
      <c r="F401" s="120">
        <f t="shared" si="109"/>
        <v>728.31</v>
      </c>
      <c r="G401" s="202"/>
      <c r="H401" s="203"/>
      <c r="I401" s="201">
        <f t="shared" si="110"/>
        <v>728.31</v>
      </c>
      <c r="J401" s="222">
        <f>824.69</f>
        <v>824.69</v>
      </c>
      <c r="K401" s="7"/>
      <c r="L401" s="201">
        <f t="shared" si="111"/>
        <v>1553</v>
      </c>
      <c r="M401" s="29"/>
      <c r="N401" s="7"/>
      <c r="O401" s="30"/>
      <c r="P401" s="85"/>
      <c r="Q401" s="193"/>
    </row>
    <row r="402" spans="1:17" ht="12.75">
      <c r="A402" s="45" t="s">
        <v>301</v>
      </c>
      <c r="B402" s="102">
        <v>33064</v>
      </c>
      <c r="C402" s="121"/>
      <c r="D402" s="119">
        <v>363.12</v>
      </c>
      <c r="E402" s="119"/>
      <c r="F402" s="120">
        <f t="shared" si="109"/>
        <v>363.12</v>
      </c>
      <c r="G402" s="202"/>
      <c r="H402" s="203"/>
      <c r="I402" s="201">
        <f t="shared" si="110"/>
        <v>363.12</v>
      </c>
      <c r="J402" s="222"/>
      <c r="K402" s="7"/>
      <c r="L402" s="201">
        <f t="shared" si="111"/>
        <v>363.12</v>
      </c>
      <c r="M402" s="29"/>
      <c r="N402" s="7"/>
      <c r="O402" s="30"/>
      <c r="P402" s="85"/>
      <c r="Q402" s="193"/>
    </row>
    <row r="403" spans="1:17" ht="12.75">
      <c r="A403" s="51" t="s">
        <v>67</v>
      </c>
      <c r="B403" s="106"/>
      <c r="C403" s="128">
        <f>SUM(C405:C411)</f>
        <v>1500</v>
      </c>
      <c r="D403" s="129">
        <f>SUM(D405:D411)</f>
        <v>0</v>
      </c>
      <c r="E403" s="129">
        <f>SUM(E405:E411)</f>
        <v>0</v>
      </c>
      <c r="F403" s="130">
        <f>SUM(F405:F411)</f>
        <v>1500</v>
      </c>
      <c r="G403" s="212">
        <f aca="true" t="shared" si="113" ref="G403:Q403">SUM(G405:G411)</f>
        <v>200</v>
      </c>
      <c r="H403" s="213">
        <f t="shared" si="113"/>
        <v>18746.47</v>
      </c>
      <c r="I403" s="214">
        <f t="shared" si="113"/>
        <v>20446.47</v>
      </c>
      <c r="J403" s="212">
        <f t="shared" si="113"/>
        <v>0</v>
      </c>
      <c r="K403" s="129">
        <f t="shared" si="113"/>
        <v>16652.77</v>
      </c>
      <c r="L403" s="214">
        <f t="shared" si="113"/>
        <v>37099.240000000005</v>
      </c>
      <c r="M403" s="128">
        <f t="shared" si="113"/>
        <v>0</v>
      </c>
      <c r="N403" s="129">
        <f t="shared" si="113"/>
        <v>0</v>
      </c>
      <c r="O403" s="130">
        <f t="shared" si="113"/>
        <v>1700</v>
      </c>
      <c r="P403" s="128">
        <f t="shared" si="113"/>
        <v>0</v>
      </c>
      <c r="Q403" s="130">
        <f t="shared" si="113"/>
        <v>1700</v>
      </c>
    </row>
    <row r="404" spans="1:17" ht="12.75">
      <c r="A404" s="47" t="s">
        <v>33</v>
      </c>
      <c r="B404" s="102"/>
      <c r="C404" s="121"/>
      <c r="D404" s="119"/>
      <c r="E404" s="119"/>
      <c r="F404" s="120"/>
      <c r="G404" s="202"/>
      <c r="H404" s="203"/>
      <c r="I404" s="201"/>
      <c r="J404" s="202"/>
      <c r="K404" s="7"/>
      <c r="L404" s="201"/>
      <c r="M404" s="29"/>
      <c r="N404" s="7"/>
      <c r="O404" s="30"/>
      <c r="P404" s="85"/>
      <c r="Q404" s="193"/>
    </row>
    <row r="405" spans="1:17" ht="12.75" hidden="1">
      <c r="A405" s="49" t="s">
        <v>80</v>
      </c>
      <c r="B405" s="102"/>
      <c r="C405" s="121"/>
      <c r="D405" s="119"/>
      <c r="E405" s="119"/>
      <c r="F405" s="120">
        <f aca="true" t="shared" si="114" ref="F405:F411">C405+D405+E405</f>
        <v>0</v>
      </c>
      <c r="G405" s="202"/>
      <c r="H405" s="203"/>
      <c r="I405" s="201">
        <f aca="true" t="shared" si="115" ref="I405:I411">F405+G405+H405</f>
        <v>0</v>
      </c>
      <c r="J405" s="202"/>
      <c r="K405" s="7"/>
      <c r="L405" s="201">
        <f>I405+J405+K405</f>
        <v>0</v>
      </c>
      <c r="M405" s="29"/>
      <c r="N405" s="7"/>
      <c r="O405" s="30">
        <f>L405+M405+N405</f>
        <v>0</v>
      </c>
      <c r="P405" s="85"/>
      <c r="Q405" s="193">
        <f>O405+P405</f>
        <v>0</v>
      </c>
    </row>
    <row r="406" spans="1:17" ht="12.75" hidden="1">
      <c r="A406" s="49" t="s">
        <v>238</v>
      </c>
      <c r="B406" s="102"/>
      <c r="C406" s="121"/>
      <c r="D406" s="119"/>
      <c r="E406" s="119"/>
      <c r="F406" s="120">
        <f t="shared" si="114"/>
        <v>0</v>
      </c>
      <c r="G406" s="202"/>
      <c r="H406" s="203"/>
      <c r="I406" s="201">
        <f t="shared" si="115"/>
        <v>0</v>
      </c>
      <c r="J406" s="202"/>
      <c r="K406" s="7"/>
      <c r="L406" s="201"/>
      <c r="M406" s="29"/>
      <c r="N406" s="7"/>
      <c r="O406" s="30"/>
      <c r="P406" s="85"/>
      <c r="Q406" s="193"/>
    </row>
    <row r="407" spans="1:17" ht="12.75" hidden="1">
      <c r="A407" s="49" t="s">
        <v>239</v>
      </c>
      <c r="B407" s="102"/>
      <c r="C407" s="121"/>
      <c r="D407" s="119"/>
      <c r="E407" s="119"/>
      <c r="F407" s="120">
        <f t="shared" si="114"/>
        <v>0</v>
      </c>
      <c r="G407" s="202"/>
      <c r="H407" s="203"/>
      <c r="I407" s="201">
        <f t="shared" si="115"/>
        <v>0</v>
      </c>
      <c r="J407" s="202"/>
      <c r="K407" s="7"/>
      <c r="L407" s="201"/>
      <c r="M407" s="29"/>
      <c r="N407" s="7"/>
      <c r="O407" s="30"/>
      <c r="P407" s="85"/>
      <c r="Q407" s="193"/>
    </row>
    <row r="408" spans="1:17" ht="12.75">
      <c r="A408" s="45" t="s">
        <v>90</v>
      </c>
      <c r="B408" s="102"/>
      <c r="C408" s="121"/>
      <c r="D408" s="119"/>
      <c r="E408" s="119"/>
      <c r="F408" s="120">
        <f t="shared" si="114"/>
        <v>0</v>
      </c>
      <c r="G408" s="202"/>
      <c r="H408" s="203">
        <f>18746.47</f>
        <v>18746.47</v>
      </c>
      <c r="I408" s="201">
        <f t="shared" si="115"/>
        <v>18746.47</v>
      </c>
      <c r="J408" s="202"/>
      <c r="K408" s="119">
        <f>16652.77</f>
        <v>16652.77</v>
      </c>
      <c r="L408" s="201">
        <f>I408+J408+K408</f>
        <v>35399.240000000005</v>
      </c>
      <c r="M408" s="29"/>
      <c r="N408" s="7"/>
      <c r="O408" s="30"/>
      <c r="P408" s="85"/>
      <c r="Q408" s="193"/>
    </row>
    <row r="409" spans="1:17" ht="12.75">
      <c r="A409" s="48" t="s">
        <v>68</v>
      </c>
      <c r="B409" s="105"/>
      <c r="C409" s="131">
        <v>1500</v>
      </c>
      <c r="D409" s="132"/>
      <c r="E409" s="132"/>
      <c r="F409" s="169">
        <f t="shared" si="114"/>
        <v>1500</v>
      </c>
      <c r="G409" s="215">
        <f>200</f>
        <v>200</v>
      </c>
      <c r="H409" s="216"/>
      <c r="I409" s="217">
        <f t="shared" si="115"/>
        <v>1700</v>
      </c>
      <c r="J409" s="215"/>
      <c r="K409" s="10"/>
      <c r="L409" s="217">
        <f>I409+J409+K409</f>
        <v>1700</v>
      </c>
      <c r="M409" s="33"/>
      <c r="N409" s="10"/>
      <c r="O409" s="34">
        <f>L409+M409+N409</f>
        <v>1700</v>
      </c>
      <c r="P409" s="90"/>
      <c r="Q409" s="194">
        <f>O409+P409</f>
        <v>1700</v>
      </c>
    </row>
    <row r="410" spans="1:17" ht="12.75" hidden="1">
      <c r="A410" s="45" t="s">
        <v>90</v>
      </c>
      <c r="B410" s="102"/>
      <c r="C410" s="121"/>
      <c r="D410" s="119"/>
      <c r="E410" s="119"/>
      <c r="F410" s="120">
        <f t="shared" si="114"/>
        <v>0</v>
      </c>
      <c r="G410" s="202"/>
      <c r="H410" s="203"/>
      <c r="I410" s="201">
        <f t="shared" si="115"/>
        <v>0</v>
      </c>
      <c r="J410" s="202"/>
      <c r="K410" s="7"/>
      <c r="L410" s="201">
        <f>I410+J410+K410</f>
        <v>0</v>
      </c>
      <c r="M410" s="29"/>
      <c r="N410" s="7"/>
      <c r="O410" s="30">
        <f>L410+M410+N410</f>
        <v>0</v>
      </c>
      <c r="P410" s="85"/>
      <c r="Q410" s="193">
        <f>O410+P410</f>
        <v>0</v>
      </c>
    </row>
    <row r="411" spans="1:17" ht="12.75" hidden="1">
      <c r="A411" s="55" t="s">
        <v>225</v>
      </c>
      <c r="B411" s="105"/>
      <c r="C411" s="131"/>
      <c r="D411" s="132"/>
      <c r="E411" s="132"/>
      <c r="F411" s="169">
        <f t="shared" si="114"/>
        <v>0</v>
      </c>
      <c r="G411" s="215"/>
      <c r="H411" s="216"/>
      <c r="I411" s="217">
        <f t="shared" si="115"/>
        <v>0</v>
      </c>
      <c r="J411" s="215"/>
      <c r="K411" s="10"/>
      <c r="L411" s="217">
        <f>I411+J411+K411</f>
        <v>0</v>
      </c>
      <c r="M411" s="33"/>
      <c r="N411" s="10"/>
      <c r="O411" s="34">
        <f>L411+M411+N411</f>
        <v>0</v>
      </c>
      <c r="P411" s="90"/>
      <c r="Q411" s="194">
        <f>O411+P411</f>
        <v>0</v>
      </c>
    </row>
    <row r="412" spans="1:17" ht="12.75">
      <c r="A412" s="42" t="s">
        <v>116</v>
      </c>
      <c r="B412" s="106"/>
      <c r="C412" s="116">
        <f>C413+C416</f>
        <v>3304.9</v>
      </c>
      <c r="D412" s="117">
        <f>D413+D416</f>
        <v>0</v>
      </c>
      <c r="E412" s="117">
        <f>E413+E416</f>
        <v>0</v>
      </c>
      <c r="F412" s="118">
        <f>F413+F416</f>
        <v>3304.9</v>
      </c>
      <c r="G412" s="198">
        <f aca="true" t="shared" si="116" ref="G412:Q412">G413+G416</f>
        <v>0</v>
      </c>
      <c r="H412" s="199">
        <f t="shared" si="116"/>
        <v>0</v>
      </c>
      <c r="I412" s="200">
        <f t="shared" si="116"/>
        <v>3304.9</v>
      </c>
      <c r="J412" s="198">
        <f t="shared" si="116"/>
        <v>0</v>
      </c>
      <c r="K412" s="117">
        <f t="shared" si="116"/>
        <v>0</v>
      </c>
      <c r="L412" s="200">
        <f t="shared" si="116"/>
        <v>3304.9</v>
      </c>
      <c r="M412" s="116">
        <f t="shared" si="116"/>
        <v>0</v>
      </c>
      <c r="N412" s="117">
        <f t="shared" si="116"/>
        <v>0</v>
      </c>
      <c r="O412" s="118">
        <f t="shared" si="116"/>
        <v>3304.9</v>
      </c>
      <c r="P412" s="116">
        <f t="shared" si="116"/>
        <v>0</v>
      </c>
      <c r="Q412" s="118">
        <f t="shared" si="116"/>
        <v>3304.9</v>
      </c>
    </row>
    <row r="413" spans="1:17" ht="12.75">
      <c r="A413" s="51" t="s">
        <v>62</v>
      </c>
      <c r="B413" s="106"/>
      <c r="C413" s="128">
        <f>SUM(C415:C415)</f>
        <v>3304.9</v>
      </c>
      <c r="D413" s="129">
        <f>SUM(D415:D415)</f>
        <v>0</v>
      </c>
      <c r="E413" s="129">
        <f>SUM(E415:E415)</f>
        <v>0</v>
      </c>
      <c r="F413" s="130">
        <f>SUM(F415:F415)</f>
        <v>3304.9</v>
      </c>
      <c r="G413" s="212">
        <f aca="true" t="shared" si="117" ref="G413:Q413">SUM(G415:G415)</f>
        <v>0</v>
      </c>
      <c r="H413" s="213">
        <f t="shared" si="117"/>
        <v>0</v>
      </c>
      <c r="I413" s="214">
        <f t="shared" si="117"/>
        <v>3304.9</v>
      </c>
      <c r="J413" s="212">
        <f t="shared" si="117"/>
        <v>0</v>
      </c>
      <c r="K413" s="129">
        <f t="shared" si="117"/>
        <v>0</v>
      </c>
      <c r="L413" s="214">
        <f t="shared" si="117"/>
        <v>3304.9</v>
      </c>
      <c r="M413" s="128">
        <f t="shared" si="117"/>
        <v>0</v>
      </c>
      <c r="N413" s="129">
        <f t="shared" si="117"/>
        <v>0</v>
      </c>
      <c r="O413" s="130">
        <f t="shared" si="117"/>
        <v>3304.9</v>
      </c>
      <c r="P413" s="128">
        <f t="shared" si="117"/>
        <v>0</v>
      </c>
      <c r="Q413" s="130">
        <f t="shared" si="117"/>
        <v>3304.9</v>
      </c>
    </row>
    <row r="414" spans="1:17" ht="12.75">
      <c r="A414" s="47" t="s">
        <v>33</v>
      </c>
      <c r="B414" s="102"/>
      <c r="C414" s="121"/>
      <c r="D414" s="119"/>
      <c r="E414" s="119"/>
      <c r="F414" s="118"/>
      <c r="G414" s="202"/>
      <c r="H414" s="203"/>
      <c r="I414" s="200"/>
      <c r="J414" s="202"/>
      <c r="K414" s="7"/>
      <c r="L414" s="200"/>
      <c r="M414" s="29"/>
      <c r="N414" s="7"/>
      <c r="O414" s="28"/>
      <c r="P414" s="85"/>
      <c r="Q414" s="193"/>
    </row>
    <row r="415" spans="1:17" ht="12.75">
      <c r="A415" s="48" t="s">
        <v>64</v>
      </c>
      <c r="B415" s="105"/>
      <c r="C415" s="138">
        <v>3304.9</v>
      </c>
      <c r="D415" s="132"/>
      <c r="E415" s="132"/>
      <c r="F415" s="169">
        <f>C415+D415+E415</f>
        <v>3304.9</v>
      </c>
      <c r="G415" s="215"/>
      <c r="H415" s="216"/>
      <c r="I415" s="217">
        <f>F415+G415+H415</f>
        <v>3304.9</v>
      </c>
      <c r="J415" s="215"/>
      <c r="K415" s="10"/>
      <c r="L415" s="217">
        <f>I415+J415+K415</f>
        <v>3304.9</v>
      </c>
      <c r="M415" s="33"/>
      <c r="N415" s="10"/>
      <c r="O415" s="34">
        <f>L415+M415+N415</f>
        <v>3304.9</v>
      </c>
      <c r="P415" s="90"/>
      <c r="Q415" s="194">
        <f>O415+P415</f>
        <v>3304.9</v>
      </c>
    </row>
    <row r="416" spans="1:17" ht="12.75" hidden="1">
      <c r="A416" s="51" t="s">
        <v>67</v>
      </c>
      <c r="B416" s="106"/>
      <c r="C416" s="128">
        <f aca="true" t="shared" si="118" ref="C416:O416">SUM(C418:C418)</f>
        <v>0</v>
      </c>
      <c r="D416" s="129">
        <f t="shared" si="118"/>
        <v>0</v>
      </c>
      <c r="E416" s="129">
        <f>SUM(E418:E418)</f>
        <v>0</v>
      </c>
      <c r="F416" s="130">
        <f t="shared" si="118"/>
        <v>0</v>
      </c>
      <c r="G416" s="212"/>
      <c r="H416" s="213"/>
      <c r="I416" s="214">
        <f t="shared" si="118"/>
        <v>0</v>
      </c>
      <c r="J416" s="212"/>
      <c r="K416" s="11"/>
      <c r="L416" s="214">
        <f t="shared" si="118"/>
        <v>0</v>
      </c>
      <c r="M416" s="35"/>
      <c r="N416" s="11"/>
      <c r="O416" s="36">
        <f t="shared" si="118"/>
        <v>0</v>
      </c>
      <c r="P416" s="85"/>
      <c r="Q416" s="193">
        <f>O416+P416</f>
        <v>0</v>
      </c>
    </row>
    <row r="417" spans="1:17" ht="12.75" hidden="1">
      <c r="A417" s="47" t="s">
        <v>33</v>
      </c>
      <c r="B417" s="102"/>
      <c r="C417" s="121"/>
      <c r="D417" s="119"/>
      <c r="E417" s="119"/>
      <c r="F417" s="120"/>
      <c r="G417" s="202"/>
      <c r="H417" s="203"/>
      <c r="I417" s="201"/>
      <c r="J417" s="202"/>
      <c r="K417" s="7"/>
      <c r="L417" s="201"/>
      <c r="M417" s="29"/>
      <c r="N417" s="7"/>
      <c r="O417" s="30"/>
      <c r="P417" s="85"/>
      <c r="Q417" s="193"/>
    </row>
    <row r="418" spans="1:17" ht="12.75" hidden="1">
      <c r="A418" s="48" t="s">
        <v>68</v>
      </c>
      <c r="B418" s="105"/>
      <c r="C418" s="131"/>
      <c r="D418" s="132"/>
      <c r="E418" s="132"/>
      <c r="F418" s="169">
        <f>C418+D418+E418</f>
        <v>0</v>
      </c>
      <c r="G418" s="215"/>
      <c r="H418" s="216"/>
      <c r="I418" s="217">
        <f>F418+G418+H418</f>
        <v>0</v>
      </c>
      <c r="J418" s="215"/>
      <c r="K418" s="10"/>
      <c r="L418" s="217">
        <f>I418+J418+K418</f>
        <v>0</v>
      </c>
      <c r="M418" s="33"/>
      <c r="N418" s="10"/>
      <c r="O418" s="34">
        <f>L418+M418+N418</f>
        <v>0</v>
      </c>
      <c r="P418" s="90"/>
      <c r="Q418" s="194">
        <f>O418+P418</f>
        <v>0</v>
      </c>
    </row>
    <row r="419" spans="1:17" ht="12.75">
      <c r="A419" s="42" t="s">
        <v>117</v>
      </c>
      <c r="B419" s="106"/>
      <c r="C419" s="116">
        <f aca="true" t="shared" si="119" ref="C419:Q419">C420</f>
        <v>57799.6</v>
      </c>
      <c r="D419" s="117">
        <f t="shared" si="119"/>
        <v>22112.02</v>
      </c>
      <c r="E419" s="117">
        <f t="shared" si="119"/>
        <v>0</v>
      </c>
      <c r="F419" s="118">
        <f t="shared" si="119"/>
        <v>79911.62</v>
      </c>
      <c r="G419" s="198">
        <f t="shared" si="119"/>
        <v>-938.3900000000001</v>
      </c>
      <c r="H419" s="199">
        <f t="shared" si="119"/>
        <v>0</v>
      </c>
      <c r="I419" s="200">
        <f t="shared" si="119"/>
        <v>78973.23</v>
      </c>
      <c r="J419" s="198">
        <f t="shared" si="119"/>
        <v>0</v>
      </c>
      <c r="K419" s="117">
        <f t="shared" si="119"/>
        <v>0</v>
      </c>
      <c r="L419" s="200">
        <f t="shared" si="119"/>
        <v>78973.23</v>
      </c>
      <c r="M419" s="116">
        <f t="shared" si="119"/>
        <v>0</v>
      </c>
      <c r="N419" s="117">
        <f t="shared" si="119"/>
        <v>0</v>
      </c>
      <c r="O419" s="118">
        <f t="shared" si="119"/>
        <v>78973.23</v>
      </c>
      <c r="P419" s="116">
        <f t="shared" si="119"/>
        <v>0</v>
      </c>
      <c r="Q419" s="118">
        <f t="shared" si="119"/>
        <v>78973.23</v>
      </c>
    </row>
    <row r="420" spans="1:17" ht="12.75">
      <c r="A420" s="51" t="s">
        <v>62</v>
      </c>
      <c r="B420" s="106"/>
      <c r="C420" s="128">
        <f>SUM(C422:C425)</f>
        <v>57799.6</v>
      </c>
      <c r="D420" s="129">
        <f>SUM(D422:D425)</f>
        <v>22112.02</v>
      </c>
      <c r="E420" s="129">
        <f>SUM(E422:E425)</f>
        <v>0</v>
      </c>
      <c r="F420" s="130">
        <f>SUM(F422:F425)</f>
        <v>79911.62</v>
      </c>
      <c r="G420" s="212">
        <f aca="true" t="shared" si="120" ref="G420:Q420">SUM(G422:G425)</f>
        <v>-938.3900000000001</v>
      </c>
      <c r="H420" s="213">
        <f t="shared" si="120"/>
        <v>0</v>
      </c>
      <c r="I420" s="214">
        <f t="shared" si="120"/>
        <v>78973.23</v>
      </c>
      <c r="J420" s="212">
        <f t="shared" si="120"/>
        <v>0</v>
      </c>
      <c r="K420" s="129">
        <f t="shared" si="120"/>
        <v>0</v>
      </c>
      <c r="L420" s="214">
        <f t="shared" si="120"/>
        <v>78973.23</v>
      </c>
      <c r="M420" s="128">
        <f t="shared" si="120"/>
        <v>0</v>
      </c>
      <c r="N420" s="129">
        <f t="shared" si="120"/>
        <v>0</v>
      </c>
      <c r="O420" s="130">
        <f t="shared" si="120"/>
        <v>78973.23</v>
      </c>
      <c r="P420" s="128">
        <f t="shared" si="120"/>
        <v>0</v>
      </c>
      <c r="Q420" s="130">
        <f t="shared" si="120"/>
        <v>78973.23</v>
      </c>
    </row>
    <row r="421" spans="1:17" ht="12.75">
      <c r="A421" s="47" t="s">
        <v>33</v>
      </c>
      <c r="B421" s="102"/>
      <c r="C421" s="116"/>
      <c r="D421" s="117"/>
      <c r="E421" s="117"/>
      <c r="F421" s="118"/>
      <c r="G421" s="198"/>
      <c r="H421" s="199"/>
      <c r="I421" s="200"/>
      <c r="J421" s="198"/>
      <c r="K421" s="6"/>
      <c r="L421" s="200"/>
      <c r="M421" s="27"/>
      <c r="N421" s="6"/>
      <c r="O421" s="28"/>
      <c r="P421" s="85"/>
      <c r="Q421" s="193"/>
    </row>
    <row r="422" spans="1:17" ht="12.75">
      <c r="A422" s="103" t="s">
        <v>240</v>
      </c>
      <c r="B422" s="102"/>
      <c r="C422" s="121">
        <v>15048.4</v>
      </c>
      <c r="D422" s="119"/>
      <c r="E422" s="119"/>
      <c r="F422" s="120">
        <f>C422+D422+E422</f>
        <v>15048.4</v>
      </c>
      <c r="G422" s="202">
        <f>-140.26-117.43-380-300.7</f>
        <v>-938.3900000000001</v>
      </c>
      <c r="H422" s="203"/>
      <c r="I422" s="201">
        <f>F422+G422+H422</f>
        <v>14110.01</v>
      </c>
      <c r="J422" s="222"/>
      <c r="K422" s="7"/>
      <c r="L422" s="201">
        <f>I422+J422+K422</f>
        <v>14110.01</v>
      </c>
      <c r="M422" s="29"/>
      <c r="N422" s="7"/>
      <c r="O422" s="30">
        <f>L422+M422+N422</f>
        <v>14110.01</v>
      </c>
      <c r="P422" s="85"/>
      <c r="Q422" s="193">
        <f>O422+P422</f>
        <v>14110.01</v>
      </c>
    </row>
    <row r="423" spans="1:17" ht="12.75">
      <c r="A423" s="54" t="s">
        <v>118</v>
      </c>
      <c r="B423" s="102"/>
      <c r="C423" s="121"/>
      <c r="D423" s="136">
        <f>21194.74</f>
        <v>21194.74</v>
      </c>
      <c r="E423" s="119"/>
      <c r="F423" s="120">
        <f>C423+D423+E423</f>
        <v>21194.74</v>
      </c>
      <c r="G423" s="202"/>
      <c r="H423" s="203"/>
      <c r="I423" s="201">
        <f>F423+G423+H423</f>
        <v>21194.74</v>
      </c>
      <c r="J423" s="202"/>
      <c r="K423" s="7"/>
      <c r="L423" s="201">
        <f>I423+J423+K423</f>
        <v>21194.74</v>
      </c>
      <c r="M423" s="29"/>
      <c r="N423" s="7"/>
      <c r="O423" s="30">
        <f>L423+M423+N423</f>
        <v>21194.74</v>
      </c>
      <c r="P423" s="85"/>
      <c r="Q423" s="193">
        <f>O423+P423</f>
        <v>21194.74</v>
      </c>
    </row>
    <row r="424" spans="1:17" ht="12.75">
      <c r="A424" s="54" t="s">
        <v>119</v>
      </c>
      <c r="B424" s="102"/>
      <c r="C424" s="121"/>
      <c r="D424" s="119">
        <f>917.28</f>
        <v>917.28</v>
      </c>
      <c r="E424" s="119"/>
      <c r="F424" s="120">
        <f>C424+D424+E424</f>
        <v>917.28</v>
      </c>
      <c r="G424" s="202"/>
      <c r="H424" s="203"/>
      <c r="I424" s="201">
        <f>F424+G424+H424</f>
        <v>917.28</v>
      </c>
      <c r="J424" s="202"/>
      <c r="K424" s="7"/>
      <c r="L424" s="201">
        <f>I424+J424+K424</f>
        <v>917.28</v>
      </c>
      <c r="M424" s="29"/>
      <c r="N424" s="7"/>
      <c r="O424" s="30">
        <f>L424+M424+N424</f>
        <v>917.28</v>
      </c>
      <c r="P424" s="85"/>
      <c r="Q424" s="193">
        <f>O424+P424</f>
        <v>917.28</v>
      </c>
    </row>
    <row r="425" spans="1:17" ht="12.75">
      <c r="A425" s="48" t="s">
        <v>64</v>
      </c>
      <c r="B425" s="105"/>
      <c r="C425" s="131">
        <v>42751.2</v>
      </c>
      <c r="D425" s="132"/>
      <c r="E425" s="132"/>
      <c r="F425" s="169">
        <f>C425+D425+E425</f>
        <v>42751.2</v>
      </c>
      <c r="G425" s="215"/>
      <c r="H425" s="216"/>
      <c r="I425" s="217">
        <f>F425+G425+H425</f>
        <v>42751.2</v>
      </c>
      <c r="J425" s="215"/>
      <c r="K425" s="10"/>
      <c r="L425" s="217">
        <f>I425+J425+K425</f>
        <v>42751.2</v>
      </c>
      <c r="M425" s="33"/>
      <c r="N425" s="10"/>
      <c r="O425" s="34">
        <f>L425+M425+N425</f>
        <v>42751.2</v>
      </c>
      <c r="P425" s="90"/>
      <c r="Q425" s="194">
        <f>O425+P425</f>
        <v>42751.2</v>
      </c>
    </row>
    <row r="426" spans="1:17" ht="12.75">
      <c r="A426" s="42" t="s">
        <v>199</v>
      </c>
      <c r="B426" s="106"/>
      <c r="C426" s="116">
        <f>C427+C441</f>
        <v>95919.4</v>
      </c>
      <c r="D426" s="117">
        <f>D427+D441</f>
        <v>79342.31</v>
      </c>
      <c r="E426" s="117">
        <f>E427+E441</f>
        <v>0</v>
      </c>
      <c r="F426" s="118">
        <f>F427+F441</f>
        <v>175261.71</v>
      </c>
      <c r="G426" s="198">
        <f aca="true" t="shared" si="121" ref="G426:Q426">G427+G441</f>
        <v>11085</v>
      </c>
      <c r="H426" s="199">
        <f t="shared" si="121"/>
        <v>260.96000000000004</v>
      </c>
      <c r="I426" s="200">
        <f t="shared" si="121"/>
        <v>186607.66999999998</v>
      </c>
      <c r="J426" s="198">
        <f t="shared" si="121"/>
        <v>18820.29</v>
      </c>
      <c r="K426" s="117">
        <f t="shared" si="121"/>
        <v>0</v>
      </c>
      <c r="L426" s="200">
        <f t="shared" si="121"/>
        <v>205427.96</v>
      </c>
      <c r="M426" s="116">
        <f t="shared" si="121"/>
        <v>0</v>
      </c>
      <c r="N426" s="117">
        <f t="shared" si="121"/>
        <v>0</v>
      </c>
      <c r="O426" s="118">
        <f t="shared" si="121"/>
        <v>0</v>
      </c>
      <c r="P426" s="116">
        <f t="shared" si="121"/>
        <v>0</v>
      </c>
      <c r="Q426" s="118">
        <f t="shared" si="121"/>
        <v>0</v>
      </c>
    </row>
    <row r="427" spans="1:17" ht="12.75">
      <c r="A427" s="51" t="s">
        <v>62</v>
      </c>
      <c r="B427" s="106"/>
      <c r="C427" s="128">
        <f>SUM(C428:C440)</f>
        <v>60419.399999999994</v>
      </c>
      <c r="D427" s="129">
        <f>SUM(D428:D440)</f>
        <v>38936.310000000005</v>
      </c>
      <c r="E427" s="129">
        <f>SUM(E428:E439)</f>
        <v>2938.1</v>
      </c>
      <c r="F427" s="130">
        <f>SUM(F428:F440)</f>
        <v>102293.81</v>
      </c>
      <c r="G427" s="212">
        <f aca="true" t="shared" si="122" ref="G427:Q427">SUM(G428:G440)</f>
        <v>-299.39999999999964</v>
      </c>
      <c r="H427" s="213">
        <f t="shared" si="122"/>
        <v>-2602.04</v>
      </c>
      <c r="I427" s="214">
        <f t="shared" si="122"/>
        <v>99392.37</v>
      </c>
      <c r="J427" s="212">
        <f t="shared" si="122"/>
        <v>-4653.34</v>
      </c>
      <c r="K427" s="129">
        <f t="shared" si="122"/>
        <v>0</v>
      </c>
      <c r="L427" s="214">
        <f t="shared" si="122"/>
        <v>94739.03</v>
      </c>
      <c r="M427" s="128">
        <f t="shared" si="122"/>
        <v>0</v>
      </c>
      <c r="N427" s="129">
        <f t="shared" si="122"/>
        <v>0</v>
      </c>
      <c r="O427" s="130">
        <f t="shared" si="122"/>
        <v>0</v>
      </c>
      <c r="P427" s="128">
        <f t="shared" si="122"/>
        <v>0</v>
      </c>
      <c r="Q427" s="130">
        <f t="shared" si="122"/>
        <v>0</v>
      </c>
    </row>
    <row r="428" spans="1:17" ht="12.75">
      <c r="A428" s="45" t="s">
        <v>230</v>
      </c>
      <c r="B428" s="102">
        <v>1202</v>
      </c>
      <c r="C428" s="121">
        <v>6725</v>
      </c>
      <c r="D428" s="119">
        <f>486.88</f>
        <v>486.88</v>
      </c>
      <c r="E428" s="119"/>
      <c r="F428" s="120">
        <f aca="true" t="shared" si="123" ref="F428:F440">C428+D428+E428</f>
        <v>7211.88</v>
      </c>
      <c r="G428" s="202"/>
      <c r="H428" s="203">
        <f>-2363</f>
        <v>-2363</v>
      </c>
      <c r="I428" s="201">
        <f>F428+G428+H428</f>
        <v>4848.88</v>
      </c>
      <c r="J428" s="202"/>
      <c r="K428" s="7"/>
      <c r="L428" s="201">
        <f>I428+J428+K428</f>
        <v>4848.88</v>
      </c>
      <c r="M428" s="29"/>
      <c r="N428" s="7"/>
      <c r="O428" s="30"/>
      <c r="P428" s="85"/>
      <c r="Q428" s="193"/>
    </row>
    <row r="429" spans="1:17" ht="12.75">
      <c r="A429" s="45" t="s">
        <v>231</v>
      </c>
      <c r="B429" s="102">
        <v>1208</v>
      </c>
      <c r="C429" s="121">
        <v>2500</v>
      </c>
      <c r="D429" s="119">
        <f>2</f>
        <v>2</v>
      </c>
      <c r="E429" s="119"/>
      <c r="F429" s="120">
        <f t="shared" si="123"/>
        <v>2502</v>
      </c>
      <c r="G429" s="202"/>
      <c r="H429" s="203"/>
      <c r="I429" s="201">
        <f aca="true" t="shared" si="124" ref="I429:I440">F429+G429+H429</f>
        <v>2502</v>
      </c>
      <c r="J429" s="202"/>
      <c r="K429" s="7"/>
      <c r="L429" s="201">
        <f aca="true" t="shared" si="125" ref="L429:L440">I429+J429+K429</f>
        <v>2502</v>
      </c>
      <c r="M429" s="29"/>
      <c r="N429" s="7"/>
      <c r="O429" s="30"/>
      <c r="P429" s="85"/>
      <c r="Q429" s="193"/>
    </row>
    <row r="430" spans="1:17" ht="12.75">
      <c r="A430" s="45" t="s">
        <v>232</v>
      </c>
      <c r="B430" s="102">
        <v>1207</v>
      </c>
      <c r="C430" s="121">
        <v>5420</v>
      </c>
      <c r="D430" s="119">
        <f>198.64</f>
        <v>198.64</v>
      </c>
      <c r="E430" s="119"/>
      <c r="F430" s="120">
        <f t="shared" si="123"/>
        <v>5618.64</v>
      </c>
      <c r="G430" s="202">
        <f>1500</f>
        <v>1500</v>
      </c>
      <c r="H430" s="203"/>
      <c r="I430" s="201">
        <f t="shared" si="124"/>
        <v>7118.64</v>
      </c>
      <c r="J430" s="202"/>
      <c r="K430" s="7"/>
      <c r="L430" s="201">
        <f t="shared" si="125"/>
        <v>7118.64</v>
      </c>
      <c r="M430" s="29"/>
      <c r="N430" s="7"/>
      <c r="O430" s="30"/>
      <c r="P430" s="85"/>
      <c r="Q430" s="193"/>
    </row>
    <row r="431" spans="1:17" ht="12.75">
      <c r="A431" s="45" t="s">
        <v>272</v>
      </c>
      <c r="B431" s="102">
        <v>1209</v>
      </c>
      <c r="C431" s="121">
        <v>3460</v>
      </c>
      <c r="D431" s="119">
        <f>59.69</f>
        <v>59.69</v>
      </c>
      <c r="E431" s="119"/>
      <c r="F431" s="120">
        <f t="shared" si="123"/>
        <v>3519.69</v>
      </c>
      <c r="G431" s="202">
        <f>-600</f>
        <v>-600</v>
      </c>
      <c r="H431" s="203"/>
      <c r="I431" s="201">
        <f t="shared" si="124"/>
        <v>2919.69</v>
      </c>
      <c r="J431" s="202"/>
      <c r="K431" s="7"/>
      <c r="L431" s="201">
        <f t="shared" si="125"/>
        <v>2919.69</v>
      </c>
      <c r="M431" s="29"/>
      <c r="N431" s="7"/>
      <c r="O431" s="30"/>
      <c r="P431" s="85"/>
      <c r="Q431" s="193"/>
    </row>
    <row r="432" spans="1:17" ht="12.75">
      <c r="A432" s="45" t="s">
        <v>233</v>
      </c>
      <c r="B432" s="102">
        <v>1211</v>
      </c>
      <c r="C432" s="121">
        <v>4279</v>
      </c>
      <c r="D432" s="136">
        <f>2.81</f>
        <v>2.81</v>
      </c>
      <c r="E432" s="136"/>
      <c r="F432" s="120">
        <f t="shared" si="123"/>
        <v>4281.81</v>
      </c>
      <c r="G432" s="202"/>
      <c r="H432" s="203">
        <f>22.96</f>
        <v>22.96</v>
      </c>
      <c r="I432" s="201">
        <f t="shared" si="124"/>
        <v>4304.77</v>
      </c>
      <c r="J432" s="202"/>
      <c r="K432" s="7"/>
      <c r="L432" s="201">
        <f t="shared" si="125"/>
        <v>4304.77</v>
      </c>
      <c r="M432" s="29"/>
      <c r="N432" s="7"/>
      <c r="O432" s="30"/>
      <c r="P432" s="85"/>
      <c r="Q432" s="193"/>
    </row>
    <row r="433" spans="1:17" ht="12.75">
      <c r="A433" s="45" t="s">
        <v>260</v>
      </c>
      <c r="B433" s="102">
        <v>1214</v>
      </c>
      <c r="C433" s="121">
        <v>1050</v>
      </c>
      <c r="D433" s="119">
        <v>-1050</v>
      </c>
      <c r="E433" s="119"/>
      <c r="F433" s="120">
        <f t="shared" si="123"/>
        <v>0</v>
      </c>
      <c r="G433" s="202"/>
      <c r="H433" s="203"/>
      <c r="I433" s="201">
        <f t="shared" si="124"/>
        <v>0</v>
      </c>
      <c r="J433" s="202"/>
      <c r="K433" s="7"/>
      <c r="L433" s="201">
        <f t="shared" si="125"/>
        <v>0</v>
      </c>
      <c r="M433" s="29"/>
      <c r="N433" s="7"/>
      <c r="O433" s="30"/>
      <c r="P433" s="85"/>
      <c r="Q433" s="193"/>
    </row>
    <row r="434" spans="1:17" ht="12.75">
      <c r="A434" s="45" t="s">
        <v>312</v>
      </c>
      <c r="B434" s="102">
        <v>1214</v>
      </c>
      <c r="C434" s="121"/>
      <c r="D434" s="136">
        <f>409+21</f>
        <v>430</v>
      </c>
      <c r="E434" s="119"/>
      <c r="F434" s="120">
        <f t="shared" si="123"/>
        <v>430</v>
      </c>
      <c r="G434" s="202">
        <f>1000</f>
        <v>1000</v>
      </c>
      <c r="H434" s="203"/>
      <c r="I434" s="201">
        <f t="shared" si="124"/>
        <v>1430</v>
      </c>
      <c r="J434" s="202"/>
      <c r="K434" s="7"/>
      <c r="L434" s="201">
        <f t="shared" si="125"/>
        <v>1430</v>
      </c>
      <c r="M434" s="29"/>
      <c r="N434" s="7"/>
      <c r="O434" s="30"/>
      <c r="P434" s="85"/>
      <c r="Q434" s="193"/>
    </row>
    <row r="435" spans="1:17" ht="12.75">
      <c r="A435" s="45" t="s">
        <v>313</v>
      </c>
      <c r="B435" s="102"/>
      <c r="C435" s="121"/>
      <c r="D435" s="136">
        <f>641+21.41</f>
        <v>662.41</v>
      </c>
      <c r="E435" s="119"/>
      <c r="F435" s="120">
        <f t="shared" si="123"/>
        <v>662.41</v>
      </c>
      <c r="G435" s="202"/>
      <c r="H435" s="203">
        <f>238</f>
        <v>238</v>
      </c>
      <c r="I435" s="201">
        <f t="shared" si="124"/>
        <v>900.41</v>
      </c>
      <c r="J435" s="202"/>
      <c r="K435" s="7"/>
      <c r="L435" s="201">
        <f t="shared" si="125"/>
        <v>900.41</v>
      </c>
      <c r="M435" s="29"/>
      <c r="N435" s="7"/>
      <c r="O435" s="30"/>
      <c r="P435" s="85"/>
      <c r="Q435" s="193"/>
    </row>
    <row r="436" spans="1:17" ht="12.75">
      <c r="A436" s="45" t="s">
        <v>261</v>
      </c>
      <c r="B436" s="102">
        <v>1216</v>
      </c>
      <c r="C436" s="121">
        <v>9190</v>
      </c>
      <c r="D436" s="119">
        <f>2500+360.9</f>
        <v>2860.9</v>
      </c>
      <c r="E436" s="119"/>
      <c r="F436" s="120">
        <f t="shared" si="123"/>
        <v>12050.9</v>
      </c>
      <c r="G436" s="202"/>
      <c r="H436" s="203"/>
      <c r="I436" s="201">
        <f t="shared" si="124"/>
        <v>12050.9</v>
      </c>
      <c r="J436" s="202"/>
      <c r="K436" s="7"/>
      <c r="L436" s="201">
        <f t="shared" si="125"/>
        <v>12050.9</v>
      </c>
      <c r="M436" s="29"/>
      <c r="N436" s="7"/>
      <c r="O436" s="30"/>
      <c r="P436" s="85"/>
      <c r="Q436" s="193"/>
    </row>
    <row r="437" spans="1:17" ht="12.75">
      <c r="A437" s="45" t="s">
        <v>234</v>
      </c>
      <c r="B437" s="102">
        <v>1239</v>
      </c>
      <c r="C437" s="121">
        <v>5769.7</v>
      </c>
      <c r="D437" s="119">
        <f>1000+8267.76</f>
        <v>9267.76</v>
      </c>
      <c r="E437" s="119"/>
      <c r="F437" s="120">
        <f t="shared" si="123"/>
        <v>15037.46</v>
      </c>
      <c r="G437" s="202">
        <f>-3964.4-1000+15</f>
        <v>-4949.4</v>
      </c>
      <c r="H437" s="203"/>
      <c r="I437" s="201">
        <f t="shared" si="124"/>
        <v>10088.06</v>
      </c>
      <c r="J437" s="202">
        <f>-6427-192.63</f>
        <v>-6619.63</v>
      </c>
      <c r="K437" s="7"/>
      <c r="L437" s="201">
        <f t="shared" si="125"/>
        <v>3468.4299999999994</v>
      </c>
      <c r="M437" s="29"/>
      <c r="N437" s="7"/>
      <c r="O437" s="30"/>
      <c r="P437" s="85"/>
      <c r="Q437" s="193"/>
    </row>
    <row r="438" spans="1:17" ht="12.75">
      <c r="A438" s="45" t="s">
        <v>262</v>
      </c>
      <c r="B438" s="102">
        <v>1300</v>
      </c>
      <c r="C438" s="121">
        <v>12025.7</v>
      </c>
      <c r="D438" s="119">
        <f>4603.13-200+15394</f>
        <v>19797.13</v>
      </c>
      <c r="E438" s="119"/>
      <c r="F438" s="120">
        <f t="shared" si="123"/>
        <v>31822.83</v>
      </c>
      <c r="G438" s="202">
        <f>2750</f>
        <v>2750</v>
      </c>
      <c r="H438" s="203">
        <f>-500</f>
        <v>-500</v>
      </c>
      <c r="I438" s="201">
        <f t="shared" si="124"/>
        <v>34072.83</v>
      </c>
      <c r="J438" s="202">
        <f>25.29+220+250+300+170+90+220+100+200+41+100+250</f>
        <v>1966.29</v>
      </c>
      <c r="K438" s="7"/>
      <c r="L438" s="201">
        <f t="shared" si="125"/>
        <v>36039.12</v>
      </c>
      <c r="M438" s="29"/>
      <c r="N438" s="7"/>
      <c r="O438" s="30"/>
      <c r="P438" s="85"/>
      <c r="Q438" s="193"/>
    </row>
    <row r="439" spans="1:17" ht="12.75">
      <c r="A439" s="45" t="s">
        <v>235</v>
      </c>
      <c r="B439" s="102">
        <v>1110</v>
      </c>
      <c r="C439" s="121">
        <v>10000</v>
      </c>
      <c r="D439" s="119">
        <f>6138.65</f>
        <v>6138.65</v>
      </c>
      <c r="E439" s="119">
        <v>2938.1</v>
      </c>
      <c r="F439" s="120">
        <f t="shared" si="123"/>
        <v>19076.75</v>
      </c>
      <c r="G439" s="202"/>
      <c r="H439" s="203"/>
      <c r="I439" s="201">
        <f t="shared" si="124"/>
        <v>19076.75</v>
      </c>
      <c r="J439" s="202"/>
      <c r="K439" s="7"/>
      <c r="L439" s="201">
        <f t="shared" si="125"/>
        <v>19076.75</v>
      </c>
      <c r="M439" s="29"/>
      <c r="N439" s="7"/>
      <c r="O439" s="30"/>
      <c r="P439" s="85"/>
      <c r="Q439" s="193"/>
    </row>
    <row r="440" spans="1:17" ht="12.75">
      <c r="A440" s="45" t="s">
        <v>64</v>
      </c>
      <c r="B440" s="102"/>
      <c r="C440" s="121"/>
      <c r="D440" s="119">
        <f>79.44</f>
        <v>79.44</v>
      </c>
      <c r="E440" s="119"/>
      <c r="F440" s="120">
        <f t="shared" si="123"/>
        <v>79.44</v>
      </c>
      <c r="G440" s="202"/>
      <c r="H440" s="203"/>
      <c r="I440" s="201">
        <f t="shared" si="124"/>
        <v>79.44</v>
      </c>
      <c r="J440" s="202"/>
      <c r="K440" s="7"/>
      <c r="L440" s="201">
        <f t="shared" si="125"/>
        <v>79.44</v>
      </c>
      <c r="M440" s="29"/>
      <c r="N440" s="7"/>
      <c r="O440" s="30"/>
      <c r="P440" s="85"/>
      <c r="Q440" s="193"/>
    </row>
    <row r="441" spans="1:17" ht="12.75">
      <c r="A441" s="51" t="s">
        <v>67</v>
      </c>
      <c r="B441" s="106"/>
      <c r="C441" s="128">
        <f>SUM(C443:C447)</f>
        <v>35500</v>
      </c>
      <c r="D441" s="129">
        <f>SUM(D443:D447)</f>
        <v>40406</v>
      </c>
      <c r="E441" s="129">
        <f>SUM(E447:E447)</f>
        <v>-2938.1</v>
      </c>
      <c r="F441" s="130">
        <f>SUM(F443:F447)</f>
        <v>72967.9</v>
      </c>
      <c r="G441" s="212">
        <f aca="true" t="shared" si="126" ref="G441:Q441">SUM(G443:G447)</f>
        <v>11384.4</v>
      </c>
      <c r="H441" s="213">
        <f t="shared" si="126"/>
        <v>2863</v>
      </c>
      <c r="I441" s="214">
        <f t="shared" si="126"/>
        <v>87215.29999999999</v>
      </c>
      <c r="J441" s="212">
        <f t="shared" si="126"/>
        <v>23473.63</v>
      </c>
      <c r="K441" s="129">
        <f t="shared" si="126"/>
        <v>0</v>
      </c>
      <c r="L441" s="214">
        <f t="shared" si="126"/>
        <v>110688.93</v>
      </c>
      <c r="M441" s="128">
        <f t="shared" si="126"/>
        <v>0</v>
      </c>
      <c r="N441" s="129">
        <f t="shared" si="126"/>
        <v>0</v>
      </c>
      <c r="O441" s="130">
        <f t="shared" si="126"/>
        <v>0</v>
      </c>
      <c r="P441" s="128">
        <f t="shared" si="126"/>
        <v>0</v>
      </c>
      <c r="Q441" s="130">
        <f t="shared" si="126"/>
        <v>0</v>
      </c>
    </row>
    <row r="442" spans="1:17" ht="12.75">
      <c r="A442" s="47" t="s">
        <v>33</v>
      </c>
      <c r="B442" s="102"/>
      <c r="C442" s="121"/>
      <c r="D442" s="119"/>
      <c r="E442" s="119"/>
      <c r="F442" s="120"/>
      <c r="G442" s="202"/>
      <c r="H442" s="203"/>
      <c r="I442" s="201"/>
      <c r="J442" s="202"/>
      <c r="K442" s="7"/>
      <c r="L442" s="201"/>
      <c r="M442" s="29"/>
      <c r="N442" s="7"/>
      <c r="O442" s="30"/>
      <c r="P442" s="85"/>
      <c r="Q442" s="193"/>
    </row>
    <row r="443" spans="1:17" ht="12.75">
      <c r="A443" s="49" t="s">
        <v>251</v>
      </c>
      <c r="B443" s="102">
        <v>1239</v>
      </c>
      <c r="C443" s="121"/>
      <c r="D443" s="119">
        <f>7500+7500+16000</f>
        <v>31000</v>
      </c>
      <c r="E443" s="119"/>
      <c r="F443" s="120">
        <f>C443+D443+E443</f>
        <v>31000</v>
      </c>
      <c r="G443" s="202">
        <f>3964.4</f>
        <v>3964.4</v>
      </c>
      <c r="H443" s="203"/>
      <c r="I443" s="201">
        <f>F443+G443+H443</f>
        <v>34964.4</v>
      </c>
      <c r="J443" s="202">
        <f>6427+192.63+286</f>
        <v>6905.63</v>
      </c>
      <c r="K443" s="7"/>
      <c r="L443" s="201">
        <f>I443+J443+K443</f>
        <v>41870.03</v>
      </c>
      <c r="M443" s="29"/>
      <c r="N443" s="7"/>
      <c r="O443" s="30"/>
      <c r="P443" s="85"/>
      <c r="Q443" s="193"/>
    </row>
    <row r="444" spans="1:17" ht="12.75">
      <c r="A444" s="49" t="s">
        <v>194</v>
      </c>
      <c r="B444" s="102">
        <v>1214</v>
      </c>
      <c r="C444" s="121"/>
      <c r="D444" s="119"/>
      <c r="E444" s="119"/>
      <c r="F444" s="120">
        <f>C444+D444+E444</f>
        <v>0</v>
      </c>
      <c r="G444" s="202"/>
      <c r="H444" s="203">
        <f>2363</f>
        <v>2363</v>
      </c>
      <c r="I444" s="201">
        <f>F444+G444+H444</f>
        <v>2363</v>
      </c>
      <c r="J444" s="202"/>
      <c r="K444" s="7"/>
      <c r="L444" s="201">
        <f>I444+J444+K444</f>
        <v>2363</v>
      </c>
      <c r="M444" s="29"/>
      <c r="N444" s="7"/>
      <c r="O444" s="30"/>
      <c r="P444" s="85"/>
      <c r="Q444" s="193"/>
    </row>
    <row r="445" spans="1:17" ht="12.75">
      <c r="A445" s="49" t="s">
        <v>331</v>
      </c>
      <c r="B445" s="102">
        <v>1209</v>
      </c>
      <c r="C445" s="121"/>
      <c r="D445" s="119"/>
      <c r="E445" s="119"/>
      <c r="F445" s="120">
        <f>C445+D445+E445</f>
        <v>0</v>
      </c>
      <c r="G445" s="202">
        <f>600</f>
        <v>600</v>
      </c>
      <c r="H445" s="203"/>
      <c r="I445" s="201">
        <f>F445+G445+H445</f>
        <v>600</v>
      </c>
      <c r="J445" s="202"/>
      <c r="K445" s="7"/>
      <c r="L445" s="201">
        <f>I445+J445+K445</f>
        <v>600</v>
      </c>
      <c r="M445" s="29"/>
      <c r="N445" s="7"/>
      <c r="O445" s="30"/>
      <c r="P445" s="85"/>
      <c r="Q445" s="193"/>
    </row>
    <row r="446" spans="1:17" ht="12.75">
      <c r="A446" s="49" t="s">
        <v>270</v>
      </c>
      <c r="B446" s="102">
        <v>1300</v>
      </c>
      <c r="C446" s="121">
        <v>5500</v>
      </c>
      <c r="D446" s="119">
        <f>16306+50+550</f>
        <v>16906</v>
      </c>
      <c r="E446" s="119"/>
      <c r="F446" s="120">
        <f>C446+D446+E446</f>
        <v>22406</v>
      </c>
      <c r="G446" s="202">
        <f>6820</f>
        <v>6820</v>
      </c>
      <c r="H446" s="203">
        <f>500</f>
        <v>500</v>
      </c>
      <c r="I446" s="201">
        <f>F446+G446+H446</f>
        <v>29726</v>
      </c>
      <c r="J446" s="202">
        <f>500+90+2000+371+5900+42+500+44+300+500+300+21+3000+3000</f>
        <v>16568</v>
      </c>
      <c r="K446" s="7"/>
      <c r="L446" s="201">
        <f>I446+J446+K446</f>
        <v>46294</v>
      </c>
      <c r="M446" s="29"/>
      <c r="N446" s="7"/>
      <c r="O446" s="30"/>
      <c r="P446" s="85"/>
      <c r="Q446" s="193"/>
    </row>
    <row r="447" spans="1:17" ht="12.75">
      <c r="A447" s="48" t="s">
        <v>95</v>
      </c>
      <c r="B447" s="105">
        <v>1110</v>
      </c>
      <c r="C447" s="139">
        <v>30000</v>
      </c>
      <c r="D447" s="132">
        <f>-7500</f>
        <v>-7500</v>
      </c>
      <c r="E447" s="132">
        <v>-2938.1</v>
      </c>
      <c r="F447" s="169">
        <f>C447+D447+E447</f>
        <v>19561.9</v>
      </c>
      <c r="G447" s="215"/>
      <c r="H447" s="216"/>
      <c r="I447" s="217">
        <f>F447+G447+H447</f>
        <v>19561.9</v>
      </c>
      <c r="J447" s="215"/>
      <c r="K447" s="10"/>
      <c r="L447" s="217">
        <f>I447+J447+K447</f>
        <v>19561.9</v>
      </c>
      <c r="M447" s="33"/>
      <c r="N447" s="10"/>
      <c r="O447" s="34"/>
      <c r="P447" s="90"/>
      <c r="Q447" s="194"/>
    </row>
    <row r="448" spans="1:17" ht="12.75">
      <c r="A448" s="42" t="s">
        <v>163</v>
      </c>
      <c r="B448" s="106"/>
      <c r="C448" s="116">
        <f aca="true" t="shared" si="127" ref="C448:Q448">C449</f>
        <v>0</v>
      </c>
      <c r="D448" s="117">
        <f t="shared" si="127"/>
        <v>7279.26</v>
      </c>
      <c r="E448" s="117">
        <f t="shared" si="127"/>
        <v>0</v>
      </c>
      <c r="F448" s="118">
        <f t="shared" si="127"/>
        <v>7279.26</v>
      </c>
      <c r="G448" s="198">
        <f t="shared" si="127"/>
        <v>0</v>
      </c>
      <c r="H448" s="199">
        <f t="shared" si="127"/>
        <v>0</v>
      </c>
      <c r="I448" s="200">
        <f t="shared" si="127"/>
        <v>7279.26</v>
      </c>
      <c r="J448" s="198">
        <f t="shared" si="127"/>
        <v>0</v>
      </c>
      <c r="K448" s="117">
        <f t="shared" si="127"/>
        <v>0</v>
      </c>
      <c r="L448" s="200">
        <f t="shared" si="127"/>
        <v>7279.26</v>
      </c>
      <c r="M448" s="116">
        <f t="shared" si="127"/>
        <v>0</v>
      </c>
      <c r="N448" s="117">
        <f t="shared" si="127"/>
        <v>0</v>
      </c>
      <c r="O448" s="118">
        <f t="shared" si="127"/>
        <v>7279.26</v>
      </c>
      <c r="P448" s="116">
        <f t="shared" si="127"/>
        <v>0</v>
      </c>
      <c r="Q448" s="118">
        <f t="shared" si="127"/>
        <v>7279.26</v>
      </c>
    </row>
    <row r="449" spans="1:17" ht="12.75">
      <c r="A449" s="51" t="s">
        <v>62</v>
      </c>
      <c r="B449" s="106"/>
      <c r="C449" s="128">
        <f>C451</f>
        <v>0</v>
      </c>
      <c r="D449" s="129">
        <f>D451</f>
        <v>7279.26</v>
      </c>
      <c r="E449" s="129">
        <f>E451</f>
        <v>0</v>
      </c>
      <c r="F449" s="130">
        <f>F451</f>
        <v>7279.26</v>
      </c>
      <c r="G449" s="212">
        <f aca="true" t="shared" si="128" ref="G449:Q449">G451</f>
        <v>0</v>
      </c>
      <c r="H449" s="213">
        <f t="shared" si="128"/>
        <v>0</v>
      </c>
      <c r="I449" s="214">
        <f t="shared" si="128"/>
        <v>7279.26</v>
      </c>
      <c r="J449" s="212">
        <f t="shared" si="128"/>
        <v>0</v>
      </c>
      <c r="K449" s="129">
        <f t="shared" si="128"/>
        <v>0</v>
      </c>
      <c r="L449" s="214">
        <f t="shared" si="128"/>
        <v>7279.26</v>
      </c>
      <c r="M449" s="128">
        <f t="shared" si="128"/>
        <v>0</v>
      </c>
      <c r="N449" s="129">
        <f t="shared" si="128"/>
        <v>0</v>
      </c>
      <c r="O449" s="130">
        <f t="shared" si="128"/>
        <v>7279.26</v>
      </c>
      <c r="P449" s="128">
        <f t="shared" si="128"/>
        <v>0</v>
      </c>
      <c r="Q449" s="130">
        <f t="shared" si="128"/>
        <v>7279.26</v>
      </c>
    </row>
    <row r="450" spans="1:17" ht="12.75">
      <c r="A450" s="47" t="s">
        <v>33</v>
      </c>
      <c r="B450" s="102"/>
      <c r="C450" s="121"/>
      <c r="D450" s="119"/>
      <c r="E450" s="119"/>
      <c r="F450" s="120"/>
      <c r="G450" s="202"/>
      <c r="H450" s="203"/>
      <c r="I450" s="201"/>
      <c r="J450" s="202"/>
      <c r="K450" s="7"/>
      <c r="L450" s="201"/>
      <c r="M450" s="29"/>
      <c r="N450" s="7"/>
      <c r="O450" s="30"/>
      <c r="P450" s="85"/>
      <c r="Q450" s="193"/>
    </row>
    <row r="451" spans="1:17" ht="12.75">
      <c r="A451" s="48" t="s">
        <v>64</v>
      </c>
      <c r="B451" s="105"/>
      <c r="C451" s="131">
        <v>0</v>
      </c>
      <c r="D451" s="132">
        <f>7279.26</f>
        <v>7279.26</v>
      </c>
      <c r="E451" s="132"/>
      <c r="F451" s="120">
        <f>C451+D451+E451</f>
        <v>7279.26</v>
      </c>
      <c r="G451" s="215"/>
      <c r="H451" s="216"/>
      <c r="I451" s="217">
        <f>F451+G451+H451</f>
        <v>7279.26</v>
      </c>
      <c r="J451" s="215"/>
      <c r="K451" s="10"/>
      <c r="L451" s="217">
        <f>I451+J451+K451</f>
        <v>7279.26</v>
      </c>
      <c r="M451" s="33"/>
      <c r="N451" s="10"/>
      <c r="O451" s="34">
        <f>L451+M451+N451</f>
        <v>7279.26</v>
      </c>
      <c r="P451" s="90"/>
      <c r="Q451" s="194">
        <f>O451+P451</f>
        <v>7279.26</v>
      </c>
    </row>
    <row r="452" spans="1:17" ht="12.75">
      <c r="A452" s="42" t="s">
        <v>120</v>
      </c>
      <c r="B452" s="106"/>
      <c r="C452" s="116">
        <f>C454+C455</f>
        <v>329085</v>
      </c>
      <c r="D452" s="140">
        <f>D454+D455</f>
        <v>382556.16</v>
      </c>
      <c r="E452" s="140">
        <f>E454+E455</f>
        <v>1800</v>
      </c>
      <c r="F452" s="141">
        <f>F454+F455</f>
        <v>713441.1599999999</v>
      </c>
      <c r="G452" s="225">
        <f aca="true" t="shared" si="129" ref="G452:Q452">G454+G455</f>
        <v>30264.950000000004</v>
      </c>
      <c r="H452" s="226">
        <f t="shared" si="129"/>
        <v>22000</v>
      </c>
      <c r="I452" s="227">
        <f t="shared" si="129"/>
        <v>765706.1099999999</v>
      </c>
      <c r="J452" s="225">
        <f t="shared" si="129"/>
        <v>-2040.4299999999967</v>
      </c>
      <c r="K452" s="140">
        <f t="shared" si="129"/>
        <v>0</v>
      </c>
      <c r="L452" s="227">
        <f t="shared" si="129"/>
        <v>763665.6799999999</v>
      </c>
      <c r="M452" s="192">
        <f t="shared" si="129"/>
        <v>0</v>
      </c>
      <c r="N452" s="140">
        <f t="shared" si="129"/>
        <v>-60.6</v>
      </c>
      <c r="O452" s="141">
        <f t="shared" si="129"/>
        <v>748722.24</v>
      </c>
      <c r="P452" s="192">
        <f t="shared" si="129"/>
        <v>0</v>
      </c>
      <c r="Q452" s="141">
        <f t="shared" si="129"/>
        <v>748722.24</v>
      </c>
    </row>
    <row r="453" spans="1:17" ht="12.75">
      <c r="A453" s="44" t="s">
        <v>33</v>
      </c>
      <c r="B453" s="102"/>
      <c r="C453" s="116"/>
      <c r="D453" s="117"/>
      <c r="E453" s="117"/>
      <c r="F453" s="118"/>
      <c r="G453" s="198"/>
      <c r="H453" s="199"/>
      <c r="I453" s="200"/>
      <c r="J453" s="198"/>
      <c r="K453" s="117"/>
      <c r="L453" s="200"/>
      <c r="M453" s="116"/>
      <c r="N453" s="117"/>
      <c r="O453" s="118"/>
      <c r="P453" s="116"/>
      <c r="Q453" s="118"/>
    </row>
    <row r="454" spans="1:17" ht="12.75">
      <c r="A454" s="42" t="s">
        <v>62</v>
      </c>
      <c r="B454" s="106"/>
      <c r="C454" s="122">
        <f>C469+C471+C483+C485+C490+C495+C486+C476+C497+C478</f>
        <v>30547</v>
      </c>
      <c r="D454" s="123">
        <f>D469+D471+D483+D485+D490+D495+D486+D476+D497+D478+D500</f>
        <v>132930.69</v>
      </c>
      <c r="E454" s="123">
        <f>E469+E471+E483+E485+E490+E495+E486+E476+E497+E478</f>
        <v>1800</v>
      </c>
      <c r="F454" s="124">
        <f>F469+F471+F483+F485+F490+F495+F486+F476+F497+F478+F501</f>
        <v>165287.69</v>
      </c>
      <c r="G454" s="206">
        <f aca="true" t="shared" si="130" ref="G454:Q454">G469+G471+G483+G485+G490+G495+G486+G476+G497+G478</f>
        <v>25605.75</v>
      </c>
      <c r="H454" s="207">
        <f t="shared" si="130"/>
        <v>22000</v>
      </c>
      <c r="I454" s="208">
        <f>I469+I471+I483+I485+I490+I495+I486+I476+I497+I478+I501</f>
        <v>212893.44</v>
      </c>
      <c r="J454" s="206">
        <f t="shared" si="130"/>
        <v>-25087.03</v>
      </c>
      <c r="K454" s="123">
        <f t="shared" si="130"/>
        <v>0</v>
      </c>
      <c r="L454" s="208">
        <f>L469+L471+L483+L485+L490+L495+L486+L476+L497+L478</f>
        <v>187796.41</v>
      </c>
      <c r="M454" s="122">
        <f t="shared" si="130"/>
        <v>0</v>
      </c>
      <c r="N454" s="123">
        <f t="shared" si="130"/>
        <v>0</v>
      </c>
      <c r="O454" s="124">
        <f t="shared" si="130"/>
        <v>187796.41</v>
      </c>
      <c r="P454" s="122">
        <f t="shared" si="130"/>
        <v>0</v>
      </c>
      <c r="Q454" s="124">
        <f t="shared" si="130"/>
        <v>187796.41</v>
      </c>
    </row>
    <row r="455" spans="1:17" ht="12.75">
      <c r="A455" s="42" t="s">
        <v>67</v>
      </c>
      <c r="B455" s="106"/>
      <c r="C455" s="122">
        <f>C458+C459+C461+C462+C464+C466+C467+C468+C472+C473+C475+C477+C479+C481+C482+C484+C487+C489+C491+C492+C494+C496+C498+C499</f>
        <v>298538</v>
      </c>
      <c r="D455" s="123">
        <f>D458+D459+D461+D462+D464+D466+D467+D468+D472+D473+D475+D477+D479+D481+D482+D484+D487+D489+D491+D492+D494+D496+D498+D499</f>
        <v>249625.46999999997</v>
      </c>
      <c r="E455" s="123">
        <f>E458+E459+E461+E462+E464+E466+E467+E468+E472+E473+E475+E477+E479+E481+E482+E484+E487+E489+E491+E492+E494+E496+E498+E499</f>
        <v>0</v>
      </c>
      <c r="F455" s="124">
        <f>F458+F459+F461+F462+F464+F466+F467+F468+F472+F473+F475+F477+F479+F481+F482+F484+F487+F489+F491+F492+F494+F496+F498+F500</f>
        <v>548153.47</v>
      </c>
      <c r="G455" s="206">
        <f aca="true" t="shared" si="131" ref="G455:Q455">G458+G459+G461+G462+G464+G466+G467+G468+G472+G473+G475+G477+G479+G481+G482+G484+G487+G489+G491+G492+G494+G496+G498+G499</f>
        <v>4659.200000000003</v>
      </c>
      <c r="H455" s="207">
        <f t="shared" si="131"/>
        <v>0</v>
      </c>
      <c r="I455" s="208">
        <f>I458+I459+I461+I462+I464+I466+I467+I468+I472+I473+I475+I477+I479+I481+I482+I484+I487+I489+I491+I492+I494+I496+I498+I500</f>
        <v>552812.6699999999</v>
      </c>
      <c r="J455" s="206">
        <f t="shared" si="131"/>
        <v>23046.600000000002</v>
      </c>
      <c r="K455" s="123">
        <f t="shared" si="131"/>
        <v>0</v>
      </c>
      <c r="L455" s="208">
        <f t="shared" si="131"/>
        <v>575869.2699999999</v>
      </c>
      <c r="M455" s="122">
        <f t="shared" si="131"/>
        <v>0</v>
      </c>
      <c r="N455" s="123">
        <f t="shared" si="131"/>
        <v>-60.6</v>
      </c>
      <c r="O455" s="124">
        <f t="shared" si="131"/>
        <v>560925.83</v>
      </c>
      <c r="P455" s="122">
        <f t="shared" si="131"/>
        <v>0</v>
      </c>
      <c r="Q455" s="124">
        <f t="shared" si="131"/>
        <v>560925.83</v>
      </c>
    </row>
    <row r="456" spans="1:17" ht="12.75">
      <c r="A456" s="43" t="s">
        <v>121</v>
      </c>
      <c r="B456" s="102"/>
      <c r="C456" s="116"/>
      <c r="D456" s="117"/>
      <c r="E456" s="117"/>
      <c r="F456" s="118"/>
      <c r="G456" s="198"/>
      <c r="H456" s="199"/>
      <c r="I456" s="200"/>
      <c r="J456" s="198"/>
      <c r="K456" s="6"/>
      <c r="L456" s="200"/>
      <c r="M456" s="27"/>
      <c r="N456" s="6"/>
      <c r="O456" s="28"/>
      <c r="P456" s="85"/>
      <c r="Q456" s="193"/>
    </row>
    <row r="457" spans="1:17" ht="12.75">
      <c r="A457" s="44" t="s">
        <v>122</v>
      </c>
      <c r="B457" s="102">
        <v>18</v>
      </c>
      <c r="C457" s="121">
        <f>C458+C459</f>
        <v>1000</v>
      </c>
      <c r="D457" s="119">
        <f>D458+D459</f>
        <v>0</v>
      </c>
      <c r="E457" s="119">
        <f>E458+E459</f>
        <v>0</v>
      </c>
      <c r="F457" s="120">
        <f>F458+F459</f>
        <v>1000</v>
      </c>
      <c r="G457" s="202">
        <f aca="true" t="shared" si="132" ref="G457:Q457">G458+G459</f>
        <v>0</v>
      </c>
      <c r="H457" s="203">
        <f t="shared" si="132"/>
        <v>0</v>
      </c>
      <c r="I457" s="201">
        <f t="shared" si="132"/>
        <v>1000</v>
      </c>
      <c r="J457" s="202">
        <f t="shared" si="132"/>
        <v>0</v>
      </c>
      <c r="K457" s="119">
        <f t="shared" si="132"/>
        <v>0</v>
      </c>
      <c r="L457" s="201">
        <f t="shared" si="132"/>
        <v>1000</v>
      </c>
      <c r="M457" s="121">
        <f t="shared" si="132"/>
        <v>0</v>
      </c>
      <c r="N457" s="119">
        <f t="shared" si="132"/>
        <v>0</v>
      </c>
      <c r="O457" s="120">
        <f t="shared" si="132"/>
        <v>1000</v>
      </c>
      <c r="P457" s="121">
        <f t="shared" si="132"/>
        <v>0</v>
      </c>
      <c r="Q457" s="120">
        <f t="shared" si="132"/>
        <v>1000</v>
      </c>
    </row>
    <row r="458" spans="1:17" ht="12.75">
      <c r="A458" s="44" t="s">
        <v>123</v>
      </c>
      <c r="B458" s="102"/>
      <c r="C458" s="121">
        <v>1000</v>
      </c>
      <c r="D458" s="119"/>
      <c r="E458" s="119"/>
      <c r="F458" s="120">
        <f aca="true" t="shared" si="133" ref="F458:F502">C458+D458+E458</f>
        <v>1000</v>
      </c>
      <c r="G458" s="202"/>
      <c r="H458" s="199"/>
      <c r="I458" s="201">
        <f>F458+G458+H458</f>
        <v>1000</v>
      </c>
      <c r="J458" s="202"/>
      <c r="K458" s="6"/>
      <c r="L458" s="201">
        <f>I458+J458+K458</f>
        <v>1000</v>
      </c>
      <c r="M458" s="29"/>
      <c r="N458" s="6"/>
      <c r="O458" s="30">
        <f>L458+M458+N458</f>
        <v>1000</v>
      </c>
      <c r="P458" s="85"/>
      <c r="Q458" s="193">
        <f>O458+P458</f>
        <v>1000</v>
      </c>
    </row>
    <row r="459" spans="1:17" ht="12.75" hidden="1">
      <c r="A459" s="44" t="s">
        <v>124</v>
      </c>
      <c r="B459" s="102"/>
      <c r="C459" s="121">
        <v>0</v>
      </c>
      <c r="D459" s="119"/>
      <c r="E459" s="119"/>
      <c r="F459" s="120">
        <f t="shared" si="133"/>
        <v>0</v>
      </c>
      <c r="G459" s="202"/>
      <c r="H459" s="199"/>
      <c r="I459" s="201">
        <f>F459+G459+H459</f>
        <v>0</v>
      </c>
      <c r="J459" s="202"/>
      <c r="K459" s="6"/>
      <c r="L459" s="201">
        <f>I459+J459+K459</f>
        <v>0</v>
      </c>
      <c r="M459" s="29"/>
      <c r="N459" s="6"/>
      <c r="O459" s="30">
        <f>L459+M459+N459</f>
        <v>0</v>
      </c>
      <c r="P459" s="85"/>
      <c r="Q459" s="193">
        <f>O459+P459</f>
        <v>0</v>
      </c>
    </row>
    <row r="460" spans="1:17" ht="12.75">
      <c r="A460" s="44" t="s">
        <v>125</v>
      </c>
      <c r="B460" s="102">
        <v>19</v>
      </c>
      <c r="C460" s="121">
        <f>C461+C462</f>
        <v>6358</v>
      </c>
      <c r="D460" s="119">
        <f>D461+D462</f>
        <v>3068.39</v>
      </c>
      <c r="E460" s="119">
        <f>E461+E462</f>
        <v>0</v>
      </c>
      <c r="F460" s="120">
        <f>F461+F462</f>
        <v>9426.39</v>
      </c>
      <c r="G460" s="202">
        <f aca="true" t="shared" si="134" ref="G460:Q460">G461+G462</f>
        <v>-1417</v>
      </c>
      <c r="H460" s="203">
        <f t="shared" si="134"/>
        <v>0</v>
      </c>
      <c r="I460" s="201">
        <f t="shared" si="134"/>
        <v>8009.39</v>
      </c>
      <c r="J460" s="202">
        <f t="shared" si="134"/>
        <v>137</v>
      </c>
      <c r="K460" s="119">
        <f t="shared" si="134"/>
        <v>0</v>
      </c>
      <c r="L460" s="201">
        <f t="shared" si="134"/>
        <v>8146.39</v>
      </c>
      <c r="M460" s="121">
        <f t="shared" si="134"/>
        <v>0</v>
      </c>
      <c r="N460" s="119">
        <f t="shared" si="134"/>
        <v>0</v>
      </c>
      <c r="O460" s="120">
        <f t="shared" si="134"/>
        <v>8146.39</v>
      </c>
      <c r="P460" s="121">
        <f t="shared" si="134"/>
        <v>0</v>
      </c>
      <c r="Q460" s="120">
        <f t="shared" si="134"/>
        <v>8146.39</v>
      </c>
    </row>
    <row r="461" spans="1:17" ht="12.75">
      <c r="A461" s="44" t="s">
        <v>123</v>
      </c>
      <c r="B461" s="102"/>
      <c r="C461" s="121">
        <v>6358</v>
      </c>
      <c r="D461" s="119">
        <f>220+180+280+2300</f>
        <v>2980</v>
      </c>
      <c r="E461" s="119"/>
      <c r="F461" s="120">
        <f t="shared" si="133"/>
        <v>9338</v>
      </c>
      <c r="G461" s="202">
        <f>-1417</f>
        <v>-1417</v>
      </c>
      <c r="H461" s="199"/>
      <c r="I461" s="201">
        <f>F461+G461+H461</f>
        <v>7921</v>
      </c>
      <c r="J461" s="202">
        <f>137</f>
        <v>137</v>
      </c>
      <c r="K461" s="6"/>
      <c r="L461" s="201">
        <f>I461+J461+K461</f>
        <v>8058</v>
      </c>
      <c r="M461" s="29"/>
      <c r="N461" s="6"/>
      <c r="O461" s="30">
        <f>L461+M461+N461</f>
        <v>8058</v>
      </c>
      <c r="P461" s="85"/>
      <c r="Q461" s="193">
        <f>O461+P461</f>
        <v>8058</v>
      </c>
    </row>
    <row r="462" spans="1:17" ht="12.75">
      <c r="A462" s="44" t="s">
        <v>124</v>
      </c>
      <c r="B462" s="102"/>
      <c r="C462" s="121"/>
      <c r="D462" s="119">
        <f>268.39-180</f>
        <v>88.38999999999999</v>
      </c>
      <c r="E462" s="119"/>
      <c r="F462" s="120">
        <f t="shared" si="133"/>
        <v>88.38999999999999</v>
      </c>
      <c r="G462" s="202"/>
      <c r="H462" s="199"/>
      <c r="I462" s="201">
        <f>F462+G462+H462</f>
        <v>88.38999999999999</v>
      </c>
      <c r="J462" s="202"/>
      <c r="K462" s="6"/>
      <c r="L462" s="201">
        <f>I462+J462+K462</f>
        <v>88.38999999999999</v>
      </c>
      <c r="M462" s="33"/>
      <c r="N462" s="197"/>
      <c r="O462" s="34">
        <f>L462+M462+N462</f>
        <v>88.38999999999999</v>
      </c>
      <c r="P462" s="90"/>
      <c r="Q462" s="194">
        <f>O462+P462</f>
        <v>88.38999999999999</v>
      </c>
    </row>
    <row r="463" spans="1:17" ht="12.75" hidden="1">
      <c r="A463" s="45" t="s">
        <v>194</v>
      </c>
      <c r="B463" s="102">
        <v>2</v>
      </c>
      <c r="C463" s="121">
        <f>C464</f>
        <v>0</v>
      </c>
      <c r="D463" s="119">
        <f>D464</f>
        <v>0</v>
      </c>
      <c r="E463" s="119">
        <f>E464</f>
        <v>0</v>
      </c>
      <c r="F463" s="120">
        <f>F464</f>
        <v>0</v>
      </c>
      <c r="G463" s="202"/>
      <c r="H463" s="199"/>
      <c r="I463" s="201"/>
      <c r="J463" s="202"/>
      <c r="K463" s="6"/>
      <c r="L463" s="201"/>
      <c r="M463" s="29"/>
      <c r="N463" s="6"/>
      <c r="O463" s="30"/>
      <c r="P463" s="85"/>
      <c r="Q463" s="193"/>
    </row>
    <row r="464" spans="1:17" ht="12.75" hidden="1">
      <c r="A464" s="45" t="s">
        <v>195</v>
      </c>
      <c r="B464" s="102"/>
      <c r="C464" s="121"/>
      <c r="D464" s="119"/>
      <c r="E464" s="119"/>
      <c r="F464" s="120">
        <f t="shared" si="133"/>
        <v>0</v>
      </c>
      <c r="G464" s="202"/>
      <c r="H464" s="199"/>
      <c r="I464" s="201"/>
      <c r="J464" s="202"/>
      <c r="K464" s="6"/>
      <c r="L464" s="201"/>
      <c r="M464" s="29"/>
      <c r="N464" s="6"/>
      <c r="O464" s="30"/>
      <c r="P464" s="85"/>
      <c r="Q464" s="193"/>
    </row>
    <row r="465" spans="1:17" ht="12.75">
      <c r="A465" s="44" t="s">
        <v>126</v>
      </c>
      <c r="B465" s="102">
        <v>10</v>
      </c>
      <c r="C465" s="121">
        <f>SUM(C466:C469)</f>
        <v>34000</v>
      </c>
      <c r="D465" s="119">
        <f>SUM(D466:D469)</f>
        <v>130202.56</v>
      </c>
      <c r="E465" s="119">
        <f>SUM(E466:E469)</f>
        <v>0</v>
      </c>
      <c r="F465" s="120">
        <f>SUM(F466:F469)</f>
        <v>164202.56</v>
      </c>
      <c r="G465" s="202">
        <f aca="true" t="shared" si="135" ref="G465:Q465">SUM(G466:G469)</f>
        <v>2019.1000000000004</v>
      </c>
      <c r="H465" s="203">
        <f t="shared" si="135"/>
        <v>22000</v>
      </c>
      <c r="I465" s="201">
        <f t="shared" si="135"/>
        <v>188221.66</v>
      </c>
      <c r="J465" s="202">
        <f t="shared" si="135"/>
        <v>-2331.6899999999987</v>
      </c>
      <c r="K465" s="119">
        <f t="shared" si="135"/>
        <v>0</v>
      </c>
      <c r="L465" s="201">
        <f t="shared" si="135"/>
        <v>185889.97</v>
      </c>
      <c r="M465" s="121">
        <f t="shared" si="135"/>
        <v>0</v>
      </c>
      <c r="N465" s="119">
        <f t="shared" si="135"/>
        <v>0</v>
      </c>
      <c r="O465" s="120">
        <f t="shared" si="135"/>
        <v>185889.97</v>
      </c>
      <c r="P465" s="121">
        <f t="shared" si="135"/>
        <v>0</v>
      </c>
      <c r="Q465" s="120">
        <f t="shared" si="135"/>
        <v>185889.97</v>
      </c>
    </row>
    <row r="466" spans="1:17" ht="12.75">
      <c r="A466" s="44" t="s">
        <v>127</v>
      </c>
      <c r="B466" s="102"/>
      <c r="C466" s="121">
        <v>0</v>
      </c>
      <c r="D466" s="119"/>
      <c r="E466" s="119"/>
      <c r="F466" s="120">
        <f t="shared" si="133"/>
        <v>0</v>
      </c>
      <c r="G466" s="202"/>
      <c r="H466" s="203"/>
      <c r="I466" s="201">
        <f>F466+G466+H466</f>
        <v>0</v>
      </c>
      <c r="J466" s="202"/>
      <c r="K466" s="7"/>
      <c r="L466" s="201">
        <f>I466+J466+K466</f>
        <v>0</v>
      </c>
      <c r="M466" s="29"/>
      <c r="N466" s="7"/>
      <c r="O466" s="30">
        <f>L466+M466+N466</f>
        <v>0</v>
      </c>
      <c r="P466" s="85"/>
      <c r="Q466" s="193">
        <f>O466+P466</f>
        <v>0</v>
      </c>
    </row>
    <row r="467" spans="1:17" ht="12.75">
      <c r="A467" s="44" t="s">
        <v>128</v>
      </c>
      <c r="B467" s="102"/>
      <c r="C467" s="121">
        <v>34000</v>
      </c>
      <c r="D467" s="136">
        <f>18640.81+15000</f>
        <v>33640.81</v>
      </c>
      <c r="E467" s="136"/>
      <c r="F467" s="120">
        <f t="shared" si="133"/>
        <v>67640.81</v>
      </c>
      <c r="G467" s="202">
        <f>2000-15000</f>
        <v>-13000</v>
      </c>
      <c r="H467" s="203"/>
      <c r="I467" s="201">
        <f>F467+G467+H467</f>
        <v>54640.81</v>
      </c>
      <c r="J467" s="202">
        <f>11683.58+10000+7000</f>
        <v>28683.58</v>
      </c>
      <c r="K467" s="7"/>
      <c r="L467" s="201">
        <f>I467+J467+K467</f>
        <v>83324.39</v>
      </c>
      <c r="M467" s="29"/>
      <c r="N467" s="7"/>
      <c r="O467" s="30">
        <f>L467+M467+N467</f>
        <v>83324.39</v>
      </c>
      <c r="P467" s="85"/>
      <c r="Q467" s="193">
        <f>O467+P467</f>
        <v>83324.39</v>
      </c>
    </row>
    <row r="468" spans="1:17" ht="12.75">
      <c r="A468" s="44" t="s">
        <v>124</v>
      </c>
      <c r="B468" s="102"/>
      <c r="C468" s="121"/>
      <c r="D468" s="119">
        <f>1033.9</f>
        <v>1033.9</v>
      </c>
      <c r="E468" s="119"/>
      <c r="F468" s="120">
        <f t="shared" si="133"/>
        <v>1033.9</v>
      </c>
      <c r="G468" s="202">
        <f>19.1</f>
        <v>19.1</v>
      </c>
      <c r="H468" s="203"/>
      <c r="I468" s="201">
        <f>F468+G468+H468</f>
        <v>1053</v>
      </c>
      <c r="J468" s="202">
        <f>214.73</f>
        <v>214.73</v>
      </c>
      <c r="K468" s="7"/>
      <c r="L468" s="201">
        <f>I468+J468+K468</f>
        <v>1267.73</v>
      </c>
      <c r="M468" s="29"/>
      <c r="N468" s="7"/>
      <c r="O468" s="30">
        <f>L468+M468+N468</f>
        <v>1267.73</v>
      </c>
      <c r="P468" s="85"/>
      <c r="Q468" s="193">
        <f>O468+P468</f>
        <v>1267.73</v>
      </c>
    </row>
    <row r="469" spans="1:17" ht="12.75">
      <c r="A469" s="45" t="s">
        <v>154</v>
      </c>
      <c r="B469" s="102"/>
      <c r="C469" s="121"/>
      <c r="D469" s="171">
        <f>527.85+95000</f>
        <v>95527.85</v>
      </c>
      <c r="E469" s="119"/>
      <c r="F469" s="120">
        <f t="shared" si="133"/>
        <v>95527.85</v>
      </c>
      <c r="G469" s="202">
        <f>15000</f>
        <v>15000</v>
      </c>
      <c r="H469" s="203">
        <f>22000</f>
        <v>22000</v>
      </c>
      <c r="I469" s="201">
        <f>F469+G469+H469</f>
        <v>132527.85</v>
      </c>
      <c r="J469" s="202">
        <f>-31230</f>
        <v>-31230</v>
      </c>
      <c r="K469" s="7"/>
      <c r="L469" s="201">
        <f>I469+J469+K469</f>
        <v>101297.85</v>
      </c>
      <c r="M469" s="29"/>
      <c r="N469" s="7"/>
      <c r="O469" s="30">
        <f>L469+M469+N469</f>
        <v>101297.85</v>
      </c>
      <c r="P469" s="85"/>
      <c r="Q469" s="193">
        <f>O469+P469</f>
        <v>101297.85</v>
      </c>
    </row>
    <row r="470" spans="1:17" ht="12.75">
      <c r="A470" s="44" t="s">
        <v>129</v>
      </c>
      <c r="B470" s="102">
        <v>12</v>
      </c>
      <c r="C470" s="121">
        <f aca="true" t="shared" si="136" ref="C470:Q470">C471+C472+C473</f>
        <v>5277</v>
      </c>
      <c r="D470" s="119">
        <f t="shared" si="136"/>
        <v>28110</v>
      </c>
      <c r="E470" s="119">
        <f>E471+E472+E473</f>
        <v>0</v>
      </c>
      <c r="F470" s="120">
        <f t="shared" si="136"/>
        <v>33387</v>
      </c>
      <c r="G470" s="202">
        <f t="shared" si="136"/>
        <v>1655.27</v>
      </c>
      <c r="H470" s="203">
        <f t="shared" si="136"/>
        <v>0</v>
      </c>
      <c r="I470" s="201">
        <f t="shared" si="136"/>
        <v>35042.27</v>
      </c>
      <c r="J470" s="202">
        <f t="shared" si="136"/>
        <v>0</v>
      </c>
      <c r="K470" s="119">
        <f t="shared" si="136"/>
        <v>0</v>
      </c>
      <c r="L470" s="201">
        <f t="shared" si="136"/>
        <v>35042.27</v>
      </c>
      <c r="M470" s="121">
        <f t="shared" si="136"/>
        <v>0</v>
      </c>
      <c r="N470" s="119">
        <f t="shared" si="136"/>
        <v>0</v>
      </c>
      <c r="O470" s="120">
        <f t="shared" si="136"/>
        <v>35042.27</v>
      </c>
      <c r="P470" s="121">
        <f t="shared" si="136"/>
        <v>0</v>
      </c>
      <c r="Q470" s="120">
        <f t="shared" si="136"/>
        <v>35042.27</v>
      </c>
    </row>
    <row r="471" spans="1:17" ht="12.75">
      <c r="A471" s="44" t="s">
        <v>130</v>
      </c>
      <c r="B471" s="102"/>
      <c r="C471" s="121">
        <v>2337</v>
      </c>
      <c r="D471" s="119">
        <f>476.13-100</f>
        <v>376.13</v>
      </c>
      <c r="E471" s="119"/>
      <c r="F471" s="120">
        <f t="shared" si="133"/>
        <v>2713.13</v>
      </c>
      <c r="G471" s="202"/>
      <c r="H471" s="203"/>
      <c r="I471" s="201">
        <f>F471+G471+H471</f>
        <v>2713.13</v>
      </c>
      <c r="J471" s="202">
        <f>655.27</f>
        <v>655.27</v>
      </c>
      <c r="K471" s="7"/>
      <c r="L471" s="201">
        <f>I471+J471+K471</f>
        <v>3368.4</v>
      </c>
      <c r="M471" s="29"/>
      <c r="N471" s="7"/>
      <c r="O471" s="30">
        <f>L471+M471+N471</f>
        <v>3368.4</v>
      </c>
      <c r="P471" s="85"/>
      <c r="Q471" s="193">
        <f>O471+P471</f>
        <v>3368.4</v>
      </c>
    </row>
    <row r="472" spans="1:17" ht="12.75">
      <c r="A472" s="44" t="s">
        <v>128</v>
      </c>
      <c r="B472" s="102"/>
      <c r="C472" s="121">
        <v>2940</v>
      </c>
      <c r="D472" s="119">
        <f>29473.87-1740</f>
        <v>27733.87</v>
      </c>
      <c r="E472" s="119"/>
      <c r="F472" s="120">
        <f t="shared" si="133"/>
        <v>30673.87</v>
      </c>
      <c r="G472" s="202"/>
      <c r="H472" s="203"/>
      <c r="I472" s="201">
        <f>F472+G472+H472</f>
        <v>30673.87</v>
      </c>
      <c r="J472" s="202">
        <f>50</f>
        <v>50</v>
      </c>
      <c r="K472" s="7"/>
      <c r="L472" s="201">
        <f>I472+J472+K472</f>
        <v>30723.87</v>
      </c>
      <c r="M472" s="29"/>
      <c r="N472" s="7"/>
      <c r="O472" s="30">
        <f>L472+M472+N472</f>
        <v>30723.87</v>
      </c>
      <c r="P472" s="85"/>
      <c r="Q472" s="193">
        <f>O472+P472</f>
        <v>30723.87</v>
      </c>
    </row>
    <row r="473" spans="1:17" ht="12.75" customHeight="1">
      <c r="A473" s="44" t="s">
        <v>124</v>
      </c>
      <c r="B473" s="102"/>
      <c r="C473" s="121"/>
      <c r="D473" s="119"/>
      <c r="E473" s="119"/>
      <c r="F473" s="120">
        <f t="shared" si="133"/>
        <v>0</v>
      </c>
      <c r="G473" s="202">
        <f>1655.27</f>
        <v>1655.27</v>
      </c>
      <c r="H473" s="203"/>
      <c r="I473" s="201">
        <f>F473+G473+H473</f>
        <v>1655.27</v>
      </c>
      <c r="J473" s="202">
        <f>-705.27</f>
        <v>-705.27</v>
      </c>
      <c r="K473" s="7"/>
      <c r="L473" s="201">
        <f>I473+J473+K473</f>
        <v>950</v>
      </c>
      <c r="M473" s="29"/>
      <c r="N473" s="7"/>
      <c r="O473" s="30">
        <f>L473+M473+N473</f>
        <v>950</v>
      </c>
      <c r="P473" s="85"/>
      <c r="Q473" s="193">
        <f>O473+P473</f>
        <v>950</v>
      </c>
    </row>
    <row r="474" spans="1:17" ht="12.75">
      <c r="A474" s="44" t="s">
        <v>131</v>
      </c>
      <c r="B474" s="102">
        <v>14</v>
      </c>
      <c r="C474" s="121">
        <f>SUM(C475:C479)</f>
        <v>44000</v>
      </c>
      <c r="D474" s="119">
        <f>SUM(D475:D479)</f>
        <v>67659.7</v>
      </c>
      <c r="E474" s="119">
        <f>SUM(E475:E479)</f>
        <v>0</v>
      </c>
      <c r="F474" s="120">
        <f>SUM(F475:F479)</f>
        <v>111659.7</v>
      </c>
      <c r="G474" s="202">
        <f aca="true" t="shared" si="137" ref="G474:Q474">SUM(G475:G479)</f>
        <v>23592.75</v>
      </c>
      <c r="H474" s="203">
        <f t="shared" si="137"/>
        <v>0</v>
      </c>
      <c r="I474" s="201">
        <f t="shared" si="137"/>
        <v>135252.45</v>
      </c>
      <c r="J474" s="202">
        <f t="shared" si="137"/>
        <v>798.9899999999998</v>
      </c>
      <c r="K474" s="119">
        <f t="shared" si="137"/>
        <v>0</v>
      </c>
      <c r="L474" s="201">
        <f t="shared" si="137"/>
        <v>136051.44</v>
      </c>
      <c r="M474" s="121">
        <f t="shared" si="137"/>
        <v>0</v>
      </c>
      <c r="N474" s="119">
        <f t="shared" si="137"/>
        <v>0</v>
      </c>
      <c r="O474" s="120">
        <f t="shared" si="137"/>
        <v>136051.44</v>
      </c>
      <c r="P474" s="121">
        <f t="shared" si="137"/>
        <v>0</v>
      </c>
      <c r="Q474" s="120">
        <f t="shared" si="137"/>
        <v>136051.44</v>
      </c>
    </row>
    <row r="475" spans="1:17" ht="12.75">
      <c r="A475" s="44" t="s">
        <v>132</v>
      </c>
      <c r="B475" s="102"/>
      <c r="C475" s="121">
        <v>23090</v>
      </c>
      <c r="D475" s="136">
        <f>12109.7+17500+51</f>
        <v>29660.7</v>
      </c>
      <c r="E475" s="136"/>
      <c r="F475" s="120">
        <f t="shared" si="133"/>
        <v>52750.7</v>
      </c>
      <c r="G475" s="202">
        <f>2426+5350+795</f>
        <v>8571</v>
      </c>
      <c r="H475" s="203"/>
      <c r="I475" s="201">
        <f>F475+G475+H475</f>
        <v>61321.7</v>
      </c>
      <c r="J475" s="202">
        <f>-7520.7+1501</f>
        <v>-6019.7</v>
      </c>
      <c r="K475" s="7"/>
      <c r="L475" s="201">
        <f>I475+J475+K475</f>
        <v>55302</v>
      </c>
      <c r="M475" s="29"/>
      <c r="N475" s="7"/>
      <c r="O475" s="30">
        <f>L475+M475+N475</f>
        <v>55302</v>
      </c>
      <c r="P475" s="85"/>
      <c r="Q475" s="193">
        <f aca="true" t="shared" si="138" ref="Q475:Q515">O475+P475</f>
        <v>55302</v>
      </c>
    </row>
    <row r="476" spans="1:17" ht="12.75">
      <c r="A476" s="44" t="s">
        <v>133</v>
      </c>
      <c r="B476" s="102"/>
      <c r="C476" s="121">
        <v>20910</v>
      </c>
      <c r="D476" s="119">
        <f>9101+14400-51</f>
        <v>23450</v>
      </c>
      <c r="E476" s="119"/>
      <c r="F476" s="120">
        <f t="shared" si="133"/>
        <v>44360</v>
      </c>
      <c r="G476" s="202">
        <f>4166.75-4200+6150+3905</f>
        <v>10021.75</v>
      </c>
      <c r="H476" s="203"/>
      <c r="I476" s="201">
        <f>F476+G476+H476</f>
        <v>54381.75</v>
      </c>
      <c r="J476" s="202">
        <f>5210.7+277</f>
        <v>5487.7</v>
      </c>
      <c r="K476" s="7"/>
      <c r="L476" s="201">
        <f>I476+J476+K476</f>
        <v>59869.45</v>
      </c>
      <c r="M476" s="29"/>
      <c r="N476" s="7"/>
      <c r="O476" s="30">
        <f>L476+M476+N476</f>
        <v>59869.45</v>
      </c>
      <c r="P476" s="85"/>
      <c r="Q476" s="193">
        <f t="shared" si="138"/>
        <v>59869.45</v>
      </c>
    </row>
    <row r="477" spans="1:17" ht="13.5" customHeight="1">
      <c r="A477" s="44" t="s">
        <v>134</v>
      </c>
      <c r="B477" s="102"/>
      <c r="C477" s="121"/>
      <c r="D477" s="119">
        <f>12581.5+1100</f>
        <v>13681.5</v>
      </c>
      <c r="E477" s="119"/>
      <c r="F477" s="120">
        <f t="shared" si="133"/>
        <v>13681.5</v>
      </c>
      <c r="G477" s="202">
        <f>4200+5000-4200</f>
        <v>5000</v>
      </c>
      <c r="H477" s="203"/>
      <c r="I477" s="201">
        <f>F477+G477+H477</f>
        <v>18681.5</v>
      </c>
      <c r="J477" s="222">
        <f>100+200+200</f>
        <v>500</v>
      </c>
      <c r="K477" s="7"/>
      <c r="L477" s="201">
        <f>I477+J477+K477</f>
        <v>19181.5</v>
      </c>
      <c r="M477" s="29"/>
      <c r="N477" s="7"/>
      <c r="O477" s="30">
        <f>L477+M477+N477</f>
        <v>19181.5</v>
      </c>
      <c r="P477" s="85"/>
      <c r="Q477" s="193">
        <f t="shared" si="138"/>
        <v>19181.5</v>
      </c>
    </row>
    <row r="478" spans="1:17" ht="13.5" customHeight="1">
      <c r="A478" s="45" t="s">
        <v>154</v>
      </c>
      <c r="B478" s="102"/>
      <c r="C478" s="121"/>
      <c r="D478" s="119">
        <f>867.5</f>
        <v>867.5</v>
      </c>
      <c r="E478" s="119"/>
      <c r="F478" s="120">
        <f t="shared" si="133"/>
        <v>867.5</v>
      </c>
      <c r="G478" s="202"/>
      <c r="H478" s="203"/>
      <c r="I478" s="201">
        <f>F478+G478+H478</f>
        <v>867.5</v>
      </c>
      <c r="J478" s="202"/>
      <c r="K478" s="7"/>
      <c r="L478" s="201">
        <f>I478+J478+K478</f>
        <v>867.5</v>
      </c>
      <c r="M478" s="29"/>
      <c r="N478" s="7"/>
      <c r="O478" s="30">
        <f>L478+M478+N478</f>
        <v>867.5</v>
      </c>
      <c r="P478" s="85"/>
      <c r="Q478" s="193">
        <f t="shared" si="138"/>
        <v>867.5</v>
      </c>
    </row>
    <row r="479" spans="1:17" ht="12.75">
      <c r="A479" s="44" t="s">
        <v>135</v>
      </c>
      <c r="B479" s="102"/>
      <c r="C479" s="121"/>
      <c r="D479" s="119"/>
      <c r="E479" s="119"/>
      <c r="F479" s="120">
        <f t="shared" si="133"/>
        <v>0</v>
      </c>
      <c r="G479" s="202"/>
      <c r="H479" s="203"/>
      <c r="I479" s="201">
        <f>F479+G479+H479</f>
        <v>0</v>
      </c>
      <c r="J479" s="202">
        <f>2210+430+168.99-1978</f>
        <v>830.9899999999998</v>
      </c>
      <c r="K479" s="7"/>
      <c r="L479" s="201">
        <f>I479+J479+K479</f>
        <v>830.9899999999998</v>
      </c>
      <c r="M479" s="29"/>
      <c r="N479" s="7"/>
      <c r="O479" s="30">
        <f>L479+M479+N479</f>
        <v>830.9899999999998</v>
      </c>
      <c r="P479" s="85"/>
      <c r="Q479" s="193">
        <f t="shared" si="138"/>
        <v>830.9899999999998</v>
      </c>
    </row>
    <row r="480" spans="1:17" ht="12.75">
      <c r="A480" s="44" t="s">
        <v>136</v>
      </c>
      <c r="B480" s="102">
        <v>15</v>
      </c>
      <c r="C480" s="121">
        <f>SUM(C481:C487)</f>
        <v>210450</v>
      </c>
      <c r="D480" s="119">
        <f>SUM(D481:D487)</f>
        <v>99932.30000000002</v>
      </c>
      <c r="E480" s="119">
        <f>SUM(E481:E487)</f>
        <v>1800</v>
      </c>
      <c r="F480" s="120">
        <f>SUM(F481:F487)</f>
        <v>312182.30000000005</v>
      </c>
      <c r="G480" s="202">
        <f aca="true" t="shared" si="139" ref="G480:Q480">SUM(G481:G487)</f>
        <v>4000</v>
      </c>
      <c r="H480" s="203">
        <f t="shared" si="139"/>
        <v>0</v>
      </c>
      <c r="I480" s="201">
        <f t="shared" si="139"/>
        <v>316182.3</v>
      </c>
      <c r="J480" s="202">
        <f t="shared" si="139"/>
        <v>0</v>
      </c>
      <c r="K480" s="119">
        <f t="shared" si="139"/>
        <v>0</v>
      </c>
      <c r="L480" s="201">
        <f t="shared" si="139"/>
        <v>316182.3</v>
      </c>
      <c r="M480" s="121">
        <f t="shared" si="139"/>
        <v>0</v>
      </c>
      <c r="N480" s="119">
        <f t="shared" si="139"/>
        <v>0</v>
      </c>
      <c r="O480" s="120">
        <f t="shared" si="139"/>
        <v>316182.3</v>
      </c>
      <c r="P480" s="121">
        <f t="shared" si="139"/>
        <v>0</v>
      </c>
      <c r="Q480" s="120">
        <f t="shared" si="139"/>
        <v>316182.3</v>
      </c>
    </row>
    <row r="481" spans="1:17" ht="12.75">
      <c r="A481" s="44" t="s">
        <v>137</v>
      </c>
      <c r="B481" s="102"/>
      <c r="C481" s="121">
        <v>203900</v>
      </c>
      <c r="D481" s="119">
        <f>116359.11-100000</f>
        <v>16359.11</v>
      </c>
      <c r="E481" s="119"/>
      <c r="F481" s="120">
        <f t="shared" si="133"/>
        <v>220259.11</v>
      </c>
      <c r="G481" s="202">
        <f>-184+21000</f>
        <v>20816</v>
      </c>
      <c r="H481" s="203"/>
      <c r="I481" s="201">
        <f aca="true" t="shared" si="140" ref="I481:I487">F481+G481+H481</f>
        <v>241075.11</v>
      </c>
      <c r="J481" s="202">
        <f>200+8396</f>
        <v>8596</v>
      </c>
      <c r="K481" s="7"/>
      <c r="L481" s="201">
        <f aca="true" t="shared" si="141" ref="L481:L487">I481+J481+K481</f>
        <v>249671.11</v>
      </c>
      <c r="M481" s="29"/>
      <c r="N481" s="7"/>
      <c r="O481" s="30">
        <f aca="true" t="shared" si="142" ref="O481:O487">L481+M481+N481</f>
        <v>249671.11</v>
      </c>
      <c r="P481" s="85"/>
      <c r="Q481" s="193">
        <f t="shared" si="138"/>
        <v>249671.11</v>
      </c>
    </row>
    <row r="482" spans="1:17" ht="12.75" hidden="1">
      <c r="A482" s="44" t="s">
        <v>138</v>
      </c>
      <c r="B482" s="102"/>
      <c r="C482" s="121">
        <v>0</v>
      </c>
      <c r="D482" s="119"/>
      <c r="E482" s="119"/>
      <c r="F482" s="120">
        <f t="shared" si="133"/>
        <v>0</v>
      </c>
      <c r="G482" s="202"/>
      <c r="H482" s="203"/>
      <c r="I482" s="201">
        <f t="shared" si="140"/>
        <v>0</v>
      </c>
      <c r="J482" s="202"/>
      <c r="K482" s="7"/>
      <c r="L482" s="201">
        <f t="shared" si="141"/>
        <v>0</v>
      </c>
      <c r="M482" s="29"/>
      <c r="N482" s="7"/>
      <c r="O482" s="30">
        <f t="shared" si="142"/>
        <v>0</v>
      </c>
      <c r="P482" s="85"/>
      <c r="Q482" s="193">
        <f t="shared" si="138"/>
        <v>0</v>
      </c>
    </row>
    <row r="483" spans="1:17" ht="12.75" hidden="1">
      <c r="A483" s="44" t="s">
        <v>139</v>
      </c>
      <c r="B483" s="102"/>
      <c r="C483" s="121"/>
      <c r="D483" s="136"/>
      <c r="E483" s="136"/>
      <c r="F483" s="120">
        <f t="shared" si="133"/>
        <v>0</v>
      </c>
      <c r="G483" s="202"/>
      <c r="H483" s="203"/>
      <c r="I483" s="201">
        <f t="shared" si="140"/>
        <v>0</v>
      </c>
      <c r="J483" s="202"/>
      <c r="K483" s="7"/>
      <c r="L483" s="201">
        <f t="shared" si="141"/>
        <v>0</v>
      </c>
      <c r="M483" s="29"/>
      <c r="N483" s="7"/>
      <c r="O483" s="30">
        <f t="shared" si="142"/>
        <v>0</v>
      </c>
      <c r="P483" s="85"/>
      <c r="Q483" s="193">
        <f t="shared" si="138"/>
        <v>0</v>
      </c>
    </row>
    <row r="484" spans="1:17" ht="12.75">
      <c r="A484" s="44" t="s">
        <v>140</v>
      </c>
      <c r="B484" s="102"/>
      <c r="C484" s="121"/>
      <c r="D484" s="119">
        <f>30121.33</f>
        <v>30121.33</v>
      </c>
      <c r="E484" s="119"/>
      <c r="F484" s="120">
        <f t="shared" si="133"/>
        <v>30121.33</v>
      </c>
      <c r="G484" s="202">
        <f>4000</f>
        <v>4000</v>
      </c>
      <c r="H484" s="203"/>
      <c r="I484" s="201">
        <f t="shared" si="140"/>
        <v>34121.33</v>
      </c>
      <c r="J484" s="202"/>
      <c r="K484" s="7"/>
      <c r="L484" s="201">
        <f t="shared" si="141"/>
        <v>34121.33</v>
      </c>
      <c r="M484" s="29"/>
      <c r="N484" s="7"/>
      <c r="O484" s="30">
        <f t="shared" si="142"/>
        <v>34121.33</v>
      </c>
      <c r="P484" s="85"/>
      <c r="Q484" s="193">
        <f t="shared" si="138"/>
        <v>34121.33</v>
      </c>
    </row>
    <row r="485" spans="1:17" ht="12.75">
      <c r="A485" s="44" t="s">
        <v>141</v>
      </c>
      <c r="B485" s="102"/>
      <c r="C485" s="121"/>
      <c r="D485" s="119">
        <f>5444.91</f>
        <v>5444.91</v>
      </c>
      <c r="E485" s="119"/>
      <c r="F485" s="120">
        <f t="shared" si="133"/>
        <v>5444.91</v>
      </c>
      <c r="G485" s="202"/>
      <c r="H485" s="203"/>
      <c r="I485" s="201">
        <f t="shared" si="140"/>
        <v>5444.91</v>
      </c>
      <c r="J485" s="222"/>
      <c r="K485" s="7"/>
      <c r="L485" s="201">
        <f t="shared" si="141"/>
        <v>5444.91</v>
      </c>
      <c r="M485" s="29"/>
      <c r="N485" s="7"/>
      <c r="O485" s="30">
        <f t="shared" si="142"/>
        <v>5444.91</v>
      </c>
      <c r="P485" s="85"/>
      <c r="Q485" s="193">
        <f t="shared" si="138"/>
        <v>5444.91</v>
      </c>
    </row>
    <row r="486" spans="1:17" ht="12.75">
      <c r="A486" s="44" t="s">
        <v>142</v>
      </c>
      <c r="B486" s="102"/>
      <c r="C486" s="121">
        <v>6550</v>
      </c>
      <c r="D486" s="119">
        <f>6984.3</f>
        <v>6984.3</v>
      </c>
      <c r="E486" s="119">
        <v>1800</v>
      </c>
      <c r="F486" s="120">
        <f t="shared" si="133"/>
        <v>15334.3</v>
      </c>
      <c r="G486" s="202">
        <f>184</f>
        <v>184</v>
      </c>
      <c r="H486" s="203"/>
      <c r="I486" s="201">
        <f t="shared" si="140"/>
        <v>15518.3</v>
      </c>
      <c r="J486" s="202"/>
      <c r="K486" s="7"/>
      <c r="L486" s="201">
        <f t="shared" si="141"/>
        <v>15518.3</v>
      </c>
      <c r="M486" s="29"/>
      <c r="N486" s="7"/>
      <c r="O486" s="30">
        <f t="shared" si="142"/>
        <v>15518.3</v>
      </c>
      <c r="P486" s="85"/>
      <c r="Q486" s="193">
        <f t="shared" si="138"/>
        <v>15518.3</v>
      </c>
    </row>
    <row r="487" spans="1:17" ht="12.75">
      <c r="A487" s="44" t="s">
        <v>135</v>
      </c>
      <c r="B487" s="102"/>
      <c r="C487" s="121"/>
      <c r="D487" s="119">
        <f>979.15+43.5+40000</f>
        <v>41022.65</v>
      </c>
      <c r="E487" s="119"/>
      <c r="F487" s="120">
        <f t="shared" si="133"/>
        <v>41022.65</v>
      </c>
      <c r="G487" s="202">
        <f>-21000</f>
        <v>-21000</v>
      </c>
      <c r="H487" s="203"/>
      <c r="I487" s="201">
        <f t="shared" si="140"/>
        <v>20022.65</v>
      </c>
      <c r="J487" s="202">
        <f>-200-8396</f>
        <v>-8596</v>
      </c>
      <c r="K487" s="7"/>
      <c r="L487" s="201">
        <f t="shared" si="141"/>
        <v>11426.650000000001</v>
      </c>
      <c r="M487" s="29"/>
      <c r="N487" s="7"/>
      <c r="O487" s="30">
        <f t="shared" si="142"/>
        <v>11426.650000000001</v>
      </c>
      <c r="P487" s="85"/>
      <c r="Q487" s="193">
        <f t="shared" si="138"/>
        <v>11426.650000000001</v>
      </c>
    </row>
    <row r="488" spans="1:17" ht="12.75">
      <c r="A488" s="44" t="s">
        <v>143</v>
      </c>
      <c r="B488" s="102">
        <v>16</v>
      </c>
      <c r="C488" s="121">
        <f>SUM(C489:C492)</f>
        <v>3000</v>
      </c>
      <c r="D488" s="119">
        <f>SUM(D489:D492)</f>
        <v>5473.72</v>
      </c>
      <c r="E488" s="119">
        <f>SUM(E489:E492)</f>
        <v>0</v>
      </c>
      <c r="F488" s="120">
        <f>SUM(F489:F492)</f>
        <v>8473.72</v>
      </c>
      <c r="G488" s="202">
        <f aca="true" t="shared" si="143" ref="G488:Q488">SUM(G489:G492)</f>
        <v>0</v>
      </c>
      <c r="H488" s="203">
        <f t="shared" si="143"/>
        <v>0</v>
      </c>
      <c r="I488" s="201">
        <f t="shared" si="143"/>
        <v>8473.72</v>
      </c>
      <c r="J488" s="202">
        <f t="shared" si="143"/>
        <v>0</v>
      </c>
      <c r="K488" s="119">
        <f t="shared" si="143"/>
        <v>0</v>
      </c>
      <c r="L488" s="201">
        <f t="shared" si="143"/>
        <v>8473.72</v>
      </c>
      <c r="M488" s="121">
        <f t="shared" si="143"/>
        <v>0</v>
      </c>
      <c r="N488" s="119">
        <f t="shared" si="143"/>
        <v>0</v>
      </c>
      <c r="O488" s="120">
        <f t="shared" si="143"/>
        <v>8473.72</v>
      </c>
      <c r="P488" s="121">
        <f t="shared" si="143"/>
        <v>0</v>
      </c>
      <c r="Q488" s="120">
        <f t="shared" si="143"/>
        <v>8473.72</v>
      </c>
    </row>
    <row r="489" spans="1:17" ht="12.75">
      <c r="A489" s="44" t="s">
        <v>132</v>
      </c>
      <c r="B489" s="102"/>
      <c r="C489" s="121">
        <v>1558</v>
      </c>
      <c r="D489" s="119">
        <f>1120+100</f>
        <v>1220</v>
      </c>
      <c r="E489" s="119"/>
      <c r="F489" s="120">
        <f t="shared" si="133"/>
        <v>2778</v>
      </c>
      <c r="G489" s="202"/>
      <c r="H489" s="203"/>
      <c r="I489" s="201">
        <f>F489+G489+H489</f>
        <v>2778</v>
      </c>
      <c r="J489" s="202"/>
      <c r="K489" s="7"/>
      <c r="L489" s="201">
        <f>I489+J489+K489</f>
        <v>2778</v>
      </c>
      <c r="M489" s="29"/>
      <c r="N489" s="7"/>
      <c r="O489" s="30">
        <f>L489+M489+N489</f>
        <v>2778</v>
      </c>
      <c r="P489" s="85"/>
      <c r="Q489" s="193">
        <f t="shared" si="138"/>
        <v>2778</v>
      </c>
    </row>
    <row r="490" spans="1:17" ht="12.75">
      <c r="A490" s="44" t="s">
        <v>133</v>
      </c>
      <c r="B490" s="102"/>
      <c r="C490" s="121">
        <v>750</v>
      </c>
      <c r="D490" s="119">
        <f>180-100</f>
        <v>80</v>
      </c>
      <c r="E490" s="119"/>
      <c r="F490" s="120">
        <f t="shared" si="133"/>
        <v>830</v>
      </c>
      <c r="G490" s="202"/>
      <c r="H490" s="203"/>
      <c r="I490" s="201">
        <f>F490+G490+H490</f>
        <v>830</v>
      </c>
      <c r="J490" s="202"/>
      <c r="K490" s="7"/>
      <c r="L490" s="201">
        <f>I490+J490+K490</f>
        <v>830</v>
      </c>
      <c r="M490" s="29"/>
      <c r="N490" s="7"/>
      <c r="O490" s="30">
        <f>L490+M490+N490</f>
        <v>830</v>
      </c>
      <c r="P490" s="85"/>
      <c r="Q490" s="193">
        <f t="shared" si="138"/>
        <v>830</v>
      </c>
    </row>
    <row r="491" spans="1:17" ht="12.75">
      <c r="A491" s="44" t="s">
        <v>134</v>
      </c>
      <c r="B491" s="102"/>
      <c r="C491" s="121">
        <v>692</v>
      </c>
      <c r="D491" s="119">
        <f>3680.16</f>
        <v>3680.16</v>
      </c>
      <c r="E491" s="119"/>
      <c r="F491" s="120">
        <f t="shared" si="133"/>
        <v>4372.16</v>
      </c>
      <c r="G491" s="202"/>
      <c r="H491" s="203"/>
      <c r="I491" s="201">
        <f>F491+G491+H491</f>
        <v>4372.16</v>
      </c>
      <c r="J491" s="202"/>
      <c r="K491" s="7"/>
      <c r="L491" s="201">
        <f>I491+J491+K491</f>
        <v>4372.16</v>
      </c>
      <c r="M491" s="29"/>
      <c r="N491" s="7"/>
      <c r="O491" s="30">
        <f>L491+M491+N491</f>
        <v>4372.16</v>
      </c>
      <c r="P491" s="85"/>
      <c r="Q491" s="193">
        <f t="shared" si="138"/>
        <v>4372.16</v>
      </c>
    </row>
    <row r="492" spans="1:17" ht="12.75">
      <c r="A492" s="44" t="s">
        <v>135</v>
      </c>
      <c r="B492" s="102"/>
      <c r="C492" s="121">
        <v>0</v>
      </c>
      <c r="D492" s="119">
        <f>493.56</f>
        <v>493.56</v>
      </c>
      <c r="E492" s="119"/>
      <c r="F492" s="120">
        <f t="shared" si="133"/>
        <v>493.56</v>
      </c>
      <c r="G492" s="202"/>
      <c r="H492" s="203"/>
      <c r="I492" s="201">
        <f>F492+G492+H492</f>
        <v>493.56</v>
      </c>
      <c r="J492" s="202"/>
      <c r="K492" s="7"/>
      <c r="L492" s="201">
        <f>I492+J492+K492</f>
        <v>493.56</v>
      </c>
      <c r="M492" s="29"/>
      <c r="N492" s="7"/>
      <c r="O492" s="30">
        <f>L492+M492+N492</f>
        <v>493.56</v>
      </c>
      <c r="P492" s="85"/>
      <c r="Q492" s="193">
        <f t="shared" si="138"/>
        <v>493.56</v>
      </c>
    </row>
    <row r="493" spans="1:17" ht="12.75">
      <c r="A493" s="44" t="s">
        <v>144</v>
      </c>
      <c r="B493" s="102">
        <v>28</v>
      </c>
      <c r="C493" s="121">
        <f>SUM(C494:C498)</f>
        <v>10000</v>
      </c>
      <c r="D493" s="119">
        <f>SUM(D494:D498)</f>
        <v>48099.49</v>
      </c>
      <c r="E493" s="119">
        <f>SUM(E494:E498)</f>
        <v>0</v>
      </c>
      <c r="F493" s="120">
        <f>SUM(F494:F498)</f>
        <v>58099.49</v>
      </c>
      <c r="G493" s="202">
        <f aca="true" t="shared" si="144" ref="G493:Q493">SUM(G494:G498)</f>
        <v>-102.74000000000005</v>
      </c>
      <c r="H493" s="203">
        <f t="shared" si="144"/>
        <v>0</v>
      </c>
      <c r="I493" s="201">
        <f t="shared" si="144"/>
        <v>57996.75</v>
      </c>
      <c r="J493" s="202">
        <f t="shared" si="144"/>
        <v>0</v>
      </c>
      <c r="K493" s="119">
        <f t="shared" si="144"/>
        <v>0</v>
      </c>
      <c r="L493" s="201">
        <f t="shared" si="144"/>
        <v>57996.75</v>
      </c>
      <c r="M493" s="121">
        <f t="shared" si="144"/>
        <v>0</v>
      </c>
      <c r="N493" s="119">
        <f t="shared" si="144"/>
        <v>-60.6</v>
      </c>
      <c r="O493" s="120">
        <f t="shared" si="144"/>
        <v>57936.15</v>
      </c>
      <c r="P493" s="121">
        <f t="shared" si="144"/>
        <v>0</v>
      </c>
      <c r="Q493" s="120">
        <f t="shared" si="144"/>
        <v>57936.15</v>
      </c>
    </row>
    <row r="494" spans="1:17" ht="12.75">
      <c r="A494" s="44" t="s">
        <v>132</v>
      </c>
      <c r="B494" s="102"/>
      <c r="C494" s="121">
        <v>1550</v>
      </c>
      <c r="D494" s="119">
        <f>5695+4200</f>
        <v>9895</v>
      </c>
      <c r="E494" s="119"/>
      <c r="F494" s="120">
        <f t="shared" si="133"/>
        <v>11445</v>
      </c>
      <c r="G494" s="202">
        <f>-250</f>
        <v>-250</v>
      </c>
      <c r="H494" s="203"/>
      <c r="I494" s="201">
        <f>F494+G494+H494</f>
        <v>11195</v>
      </c>
      <c r="J494" s="202"/>
      <c r="K494" s="7"/>
      <c r="L494" s="201">
        <f>I494+J494+K494</f>
        <v>11195</v>
      </c>
      <c r="M494" s="29"/>
      <c r="N494" s="7"/>
      <c r="O494" s="30">
        <f>L494+M494+N494</f>
        <v>11195</v>
      </c>
      <c r="P494" s="85"/>
      <c r="Q494" s="193">
        <f t="shared" si="138"/>
        <v>11195</v>
      </c>
    </row>
    <row r="495" spans="1:17" ht="12.75">
      <c r="A495" s="44" t="s">
        <v>133</v>
      </c>
      <c r="B495" s="102"/>
      <c r="C495" s="121"/>
      <c r="D495" s="119">
        <f>200</f>
        <v>200</v>
      </c>
      <c r="E495" s="119"/>
      <c r="F495" s="120">
        <f t="shared" si="133"/>
        <v>200</v>
      </c>
      <c r="G495" s="202">
        <f>400</f>
        <v>400</v>
      </c>
      <c r="H495" s="203"/>
      <c r="I495" s="201">
        <f>F495+G495+H495</f>
        <v>600</v>
      </c>
      <c r="J495" s="202"/>
      <c r="K495" s="7"/>
      <c r="L495" s="201">
        <f>I495+J495+K495</f>
        <v>600</v>
      </c>
      <c r="M495" s="29"/>
      <c r="N495" s="7"/>
      <c r="O495" s="30">
        <f>L495+M495+N495</f>
        <v>600</v>
      </c>
      <c r="P495" s="85"/>
      <c r="Q495" s="193">
        <f t="shared" si="138"/>
        <v>600</v>
      </c>
    </row>
    <row r="496" spans="1:17" ht="12.75">
      <c r="A496" s="44" t="s">
        <v>145</v>
      </c>
      <c r="B496" s="102"/>
      <c r="C496" s="121">
        <v>8200</v>
      </c>
      <c r="D496" s="119">
        <f>33224.67+510+4000+515.32</f>
        <v>38249.99</v>
      </c>
      <c r="E496" s="119"/>
      <c r="F496" s="120">
        <f t="shared" si="133"/>
        <v>46449.99</v>
      </c>
      <c r="G496" s="202">
        <f>250-515.32</f>
        <v>-265.32000000000005</v>
      </c>
      <c r="H496" s="203"/>
      <c r="I496" s="201">
        <f>F496+G496+H496</f>
        <v>46184.67</v>
      </c>
      <c r="J496" s="202"/>
      <c r="K496" s="7"/>
      <c r="L496" s="201">
        <f>I496+J496+K496</f>
        <v>46184.67</v>
      </c>
      <c r="M496" s="29"/>
      <c r="N496" s="7"/>
      <c r="O496" s="30">
        <f>L496+M496+N496</f>
        <v>46184.67</v>
      </c>
      <c r="P496" s="85"/>
      <c r="Q496" s="193">
        <f t="shared" si="138"/>
        <v>46184.67</v>
      </c>
    </row>
    <row r="497" spans="1:17" ht="12.75" hidden="1">
      <c r="A497" s="44" t="s">
        <v>142</v>
      </c>
      <c r="B497" s="102"/>
      <c r="C497" s="121"/>
      <c r="D497" s="119"/>
      <c r="E497" s="119"/>
      <c r="F497" s="120">
        <f t="shared" si="133"/>
        <v>0</v>
      </c>
      <c r="G497" s="202"/>
      <c r="H497" s="203"/>
      <c r="I497" s="201">
        <f>F497+G497+H497</f>
        <v>0</v>
      </c>
      <c r="J497" s="202"/>
      <c r="K497" s="7"/>
      <c r="L497" s="201">
        <f>I497+J497+K497</f>
        <v>0</v>
      </c>
      <c r="M497" s="29"/>
      <c r="N497" s="7"/>
      <c r="O497" s="30">
        <f>L497+M497+N497</f>
        <v>0</v>
      </c>
      <c r="P497" s="85"/>
      <c r="Q497" s="193">
        <f t="shared" si="138"/>
        <v>0</v>
      </c>
    </row>
    <row r="498" spans="1:17" ht="12.75">
      <c r="A498" s="44" t="s">
        <v>135</v>
      </c>
      <c r="B498" s="102"/>
      <c r="C498" s="121">
        <v>250</v>
      </c>
      <c r="D498" s="136">
        <f>1464.5-510-1200</f>
        <v>-245.5</v>
      </c>
      <c r="E498" s="119"/>
      <c r="F498" s="120">
        <f t="shared" si="133"/>
        <v>4.5</v>
      </c>
      <c r="G498" s="202">
        <f>12.58</f>
        <v>12.58</v>
      </c>
      <c r="H498" s="203"/>
      <c r="I498" s="201">
        <f>F498+G498+H498</f>
        <v>17.08</v>
      </c>
      <c r="J498" s="202"/>
      <c r="K498" s="7"/>
      <c r="L498" s="201">
        <f>I498+J498+K498</f>
        <v>17.08</v>
      </c>
      <c r="M498" s="29"/>
      <c r="N498" s="7">
        <v>-60.6</v>
      </c>
      <c r="O498" s="30">
        <f>L498+M498+N498</f>
        <v>-43.52</v>
      </c>
      <c r="P498" s="85"/>
      <c r="Q498" s="193">
        <f t="shared" si="138"/>
        <v>-43.52</v>
      </c>
    </row>
    <row r="499" spans="1:17" ht="12.75">
      <c r="A499" s="45" t="s">
        <v>146</v>
      </c>
      <c r="B499" s="102"/>
      <c r="C499" s="121">
        <f>C500+C501</f>
        <v>15000</v>
      </c>
      <c r="D499" s="119">
        <f>D500+D501</f>
        <v>10</v>
      </c>
      <c r="E499" s="119">
        <f>E500+E501</f>
        <v>0</v>
      </c>
      <c r="F499" s="120">
        <f>F500+F501</f>
        <v>15010</v>
      </c>
      <c r="G499" s="202">
        <f aca="true" t="shared" si="145" ref="G499:Q499">G500+G501</f>
        <v>517.57</v>
      </c>
      <c r="H499" s="203">
        <f t="shared" si="145"/>
        <v>0</v>
      </c>
      <c r="I499" s="201">
        <f t="shared" si="145"/>
        <v>15527.57</v>
      </c>
      <c r="J499" s="202">
        <f t="shared" si="145"/>
        <v>-644.73</v>
      </c>
      <c r="K499" s="119">
        <f t="shared" si="145"/>
        <v>0</v>
      </c>
      <c r="L499" s="201">
        <f t="shared" si="145"/>
        <v>14882.84</v>
      </c>
      <c r="M499" s="121">
        <f t="shared" si="145"/>
        <v>0</v>
      </c>
      <c r="N499" s="119">
        <f t="shared" si="145"/>
        <v>0</v>
      </c>
      <c r="O499" s="120">
        <f t="shared" si="145"/>
        <v>0</v>
      </c>
      <c r="P499" s="121">
        <f t="shared" si="145"/>
        <v>0</v>
      </c>
      <c r="Q499" s="120">
        <f t="shared" si="145"/>
        <v>0</v>
      </c>
    </row>
    <row r="500" spans="1:17" ht="12.75">
      <c r="A500" s="45" t="s">
        <v>304</v>
      </c>
      <c r="B500" s="102"/>
      <c r="C500" s="121">
        <v>15000</v>
      </c>
      <c r="D500" s="119"/>
      <c r="E500" s="119"/>
      <c r="F500" s="120">
        <f t="shared" si="133"/>
        <v>15000</v>
      </c>
      <c r="G500" s="202">
        <f>517.57</f>
        <v>517.57</v>
      </c>
      <c r="H500" s="203"/>
      <c r="I500" s="201">
        <f>F500+G500+H500</f>
        <v>15517.57</v>
      </c>
      <c r="J500" s="202">
        <f>-644.73</f>
        <v>-644.73</v>
      </c>
      <c r="K500" s="7"/>
      <c r="L500" s="201">
        <f>I500+J500+K500</f>
        <v>14872.84</v>
      </c>
      <c r="M500" s="29"/>
      <c r="N500" s="7"/>
      <c r="O500" s="30"/>
      <c r="P500" s="85"/>
      <c r="Q500" s="193"/>
    </row>
    <row r="501" spans="1:17" ht="12.75">
      <c r="A501" s="48" t="s">
        <v>305</v>
      </c>
      <c r="B501" s="105"/>
      <c r="C501" s="131"/>
      <c r="D501" s="132">
        <v>10</v>
      </c>
      <c r="E501" s="132"/>
      <c r="F501" s="169">
        <f t="shared" si="133"/>
        <v>10</v>
      </c>
      <c r="G501" s="215"/>
      <c r="H501" s="216"/>
      <c r="I501" s="217">
        <f>F501+G501+H501</f>
        <v>10</v>
      </c>
      <c r="J501" s="215"/>
      <c r="K501" s="10"/>
      <c r="L501" s="217">
        <f>I501+J501+K501</f>
        <v>10</v>
      </c>
      <c r="M501" s="33"/>
      <c r="N501" s="10"/>
      <c r="O501" s="34"/>
      <c r="P501" s="90"/>
      <c r="Q501" s="194"/>
    </row>
    <row r="502" spans="1:17" ht="13.5" thickBot="1">
      <c r="A502" s="59" t="s">
        <v>147</v>
      </c>
      <c r="B502" s="106"/>
      <c r="C502" s="122">
        <v>5900.9</v>
      </c>
      <c r="D502" s="123">
        <f>94.04+141.22</f>
        <v>235.26</v>
      </c>
      <c r="E502" s="123"/>
      <c r="F502" s="124">
        <f t="shared" si="133"/>
        <v>6136.16</v>
      </c>
      <c r="G502" s="206">
        <f>7.6</f>
        <v>7.6</v>
      </c>
      <c r="H502" s="207">
        <f>981.58-0.73</f>
        <v>980.85</v>
      </c>
      <c r="I502" s="208">
        <f>SUM(F502:H502)</f>
        <v>7124.610000000001</v>
      </c>
      <c r="J502" s="206">
        <f>80.89</f>
        <v>80.89</v>
      </c>
      <c r="K502" s="8"/>
      <c r="L502" s="208">
        <f>SUM(I502:K502)</f>
        <v>7205.500000000001</v>
      </c>
      <c r="M502" s="31"/>
      <c r="N502" s="8"/>
      <c r="O502" s="32">
        <f>SUM(L502:N502)</f>
        <v>7205.500000000001</v>
      </c>
      <c r="P502" s="86"/>
      <c r="Q502" s="32">
        <f>O502+P502</f>
        <v>7205.500000000001</v>
      </c>
    </row>
    <row r="503" spans="1:17" ht="14.25" thickBot="1">
      <c r="A503" s="60" t="s">
        <v>148</v>
      </c>
      <c r="B503" s="109"/>
      <c r="C503" s="161">
        <f aca="true" t="shared" si="146" ref="C503:Q503">C103+C120+C138+C157+C167+C185+C197+C221+C265+C288+C364+C390+C412+C419+C448+C452+C502+C426+C309</f>
        <v>3640237.9</v>
      </c>
      <c r="D503" s="151">
        <f t="shared" si="146"/>
        <v>7890707.289999998</v>
      </c>
      <c r="E503" s="151">
        <f t="shared" si="146"/>
        <v>1800</v>
      </c>
      <c r="F503" s="148">
        <f t="shared" si="146"/>
        <v>11532745.190000001</v>
      </c>
      <c r="G503" s="228">
        <f t="shared" si="146"/>
        <v>1025984.0800000001</v>
      </c>
      <c r="H503" s="229">
        <f t="shared" si="146"/>
        <v>51928.81</v>
      </c>
      <c r="I503" s="230">
        <f t="shared" si="146"/>
        <v>12610658.080000002</v>
      </c>
      <c r="J503" s="228">
        <f t="shared" si="146"/>
        <v>632063.86</v>
      </c>
      <c r="K503" s="151">
        <f t="shared" si="146"/>
        <v>16652.77</v>
      </c>
      <c r="L503" s="230">
        <f t="shared" si="146"/>
        <v>13259374.710000003</v>
      </c>
      <c r="M503" s="161">
        <f t="shared" si="146"/>
        <v>0</v>
      </c>
      <c r="N503" s="151">
        <f t="shared" si="146"/>
        <v>-60.6</v>
      </c>
      <c r="O503" s="148">
        <f t="shared" si="146"/>
        <v>9502837.880000003</v>
      </c>
      <c r="P503" s="161">
        <f t="shared" si="146"/>
        <v>0</v>
      </c>
      <c r="Q503" s="148">
        <f t="shared" si="146"/>
        <v>9502837.880000003</v>
      </c>
    </row>
    <row r="504" spans="1:17" ht="13.5" thickBot="1">
      <c r="A504" s="61" t="s">
        <v>149</v>
      </c>
      <c r="B504" s="109"/>
      <c r="C504" s="162">
        <v>-5900.9</v>
      </c>
      <c r="D504" s="152">
        <f>-94.04-141.22</f>
        <v>-235.26</v>
      </c>
      <c r="E504" s="152"/>
      <c r="F504" s="142">
        <f>SUM(C504:E504)</f>
        <v>-6136.16</v>
      </c>
      <c r="G504" s="231">
        <f>-7.6</f>
        <v>-7.6</v>
      </c>
      <c r="H504" s="232"/>
      <c r="I504" s="233">
        <f>SUM(F504:H504)</f>
        <v>-6143.76</v>
      </c>
      <c r="J504" s="231">
        <f>-80.89</f>
        <v>-80.89</v>
      </c>
      <c r="K504" s="13"/>
      <c r="L504" s="233">
        <f>SUM(I504:K504)</f>
        <v>-6224.650000000001</v>
      </c>
      <c r="M504" s="21"/>
      <c r="N504" s="13"/>
      <c r="O504" s="14">
        <f>SUM(L504:N504)</f>
        <v>-6224.650000000001</v>
      </c>
      <c r="P504" s="85"/>
      <c r="Q504" s="195">
        <f t="shared" si="138"/>
        <v>-6224.650000000001</v>
      </c>
    </row>
    <row r="505" spans="1:17" ht="15.75" thickBot="1">
      <c r="A505" s="62" t="s">
        <v>150</v>
      </c>
      <c r="B505" s="109"/>
      <c r="C505" s="163">
        <f>C503+C504</f>
        <v>3634337</v>
      </c>
      <c r="D505" s="153">
        <f>D503+D504</f>
        <v>7890472.029999998</v>
      </c>
      <c r="E505" s="153">
        <f>E503+E504</f>
        <v>1800</v>
      </c>
      <c r="F505" s="143">
        <f>F503+F504</f>
        <v>11526609.030000001</v>
      </c>
      <c r="G505" s="234">
        <f aca="true" t="shared" si="147" ref="G505:Q505">G503+G504</f>
        <v>1025976.4800000001</v>
      </c>
      <c r="H505" s="235">
        <f t="shared" si="147"/>
        <v>51928.81</v>
      </c>
      <c r="I505" s="236">
        <f t="shared" si="147"/>
        <v>12604514.320000002</v>
      </c>
      <c r="J505" s="234">
        <f t="shared" si="147"/>
        <v>631982.97</v>
      </c>
      <c r="K505" s="153">
        <f t="shared" si="147"/>
        <v>16652.77</v>
      </c>
      <c r="L505" s="236">
        <f t="shared" si="147"/>
        <v>13253150.060000002</v>
      </c>
      <c r="M505" s="163">
        <f t="shared" si="147"/>
        <v>0</v>
      </c>
      <c r="N505" s="153">
        <f t="shared" si="147"/>
        <v>-60.6</v>
      </c>
      <c r="O505" s="143">
        <f t="shared" si="147"/>
        <v>9496613.230000002</v>
      </c>
      <c r="P505" s="163">
        <f t="shared" si="147"/>
        <v>0</v>
      </c>
      <c r="Q505" s="143">
        <f t="shared" si="147"/>
        <v>9496613.230000002</v>
      </c>
    </row>
    <row r="506" spans="1:17" ht="15">
      <c r="A506" s="63" t="s">
        <v>33</v>
      </c>
      <c r="B506" s="110"/>
      <c r="C506" s="164"/>
      <c r="D506" s="154"/>
      <c r="E506" s="154"/>
      <c r="F506" s="144"/>
      <c r="G506" s="237"/>
      <c r="H506" s="238"/>
      <c r="I506" s="239"/>
      <c r="J506" s="237"/>
      <c r="K506" s="15"/>
      <c r="L506" s="239"/>
      <c r="M506" s="17"/>
      <c r="N506" s="15"/>
      <c r="O506" s="16"/>
      <c r="P506" s="85"/>
      <c r="Q506" s="193"/>
    </row>
    <row r="507" spans="1:17" ht="15">
      <c r="A507" s="64" t="s">
        <v>286</v>
      </c>
      <c r="B507" s="111"/>
      <c r="C507" s="165">
        <f aca="true" t="shared" si="148" ref="C507:Q507">C104+C121+C139+C158+C168+C186+C198+C222+C266+C289+C365+C391+C413+C420+C449+C454+C502+C504+C427+C310</f>
        <v>2914638</v>
      </c>
      <c r="D507" s="155">
        <f t="shared" si="148"/>
        <v>6261650.049999999</v>
      </c>
      <c r="E507" s="155">
        <f t="shared" si="148"/>
        <v>4738.1</v>
      </c>
      <c r="F507" s="149">
        <f t="shared" si="148"/>
        <v>9181036.149999999</v>
      </c>
      <c r="G507" s="240">
        <f t="shared" si="148"/>
        <v>375614.62999999995</v>
      </c>
      <c r="H507" s="241">
        <f t="shared" si="148"/>
        <v>19429.809999999998</v>
      </c>
      <c r="I507" s="242">
        <f t="shared" si="148"/>
        <v>9576080.589999998</v>
      </c>
      <c r="J507" s="240">
        <f t="shared" si="148"/>
        <v>288816.11999999994</v>
      </c>
      <c r="K507" s="155">
        <f t="shared" si="148"/>
        <v>0</v>
      </c>
      <c r="L507" s="242">
        <f t="shared" si="148"/>
        <v>9864886.71</v>
      </c>
      <c r="M507" s="165">
        <f t="shared" si="148"/>
        <v>0</v>
      </c>
      <c r="N507" s="155">
        <f t="shared" si="148"/>
        <v>0</v>
      </c>
      <c r="O507" s="149">
        <f t="shared" si="148"/>
        <v>8746132.83</v>
      </c>
      <c r="P507" s="165">
        <f t="shared" si="148"/>
        <v>0</v>
      </c>
      <c r="Q507" s="149">
        <f t="shared" si="148"/>
        <v>8746132.83</v>
      </c>
    </row>
    <row r="508" spans="1:17" ht="15.75" thickBot="1">
      <c r="A508" s="50" t="s">
        <v>287</v>
      </c>
      <c r="B508" s="112"/>
      <c r="C508" s="166">
        <f aca="true" t="shared" si="149" ref="C508:Q508">C114+C134+C148+C163+C180+C191+C214+C258+C281+C303+C385+C403+C416+C455+C441+C334</f>
        <v>719699</v>
      </c>
      <c r="D508" s="156">
        <f t="shared" si="149"/>
        <v>1628821.98</v>
      </c>
      <c r="E508" s="156">
        <f t="shared" si="149"/>
        <v>-2938.1</v>
      </c>
      <c r="F508" s="150">
        <f t="shared" si="149"/>
        <v>2345572.88</v>
      </c>
      <c r="G508" s="243">
        <f t="shared" si="149"/>
        <v>650361.8500000001</v>
      </c>
      <c r="H508" s="244">
        <f t="shared" si="149"/>
        <v>32499</v>
      </c>
      <c r="I508" s="245">
        <f t="shared" si="149"/>
        <v>3028433.7300000004</v>
      </c>
      <c r="J508" s="243">
        <f t="shared" si="149"/>
        <v>343166.85</v>
      </c>
      <c r="K508" s="156">
        <f t="shared" si="149"/>
        <v>16652.77</v>
      </c>
      <c r="L508" s="245">
        <f t="shared" si="149"/>
        <v>3388263.35</v>
      </c>
      <c r="M508" s="166">
        <f t="shared" si="149"/>
        <v>0</v>
      </c>
      <c r="N508" s="156">
        <f t="shared" si="149"/>
        <v>-60.6</v>
      </c>
      <c r="O508" s="150">
        <f t="shared" si="149"/>
        <v>750480.3999999999</v>
      </c>
      <c r="P508" s="166">
        <f t="shared" si="149"/>
        <v>0</v>
      </c>
      <c r="Q508" s="150">
        <f t="shared" si="149"/>
        <v>750480.3999999999</v>
      </c>
    </row>
    <row r="509" spans="1:17" ht="15.75" thickBot="1">
      <c r="A509" s="64" t="s">
        <v>277</v>
      </c>
      <c r="B509" s="111"/>
      <c r="C509" s="161">
        <f aca="true" t="shared" si="150" ref="C509:Q509">C101-C505</f>
        <v>262500</v>
      </c>
      <c r="D509" s="151">
        <f t="shared" si="150"/>
        <v>-1946909.8299999982</v>
      </c>
      <c r="E509" s="151">
        <f t="shared" si="150"/>
        <v>0</v>
      </c>
      <c r="F509" s="148">
        <f t="shared" si="150"/>
        <v>-1684409.830000002</v>
      </c>
      <c r="G509" s="228">
        <f t="shared" si="150"/>
        <v>-148732.76</v>
      </c>
      <c r="H509" s="229">
        <f t="shared" si="150"/>
        <v>-10915.989999999998</v>
      </c>
      <c r="I509" s="230">
        <f t="shared" si="150"/>
        <v>-1844058.580000002</v>
      </c>
      <c r="J509" s="228">
        <f t="shared" si="150"/>
        <v>0</v>
      </c>
      <c r="K509" s="151">
        <f t="shared" si="150"/>
        <v>0</v>
      </c>
      <c r="L509" s="230">
        <f t="shared" si="150"/>
        <v>-1844058.58</v>
      </c>
      <c r="M509" s="161">
        <f t="shared" si="150"/>
        <v>0</v>
      </c>
      <c r="N509" s="151">
        <f t="shared" si="150"/>
        <v>60.6</v>
      </c>
      <c r="O509" s="148">
        <f t="shared" si="150"/>
        <v>-2024632.6700000018</v>
      </c>
      <c r="P509" s="161">
        <f t="shared" si="150"/>
        <v>0</v>
      </c>
      <c r="Q509" s="148">
        <f t="shared" si="150"/>
        <v>-2024632.6700000018</v>
      </c>
    </row>
    <row r="510" spans="1:17" ht="15">
      <c r="A510" s="63" t="s">
        <v>288</v>
      </c>
      <c r="B510" s="110"/>
      <c r="C510" s="167">
        <f>SUM(C512:C515)</f>
        <v>-262500</v>
      </c>
      <c r="D510" s="157">
        <f>SUM(D512:D515)</f>
        <v>1946909.8300000003</v>
      </c>
      <c r="E510" s="157">
        <f>SUM(E512:E515)</f>
        <v>0</v>
      </c>
      <c r="F510" s="145">
        <f>SUM(F512:F515)</f>
        <v>1684409.8300000003</v>
      </c>
      <c r="G510" s="246">
        <f aca="true" t="shared" si="151" ref="G510:Q510">SUM(G512:G515)</f>
        <v>148732.76</v>
      </c>
      <c r="H510" s="247">
        <f t="shared" si="151"/>
        <v>10915.99</v>
      </c>
      <c r="I510" s="248">
        <f t="shared" si="151"/>
        <v>1844058.5800000003</v>
      </c>
      <c r="J510" s="246">
        <f t="shared" si="151"/>
        <v>0</v>
      </c>
      <c r="K510" s="157">
        <f t="shared" si="151"/>
        <v>0</v>
      </c>
      <c r="L510" s="248">
        <f t="shared" si="151"/>
        <v>1844058.5800000003</v>
      </c>
      <c r="M510" s="167">
        <f t="shared" si="151"/>
        <v>0</v>
      </c>
      <c r="N510" s="157">
        <f t="shared" si="151"/>
        <v>0</v>
      </c>
      <c r="O510" s="145">
        <f t="shared" si="151"/>
        <v>1844058.5800000003</v>
      </c>
      <c r="P510" s="167">
        <f t="shared" si="151"/>
        <v>0</v>
      </c>
      <c r="Q510" s="145">
        <f t="shared" si="151"/>
        <v>1844058.5800000003</v>
      </c>
    </row>
    <row r="511" spans="1:17" ht="12.75" customHeight="1">
      <c r="A511" s="65" t="s">
        <v>33</v>
      </c>
      <c r="B511" s="113"/>
      <c r="C511" s="168"/>
      <c r="D511" s="158"/>
      <c r="E511" s="158"/>
      <c r="F511" s="146"/>
      <c r="G511" s="249"/>
      <c r="H511" s="250"/>
      <c r="I511" s="251"/>
      <c r="J511" s="249"/>
      <c r="K511" s="18"/>
      <c r="L511" s="251"/>
      <c r="M511" s="22"/>
      <c r="N511" s="18"/>
      <c r="O511" s="73"/>
      <c r="P511" s="85"/>
      <c r="Q511" s="193"/>
    </row>
    <row r="512" spans="1:17" ht="13.5" hidden="1">
      <c r="A512" s="65" t="s">
        <v>151</v>
      </c>
      <c r="B512" s="113"/>
      <c r="C512" s="181"/>
      <c r="D512" s="182"/>
      <c r="E512" s="182"/>
      <c r="F512" s="183">
        <f>SUM(C512:E512)</f>
        <v>0</v>
      </c>
      <c r="G512" s="252"/>
      <c r="H512" s="253"/>
      <c r="I512" s="251">
        <f>SUM(F512:H512)</f>
        <v>0</v>
      </c>
      <c r="J512" s="252"/>
      <c r="K512" s="19"/>
      <c r="L512" s="251">
        <f>SUM(I512:K512)</f>
        <v>0</v>
      </c>
      <c r="M512" s="23"/>
      <c r="N512" s="19"/>
      <c r="O512" s="73">
        <f>SUM(L512:N512)</f>
        <v>0</v>
      </c>
      <c r="P512" s="85"/>
      <c r="Q512" s="193">
        <f t="shared" si="138"/>
        <v>0</v>
      </c>
    </row>
    <row r="513" spans="1:17" ht="13.5">
      <c r="A513" s="66" t="s">
        <v>158</v>
      </c>
      <c r="B513" s="113"/>
      <c r="C513" s="181">
        <v>-262500</v>
      </c>
      <c r="D513" s="182"/>
      <c r="E513" s="182"/>
      <c r="F513" s="183">
        <f>SUM(C513:E513)</f>
        <v>-262500</v>
      </c>
      <c r="G513" s="255">
        <f>100000</f>
        <v>100000</v>
      </c>
      <c r="H513" s="253"/>
      <c r="I513" s="183">
        <f>SUM(F513:H513)</f>
        <v>-162500</v>
      </c>
      <c r="J513" s="252"/>
      <c r="K513" s="19"/>
      <c r="L513" s="251">
        <f>SUM(I513:K513)</f>
        <v>-162500</v>
      </c>
      <c r="M513" s="23"/>
      <c r="N513" s="19"/>
      <c r="O513" s="73">
        <f>SUM(L513:N513)</f>
        <v>-162500</v>
      </c>
      <c r="P513" s="85"/>
      <c r="Q513" s="193">
        <f t="shared" si="138"/>
        <v>-162500</v>
      </c>
    </row>
    <row r="514" spans="1:17" ht="14.25" thickBot="1">
      <c r="A514" s="66" t="s">
        <v>152</v>
      </c>
      <c r="B514" s="113"/>
      <c r="C514" s="181"/>
      <c r="D514" s="182">
        <f>8552.18+5904.26+221084+537+841+291047.34+5560+35176.21+738685.02+10+73.37+15403.87+2205.35+7279.26+1042+20072.43+658.97+590.5+4465.69+7976.61+200+2736.03+349.73+1053.69+526367.02+1691.85+47346.45</f>
        <v>1946909.8300000003</v>
      </c>
      <c r="E514" s="182"/>
      <c r="F514" s="183">
        <f>SUM(C514:E514)</f>
        <v>1946909.8300000003</v>
      </c>
      <c r="G514" s="255">
        <f>6592.75+2699.54+39440.47</f>
        <v>48732.76</v>
      </c>
      <c r="H514" s="257">
        <f>9935.14</f>
        <v>9935.14</v>
      </c>
      <c r="I514" s="183">
        <f>SUM(F514:H514)</f>
        <v>2005577.7300000002</v>
      </c>
      <c r="J514" s="252"/>
      <c r="K514" s="19"/>
      <c r="L514" s="251">
        <f>SUM(I514:K514)</f>
        <v>2005577.7300000002</v>
      </c>
      <c r="M514" s="77"/>
      <c r="N514" s="20"/>
      <c r="O514" s="75">
        <f>SUM(L514:N514)</f>
        <v>2005577.7300000002</v>
      </c>
      <c r="P514" s="89"/>
      <c r="Q514" s="196">
        <f t="shared" si="138"/>
        <v>2005577.7300000002</v>
      </c>
    </row>
    <row r="515" spans="1:17" ht="14.25" thickBot="1">
      <c r="A515" s="78" t="s">
        <v>178</v>
      </c>
      <c r="B515" s="114"/>
      <c r="C515" s="186"/>
      <c r="D515" s="184" t="s">
        <v>247</v>
      </c>
      <c r="E515" s="184"/>
      <c r="F515" s="185">
        <f>SUM(C515:E515)</f>
        <v>0</v>
      </c>
      <c r="G515" s="258"/>
      <c r="H515" s="259">
        <v>980.85</v>
      </c>
      <c r="I515" s="260">
        <f>SUM(F515:H515)</f>
        <v>980.85</v>
      </c>
      <c r="J515" s="262">
        <v>0</v>
      </c>
      <c r="K515" s="267">
        <v>0</v>
      </c>
      <c r="L515" s="261">
        <f>SUM(I515:K515)</f>
        <v>980.85</v>
      </c>
      <c r="M515" s="77"/>
      <c r="N515" s="20"/>
      <c r="O515" s="75">
        <f>SUM(L515:N515)</f>
        <v>980.85</v>
      </c>
      <c r="P515" s="89"/>
      <c r="Q515" s="84">
        <f t="shared" si="138"/>
        <v>980.85</v>
      </c>
    </row>
    <row r="516" spans="2:17" ht="12.75">
      <c r="B516" s="115"/>
      <c r="C516" s="147">
        <f aca="true" t="shared" si="152" ref="C516:Q516">C101+C510-C505</f>
        <v>0</v>
      </c>
      <c r="D516" s="147">
        <f t="shared" si="152"/>
        <v>0</v>
      </c>
      <c r="E516" s="147">
        <f t="shared" si="152"/>
        <v>0</v>
      </c>
      <c r="F516" s="147">
        <f t="shared" si="152"/>
        <v>0</v>
      </c>
      <c r="G516" s="177">
        <f t="shared" si="152"/>
        <v>0</v>
      </c>
      <c r="H516" s="177">
        <f t="shared" si="152"/>
        <v>0</v>
      </c>
      <c r="I516" s="177">
        <f t="shared" si="152"/>
        <v>0</v>
      </c>
      <c r="J516" s="177">
        <f t="shared" si="152"/>
        <v>0</v>
      </c>
      <c r="K516" s="177">
        <f t="shared" si="152"/>
        <v>0</v>
      </c>
      <c r="L516" s="177">
        <f t="shared" si="152"/>
        <v>0</v>
      </c>
      <c r="M516" s="76">
        <f t="shared" si="152"/>
        <v>0</v>
      </c>
      <c r="N516" s="76">
        <f t="shared" si="152"/>
        <v>60.6</v>
      </c>
      <c r="O516" s="76">
        <f t="shared" si="152"/>
        <v>-180574.0900000017</v>
      </c>
      <c r="P516" s="76">
        <f t="shared" si="152"/>
        <v>0</v>
      </c>
      <c r="Q516" s="76">
        <f t="shared" si="152"/>
        <v>-180574.0900000017</v>
      </c>
    </row>
    <row r="517" spans="2:16" ht="12.75">
      <c r="B517" s="115"/>
      <c r="J517" s="177"/>
      <c r="P517" s="76"/>
    </row>
    <row r="518" spans="2:16" ht="12.75">
      <c r="B518" s="115"/>
      <c r="D518" s="177"/>
      <c r="J518" s="177"/>
      <c r="P518" s="76"/>
    </row>
    <row r="519" spans="2:16" ht="12.75">
      <c r="B519" s="115"/>
      <c r="J519" s="177"/>
      <c r="P519" s="76"/>
    </row>
    <row r="520" spans="2:16" ht="12.75">
      <c r="B520" s="115"/>
      <c r="P520" s="76"/>
    </row>
    <row r="521" spans="2:16" ht="12.75">
      <c r="B521" s="115"/>
      <c r="P521" s="76"/>
    </row>
    <row r="522" spans="2:16" ht="12.75">
      <c r="B522" s="115"/>
      <c r="P522" s="76"/>
    </row>
    <row r="523" spans="2:16" ht="12.75">
      <c r="B523" s="115"/>
      <c r="P523" s="76"/>
    </row>
    <row r="524" spans="2:16" ht="12.75">
      <c r="B524" s="115"/>
      <c r="P524" s="76"/>
    </row>
    <row r="525" spans="2:16" ht="12.75">
      <c r="B525" s="115"/>
      <c r="P525" s="76"/>
    </row>
    <row r="526" spans="2:16" ht="12.75">
      <c r="B526" s="115"/>
      <c r="P526" s="76"/>
    </row>
    <row r="527" spans="2:16" ht="12.75">
      <c r="B527" s="115"/>
      <c r="P527" s="76"/>
    </row>
    <row r="528" spans="2:16" ht="12.75">
      <c r="B528" s="115"/>
      <c r="P528" s="76"/>
    </row>
    <row r="529" spans="2:16" ht="12.75">
      <c r="B529" s="115"/>
      <c r="P529" s="76"/>
    </row>
    <row r="530" spans="2:16" ht="12.75">
      <c r="B530" s="115"/>
      <c r="P530" s="76"/>
    </row>
    <row r="531" spans="2:16" ht="12.75">
      <c r="B531" s="115"/>
      <c r="P531" s="76"/>
    </row>
    <row r="532" spans="2:16" ht="12.75">
      <c r="B532" s="115"/>
      <c r="P532" s="76"/>
    </row>
    <row r="533" spans="2:16" ht="12.75">
      <c r="B533" s="115"/>
      <c r="P533" s="76"/>
    </row>
    <row r="534" spans="2:16" ht="12.75">
      <c r="B534" s="115"/>
      <c r="P534" s="76"/>
    </row>
    <row r="535" spans="2:16" ht="12.75">
      <c r="B535" s="115"/>
      <c r="P535" s="76"/>
    </row>
    <row r="536" ht="12.75">
      <c r="P536" s="76"/>
    </row>
    <row r="537" ht="12.75">
      <c r="P537" s="76"/>
    </row>
    <row r="538" ht="12.75">
      <c r="P538" s="76"/>
    </row>
    <row r="539" ht="12.75">
      <c r="P539" s="76"/>
    </row>
    <row r="540" ht="12.75">
      <c r="P540" s="76"/>
    </row>
    <row r="541" ht="12.75">
      <c r="P541" s="76"/>
    </row>
    <row r="542" ht="12.75">
      <c r="P542" s="76"/>
    </row>
    <row r="543" ht="12.75">
      <c r="P543" s="76"/>
    </row>
    <row r="544" ht="12.75">
      <c r="P544" s="76"/>
    </row>
    <row r="545" ht="12.75">
      <c r="P545" s="76"/>
    </row>
    <row r="546" ht="12.75">
      <c r="P546" s="76"/>
    </row>
    <row r="547" ht="12.75">
      <c r="P547" s="76"/>
    </row>
    <row r="548" ht="12.75">
      <c r="P548" s="76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1811023622047245" right="0.11811023622047245" top="0.7086614173228347" bottom="0.3937007874015748" header="0.5118110236220472" footer="0.11811023622047245"/>
  <pageSetup horizontalDpi="600" verticalDpi="600" orientation="portrait" paperSize="9" scale="85" r:id="rId1"/>
  <headerFooter alignWithMargins="0">
    <oddFooter>&amp;CStránka &amp;P</oddFooter>
  </headerFooter>
  <rowBreaks count="5" manualBreakCount="5">
    <brk id="101" max="8" man="1"/>
    <brk id="184" max="8" man="1"/>
    <brk id="277" max="11" man="1"/>
    <brk id="363" max="11" man="1"/>
    <brk id="4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2017-09-11T13:55:01Z</cp:lastPrinted>
  <dcterms:created xsi:type="dcterms:W3CDTF">2009-01-05T12:05:07Z</dcterms:created>
  <dcterms:modified xsi:type="dcterms:W3CDTF">2017-09-13T14:08:41Z</dcterms:modified>
  <cp:category/>
  <cp:version/>
  <cp:contentType/>
  <cp:contentStatus/>
</cp:coreProperties>
</file>